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\Google Drive\MBA\ULI competition\"/>
    </mc:Choice>
  </mc:AlternateContent>
  <xr:revisionPtr revIDLastSave="0" documentId="13_ncr:1_{C998CE64-9C2C-4B7F-BCC2-B8637E985C3A}" xr6:coauthVersionLast="41" xr6:coauthVersionMax="41" xr10:uidLastSave="{00000000-0000-0000-0000-000000000000}"/>
  <bookViews>
    <workbookView xWindow="-110" yWindow="-110" windowWidth="19420" windowHeight="10420" tabRatio="812" firstSheet="1" activeTab="5" xr2:uid="{381B305B-0097-4413-826F-1E70A119CB72}"/>
  </bookViews>
  <sheets>
    <sheet name="original" sheetId="1" state="hidden" r:id="rId1"/>
    <sheet name="market comps" sheetId="23" r:id="rId2"/>
    <sheet name="absorption" sheetId="34" state="hidden" r:id="rId3"/>
    <sheet name="notes" sheetId="24" state="hidden" r:id="rId4"/>
    <sheet name="Summary Board" sheetId="31" r:id="rId5"/>
    <sheet name="summary" sheetId="2" r:id="rId6"/>
    <sheet name="cockpit (3)" sheetId="40" state="hidden" r:id="rId7"/>
    <sheet name="cockpit (2)" sheetId="36" state="hidden" r:id="rId8"/>
    <sheet name="opex tbales" sheetId="35" state="hidden" r:id="rId9"/>
    <sheet name="cockpit (4)" sheetId="43" state="hidden" r:id="rId10"/>
    <sheet name="cockpit" sheetId="4" r:id="rId11"/>
    <sheet name="CFs-&gt;" sheetId="13" r:id="rId12"/>
    <sheet name="combined" sheetId="21" r:id="rId13"/>
    <sheet name="res, market-rate (2)" sheetId="37" state="hidden" r:id="rId14"/>
    <sheet name="res, market-rate" sheetId="9" r:id="rId15"/>
    <sheet name="res, condo (2)" sheetId="38" state="hidden" r:id="rId16"/>
    <sheet name="res, condo" sheetId="20" r:id="rId17"/>
    <sheet name="res, affordable" sheetId="14" r:id="rId18"/>
    <sheet name="office (2)" sheetId="39" state="hidden" r:id="rId19"/>
    <sheet name="office" sheetId="12" r:id="rId20"/>
    <sheet name="retail" sheetId="17" r:id="rId21"/>
    <sheet name="hotel (2)" sheetId="42" state="hidden" r:id="rId22"/>
    <sheet name="hotel" sheetId="18" r:id="rId23"/>
    <sheet name="public bldgs" sheetId="22" r:id="rId24"/>
    <sheet name="parking" sheetId="25" r:id="rId25"/>
    <sheet name="acq-demo-repur" sheetId="8" r:id="rId26"/>
    <sheet name="parcel sheet" sheetId="32" r:id="rId27"/>
    <sheet name="tif sizing" sheetId="33" r:id="rId28"/>
    <sheet name="infstrc" sheetId="6" r:id="rId29"/>
    <sheet name="amschedules-&gt;" sheetId="10" r:id="rId30"/>
    <sheet name="p1" sheetId="27" r:id="rId31"/>
    <sheet name="p2" sheetId="28" r:id="rId32"/>
    <sheet name="p3" sheetId="29" r:id="rId33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mortizationschedule" localSheetId="7">'cockpit (2)'!$S$46</definedName>
    <definedName name="amortizationschedule" localSheetId="6">'cockpit (3)'!$S$31</definedName>
    <definedName name="amortizationschedule" localSheetId="9">'cockpit (4)'!$S$31</definedName>
    <definedName name="amortizationschedule" localSheetId="8">'opex tbales'!$S$31</definedName>
    <definedName name="amortizationschedule">cockpit!$S$31</definedName>
    <definedName name="annualvisitors" localSheetId="7">'cockpit (2)'!$C$98</definedName>
    <definedName name="annualvisitors" localSheetId="6">'cockpit (3)'!$C$79</definedName>
    <definedName name="annualvisitors" localSheetId="9">'cockpit (4)'!$C$75</definedName>
    <definedName name="annualvisitors" localSheetId="8">'opex tbales'!$C$79</definedName>
    <definedName name="annualvisitors">cockpit!$C$75</definedName>
    <definedName name="assessedvalue" localSheetId="7">'cockpit (2)'!$S$51</definedName>
    <definedName name="assessedvalue" localSheetId="6">'cockpit (3)'!$S$38</definedName>
    <definedName name="assessedvalue" localSheetId="9">'cockpit (4)'!$S$36</definedName>
    <definedName name="assessedvalue" localSheetId="8">'opex tbales'!$S$38</definedName>
    <definedName name="assessedvalue">cockpit!$S$38</definedName>
    <definedName name="Beginning_Balance" localSheetId="31">-FV('p2'!Interest_Rate/12,'p2'!Payment_Number-1,-'p2'!Monthly_Payment,'p2'!Loan_Amount)</definedName>
    <definedName name="Beginning_Balance" localSheetId="32">-FV('p3'!Interest_Rate/12,'p3'!Payment_Number-1,-'p3'!Monthly_Payment,'p3'!Loan_Amount)</definedName>
    <definedName name="Beginning_Balance">-FV(Interest_Rate/12,Payment_Number-1,-Monthly_Payment,Loan_Amount)</definedName>
    <definedName name="blendedcaprate" localSheetId="7">'cockpit (2)'!$AD$21</definedName>
    <definedName name="blendedcaprate" localSheetId="6">'cockpit (3)'!$AD$17</definedName>
    <definedName name="blendedcaprate" localSheetId="9">'cockpit (4)'!$AD$17</definedName>
    <definedName name="blendedcaprate" localSheetId="8">'opex tbales'!$AD$17</definedName>
    <definedName name="blendedcaprate">cockpit!$AD$17</definedName>
    <definedName name="Closingcosts" localSheetId="7">'cockpit (2)'!$K$62</definedName>
    <definedName name="Closingcosts" localSheetId="6">'cockpit (3)'!$K$51</definedName>
    <definedName name="Closingcosts" localSheetId="9">'cockpit (4)'!$K$47</definedName>
    <definedName name="Closingcosts" localSheetId="8">'opex tbales'!$K$51</definedName>
    <definedName name="Closingcosts">cockpit!$K$46</definedName>
    <definedName name="ColumnTitle1" localSheetId="7">Loan[[#Headers],[No.]]</definedName>
    <definedName name="ColumnTitle1" localSheetId="6">Loan[[#Headers],[No.]]</definedName>
    <definedName name="ColumnTitle1" localSheetId="9">Loan[[#Headers],[No.]]</definedName>
    <definedName name="ColumnTitle1" localSheetId="21">Loan[[#Headers],[No.]]</definedName>
    <definedName name="ColumnTitle1" localSheetId="18">Loan[[#Headers],[No.]]</definedName>
    <definedName name="ColumnTitle1" localSheetId="8">Loan[[#Headers],[No.]]</definedName>
    <definedName name="ColumnTitle1" localSheetId="31">Loan3[[#Headers],[No.]]</definedName>
    <definedName name="ColumnTitle1" localSheetId="32">Loan34[[#Headers],[No.]]</definedName>
    <definedName name="ColumnTitle1" localSheetId="15">Loan[[#Headers],[No.]]</definedName>
    <definedName name="ColumnTitle1" localSheetId="13">Loan[[#Headers],[No.]]</definedName>
    <definedName name="ColumnTitle1">Loan[[#Headers],[No.]]</definedName>
    <definedName name="Condoaveragesize" localSheetId="7">'cockpit (2)'!#REF!</definedName>
    <definedName name="Condoaveragesize" localSheetId="6">'cockpit (3)'!$C$28</definedName>
    <definedName name="Condoaveragesize" localSheetId="9">'cockpit (4)'!$C$28</definedName>
    <definedName name="Condoaveragesize" localSheetId="8">'opex tbales'!$C$28</definedName>
    <definedName name="Condoaveragesize">cockpit!$C$28</definedName>
    <definedName name="CondoconstructionPSF" localSheetId="7">'cockpit (2)'!$Y$9</definedName>
    <definedName name="CondoconstructionPSF" localSheetId="6">'cockpit (3)'!$Y$9</definedName>
    <definedName name="CondoconstructionPSF" localSheetId="9">'cockpit (4)'!$Y$9</definedName>
    <definedName name="CondoconstructionPSF" localSheetId="8">'opex tbales'!$Y$9</definedName>
    <definedName name="CondoconstructionPSF">cockpit!$Y$9</definedName>
    <definedName name="Condocostofsale" localSheetId="7">'cockpit (2)'!$K$63</definedName>
    <definedName name="Condocostofsale" localSheetId="6">'cockpit (3)'!$K$52</definedName>
    <definedName name="Condocostofsale" localSheetId="9">'cockpit (4)'!$K$48</definedName>
    <definedName name="Condocostofsale" localSheetId="8">'opex tbales'!$K$52</definedName>
    <definedName name="Condocostofsale">cockpit!$K$47</definedName>
    <definedName name="CondosalePSF" localSheetId="7">'cockpit (2)'!$E$26</definedName>
    <definedName name="CondosalePSF" localSheetId="6">'cockpit (3)'!$E$28</definedName>
    <definedName name="CondosalePSF" localSheetId="9">'cockpit (4)'!$E$28</definedName>
    <definedName name="CondosalePSF" localSheetId="8">'opex tbales'!$E$28</definedName>
    <definedName name="CondosalePSF">cockpit!$E$28</definedName>
    <definedName name="Constructioninterestrate" localSheetId="7">'cockpit (2)'!$S$30</definedName>
    <definedName name="Constructioninterestrate" localSheetId="6">'cockpit (3)'!$S$25</definedName>
    <definedName name="Constructioninterestrate" localSheetId="9">'cockpit (4)'!$S$25</definedName>
    <definedName name="Constructioninterestrate" localSheetId="8">'opex tbales'!$S$25</definedName>
    <definedName name="Constructioninterestrate">cockpit!$S$25</definedName>
    <definedName name="Constructionservicingfees" localSheetId="7">'cockpit (2)'!$S$31</definedName>
    <definedName name="Constructionservicingfees" localSheetId="6">'cockpit (3)'!$S$26</definedName>
    <definedName name="Constructionservicingfees" localSheetId="9">'cockpit (4)'!$S$26</definedName>
    <definedName name="Constructionservicingfees" localSheetId="8">'opex tbales'!$S$26</definedName>
    <definedName name="Constructionservicingfees">cockpit!$S$26</definedName>
    <definedName name="Constructiontime" localSheetId="7">'cockpit (2)'!#REF!</definedName>
    <definedName name="Constructiontime" localSheetId="6">'cockpit (3)'!$K$28</definedName>
    <definedName name="Constructiontime" localSheetId="9">'cockpit (4)'!#REF!</definedName>
    <definedName name="Constructiontime" localSheetId="8">'opex tbales'!$K$28</definedName>
    <definedName name="Constructiontime">cockpit!#REF!</definedName>
    <definedName name="constructiontimephase1" localSheetId="7">'cockpit (2)'!$K$30</definedName>
    <definedName name="constructiontimephase1" localSheetId="6">'cockpit (3)'!$K$24</definedName>
    <definedName name="constructiontimephase1" localSheetId="9">'cockpit (4)'!$K$24</definedName>
    <definedName name="constructiontimephase1" localSheetId="8">'opex tbales'!$K$24</definedName>
    <definedName name="constructiontimephase1">cockpit!$K$24</definedName>
    <definedName name="constructiontimephase2" localSheetId="7">'cockpit (2)'!$K$31</definedName>
    <definedName name="constructiontimephase2" localSheetId="6">'cockpit (3)'!$K$25</definedName>
    <definedName name="constructiontimephase2" localSheetId="9">'cockpit (4)'!$K$25</definedName>
    <definedName name="constructiontimephase2" localSheetId="8">'opex tbales'!$K$25</definedName>
    <definedName name="constructiontimephase2">cockpit!$K$25</definedName>
    <definedName name="constructiontimephase3" localSheetId="7">'cockpit (2)'!$K$32</definedName>
    <definedName name="constructiontimephase3" localSheetId="6">'cockpit (3)'!$K$26</definedName>
    <definedName name="constructiontimephase3" localSheetId="9">'cockpit (4)'!$K$26</definedName>
    <definedName name="constructiontimephase3" localSheetId="8">'opex tbales'!$K$26</definedName>
    <definedName name="constructiontimephase3">cockpit!$K$26</definedName>
    <definedName name="demolitionbuildingPSF" localSheetId="7">'cockpit (2)'!$K$48</definedName>
    <definedName name="demolitionbuildingPSF" localSheetId="6">'cockpit (3)'!$K$34</definedName>
    <definedName name="demolitionbuildingPSF" localSheetId="9">'cockpit (4)'!$K$33</definedName>
    <definedName name="demolitionbuildingPSF" localSheetId="8">'opex tbales'!$K$34</definedName>
    <definedName name="demolitionbuildingPSF">cockpit!$K$32</definedName>
    <definedName name="demolitionsurfacelot" localSheetId="7">'cockpit (2)'!$K$47</definedName>
    <definedName name="demolitionsurfacelot" localSheetId="6">'cockpit (3)'!$K$33</definedName>
    <definedName name="demolitionsurfacelot" localSheetId="9">'cockpit (4)'!$K$32</definedName>
    <definedName name="demolitionsurfacelot" localSheetId="8">'opex tbales'!$K$33</definedName>
    <definedName name="demolitionsurfacelot">cockpit!$K$31</definedName>
    <definedName name="Developerfee" localSheetId="7">'cockpit (2)'!$K$44</definedName>
    <definedName name="Developerfee" localSheetId="6">'cockpit (3)'!$K$29</definedName>
    <definedName name="Developerfee" localSheetId="9">'cockpit (4)'!$K$28</definedName>
    <definedName name="Developerfee" localSheetId="8">'opex tbales'!$K$29</definedName>
    <definedName name="Developerfee">cockpit!$K$28</definedName>
    <definedName name="discountrate" localSheetId="7">'cockpit (2)'!$S$48</definedName>
    <definedName name="discountrate" localSheetId="6">'cockpit (3)'!$S$34</definedName>
    <definedName name="discountrate" localSheetId="9">'cockpit (4)'!$S$33</definedName>
    <definedName name="discountrate" localSheetId="8">'opex tbales'!$S$34</definedName>
    <definedName name="discountrate">cockpit!$S$34</definedName>
    <definedName name="dispositionyear" localSheetId="7">'cockpit (2)'!$K$61</definedName>
    <definedName name="dispositionyear" localSheetId="6">'cockpit (3)'!$K$50</definedName>
    <definedName name="dispositionyear" localSheetId="9">'cockpit (4)'!$K$46</definedName>
    <definedName name="dispositionyear" localSheetId="8">'opex tbales'!$K$50</definedName>
    <definedName name="dispositionyear">cockpit!$K$45</definedName>
    <definedName name="Ending_Balance" localSheetId="31">-FV('p2'!Interest_Rate/12,'p2'!Payment_Number,-'p2'!Monthly_Payment,'p2'!Loan_Amount)</definedName>
    <definedName name="Ending_Balance" localSheetId="32">-FV('p3'!Interest_Rate/12,'p3'!Payment_Number,-'p3'!Monthly_Payment,'p3'!Loan_Amount)</definedName>
    <definedName name="Ending_Balance">-FV(Interest_Rate/12,Payment_Number,-Monthly_Payment,Loan_Amount)</definedName>
    <definedName name="entrancefee" localSheetId="7">'cockpit (2)'!$C$99</definedName>
    <definedName name="entrancefee" localSheetId="6">'cockpit (3)'!$C$80</definedName>
    <definedName name="entrancefee" localSheetId="9">'cockpit (4)'!$C$76</definedName>
    <definedName name="entrancefee" localSheetId="8">'opex tbales'!$C$80</definedName>
    <definedName name="entrancefee">cockpit!$C$76</definedName>
    <definedName name="Full_Print" localSheetId="31">'p2'!$A$1:$H$377</definedName>
    <definedName name="Full_Print" localSheetId="32">'p3'!$A$1:$H$377</definedName>
    <definedName name="Full_Print">'p1'!$A$1:$H$377</definedName>
    <definedName name="giftshopincome" localSheetId="7">'cockpit (2)'!$F$89</definedName>
    <definedName name="giftshopincome" localSheetId="6">'cockpit (3)'!$F$70</definedName>
    <definedName name="giftshopincome" localSheetId="9">'cockpit (4)'!$F$70</definedName>
    <definedName name="giftshopincome" localSheetId="8">'opex tbales'!$F$70</definedName>
    <definedName name="giftshopincome">cockpit!$F$70</definedName>
    <definedName name="Header_Row" localSheetId="31">ROW('p2'!$17:$17)</definedName>
    <definedName name="Header_Row" localSheetId="32">ROW('p3'!$17:$17)</definedName>
    <definedName name="Header_Row">ROW('p1'!$17:$17)</definedName>
    <definedName name="Header_Row_Back" localSheetId="31">ROW('p2'!$17:$17)</definedName>
    <definedName name="Header_Row_Back" localSheetId="32">ROW('p3'!$17:$17)</definedName>
    <definedName name="Header_Row_Back">ROW('p1'!$17:$17)</definedName>
    <definedName name="hoteladr" localSheetId="7">'cockpit (2)'!$C$71</definedName>
    <definedName name="hoteladr" localSheetId="6">'cockpit (3)'!$C$52</definedName>
    <definedName name="hoteladr" localSheetId="9">'cockpit (4)'!$C$52</definedName>
    <definedName name="hoteladr" localSheetId="8">'opex tbales'!$C$52</definedName>
    <definedName name="hoteladr">cockpit!$C$52</definedName>
    <definedName name="Hotelaverageroomsize" localSheetId="7">'cockpit (2)'!$C$69</definedName>
    <definedName name="Hotelaverageroomsize" localSheetId="6">'cockpit (3)'!$C$50</definedName>
    <definedName name="Hotelaverageroomsize" localSheetId="9">'cockpit (4)'!$C$50</definedName>
    <definedName name="Hotelaverageroomsize" localSheetId="8">'opex tbales'!$C$50</definedName>
    <definedName name="Hotelaverageroomsize">cockpit!$C$50</definedName>
    <definedName name="hotelconstructioncostPSF" localSheetId="7">'cockpit (2)'!$Y$14</definedName>
    <definedName name="hotelconstructioncostPSF" localSheetId="6">'cockpit (3)'!$Y$12</definedName>
    <definedName name="hotelconstructioncostPSF" localSheetId="9">'cockpit (4)'!$Y$12</definedName>
    <definedName name="hotelconstructioncostPSF" localSheetId="8">'opex tbales'!$Y$12</definedName>
    <definedName name="hotelconstructioncostPSF">cockpit!$Y$12</definedName>
    <definedName name="hotelfoodandbeverageincome" localSheetId="7">'cockpit (2)'!$C$74</definedName>
    <definedName name="hotelfoodandbeverageincome" localSheetId="6">'cockpit (3)'!$C$56</definedName>
    <definedName name="hotelfoodandbeverageincome" localSheetId="9">'cockpit (4)'!$C$56</definedName>
    <definedName name="hotelfoodandbeverageincome" localSheetId="8">'opex tbales'!$C$56</definedName>
    <definedName name="hotelfoodandbeverageincome">cockpit!$C$56</definedName>
    <definedName name="hotelfoodandbeveragemargin" localSheetId="7">'cockpit (2)'!$D$74</definedName>
    <definedName name="hotelfoodandbeveragemargin" localSheetId="6">'cockpit (3)'!$D$56</definedName>
    <definedName name="hotelfoodandbeveragemargin" localSheetId="9">'cockpit (4)'!$D$56</definedName>
    <definedName name="hotelfoodandbeveragemargin" localSheetId="8">'opex tbales'!$D$56</definedName>
    <definedName name="hotelfoodandbeveragemargin">cockpit!$D$56</definedName>
    <definedName name="hotelotherincome" localSheetId="7">'cockpit (2)'!$C$75</definedName>
    <definedName name="hotelotherincome" localSheetId="6">'cockpit (3)'!$C$57</definedName>
    <definedName name="hotelotherincome" localSheetId="9">'cockpit (4)'!$C$57</definedName>
    <definedName name="hotelotherincome" localSheetId="8">'opex tbales'!$C$57</definedName>
    <definedName name="hotelotherincome">cockpit!$C$57</definedName>
    <definedName name="hotelotherincomemargin" localSheetId="7">'cockpit (2)'!$D$75</definedName>
    <definedName name="hotelotherincomemargin" localSheetId="6">'cockpit (3)'!$D$57</definedName>
    <definedName name="hotelotherincomemargin" localSheetId="9">'cockpit (4)'!$D$57</definedName>
    <definedName name="hotelotherincomemargin" localSheetId="8">'opex tbales'!$D$57</definedName>
    <definedName name="hotelotherincomemargin">cockpit!$D$57</definedName>
    <definedName name="Hotelrampup" localSheetId="7">'cockpit (2)'!$L$14</definedName>
    <definedName name="Hotelrampup" localSheetId="6">'cockpit (3)'!$L$12</definedName>
    <definedName name="Hotelrampup" localSheetId="9">'cockpit (4)'!$L$12</definedName>
    <definedName name="Hotelrampup" localSheetId="8">'opex tbales'!$L$12</definedName>
    <definedName name="Hotelrampup">cockpit!$L$12</definedName>
    <definedName name="Hotelvacancy" localSheetId="7">'cockpit (2)'!$M$14</definedName>
    <definedName name="Hotelvacancy" localSheetId="6">'cockpit (3)'!$M$12</definedName>
    <definedName name="Hotelvacancy" localSheetId="9">'cockpit (4)'!$M$12</definedName>
    <definedName name="Hotelvacancy" localSheetId="8">'opex tbales'!$M$12</definedName>
    <definedName name="Hotelvacancy">cockpit!$M$12</definedName>
    <definedName name="Inflation" localSheetId="7">'cockpit (2)'!$K$52</definedName>
    <definedName name="Inflation" localSheetId="6">'cockpit (3)'!$K$40</definedName>
    <definedName name="Inflation" localSheetId="9">'cockpit (4)'!$K$37</definedName>
    <definedName name="Inflation" localSheetId="8">'opex tbales'!$K$40</definedName>
    <definedName name="Inflation">cockpit!$K$36</definedName>
    <definedName name="Interest" localSheetId="31">-IPMT('p2'!Interest_Rate/12,'p2'!Payment_Number,'p2'!Number_of_Payments,'p2'!Loan_Amount)</definedName>
    <definedName name="Interest" localSheetId="32">-IPMT('p3'!Interest_Rate/12,'p3'!Payment_Number,'p3'!Number_of_Payments,'p3'!Loan_Amount)</definedName>
    <definedName name="Interest">-IPMT(Interest_Rate/12,Payment_Number,Number_of_Payments,Loan_Amount)</definedName>
    <definedName name="Interest_Rate" localSheetId="31">'p2'!$E$4</definedName>
    <definedName name="Interest_Rate" localSheetId="32">'p3'!$E$4</definedName>
    <definedName name="Interest_Rate">'p1'!$E$4</definedName>
    <definedName name="Investmenthorizon" localSheetId="7">'cockpit (2)'!$K$60</definedName>
    <definedName name="Investmenthorizon" localSheetId="6">'cockpit (3)'!$K$49</definedName>
    <definedName name="Investmenthorizon" localSheetId="9">'cockpit (4)'!$K$45</definedName>
    <definedName name="Investmenthorizon" localSheetId="8">'opex tbales'!$K$49</definedName>
    <definedName name="Investmenthorizon">cockpit!$K$44</definedName>
    <definedName name="Last_Row" localSheetId="31">IF('p2'!Values_Entered,'p2'!Header_Row+'p2'!Number_of_Payments,'p2'!Header_Row)</definedName>
    <definedName name="Last_Row" localSheetId="32">IF('p3'!Values_Entered,'p3'!Header_Row+'p3'!Number_of_Payments,'p3'!Header_Row)</definedName>
    <definedName name="Last_Row">IF(Values_Entered,Header_Row+Number_of_Payments,Header_Row)</definedName>
    <definedName name="Loan_Amount" localSheetId="31">'p2'!$E$3</definedName>
    <definedName name="Loan_Amount" localSheetId="32">'p3'!$E$3</definedName>
    <definedName name="Loan_Amount">'p1'!$E$3</definedName>
    <definedName name="Loan_Not_Paid" localSheetId="31">IF('p2'!Payment_Number&lt;='p2'!Number_of_Payments,1,0)</definedName>
    <definedName name="Loan_Not_Paid" localSheetId="32">IF('p3'!Payment_Number&lt;='p3'!Number_of_Payments,1,0)</definedName>
    <definedName name="Loan_Not_Paid">IF(Payment_Number&lt;=Number_of_Payments,1,0)</definedName>
    <definedName name="Loan_Start" localSheetId="31">'p2'!$E$6</definedName>
    <definedName name="Loan_Start" localSheetId="32">'p3'!$E$6</definedName>
    <definedName name="Loan_Start">'p1'!$E$6</definedName>
    <definedName name="Loan_Years" localSheetId="31">'p2'!$E$5</definedName>
    <definedName name="Loan_Years" localSheetId="32">'p3'!$E$5</definedName>
    <definedName name="Loan_Years">'p1'!$E$5</definedName>
    <definedName name="Loantocost" localSheetId="7">'cockpit (2)'!$S$29</definedName>
    <definedName name="Loantocost" localSheetId="6">'cockpit (3)'!$S$24</definedName>
    <definedName name="Loantocost" localSheetId="9">'cockpit (4)'!$S$24</definedName>
    <definedName name="Loantocost" localSheetId="8">'opex tbales'!$S$24</definedName>
    <definedName name="Loantocost">cockpit!$S$24</definedName>
    <definedName name="loantovalue" localSheetId="7">'cockpit (2)'!$S$44</definedName>
    <definedName name="loantovalue" localSheetId="6">'cockpit (3)'!$S$29</definedName>
    <definedName name="loantovalue" localSheetId="9">'cockpit (4)'!$S$29</definedName>
    <definedName name="loantovalue" localSheetId="8">'opex tbales'!$S$29</definedName>
    <definedName name="loantovalue">cockpit!$S$29</definedName>
    <definedName name="MarketrateSF">summary!$AC$12</definedName>
    <definedName name="millagerate" localSheetId="7">'cockpit (2)'!$S$52</definedName>
    <definedName name="millagerate" localSheetId="6">'cockpit (3)'!$S$39</definedName>
    <definedName name="millagerate" localSheetId="9">'cockpit (4)'!$S$37</definedName>
    <definedName name="millagerate" localSheetId="8">'opex tbales'!$S$39</definedName>
    <definedName name="millagerate">cockpit!$S$39</definedName>
    <definedName name="Monthly_Payment" localSheetId="31">-PMT('p2'!Interest_Rate/12,'p2'!Number_of_Payments,'p2'!Loan_Amount)</definedName>
    <definedName name="Monthly_Payment" localSheetId="32">-PMT('p3'!Interest_Rate/12,'p3'!Number_of_Payments,'p3'!Loan_Amount)</definedName>
    <definedName name="Monthly_Payment">-PMT(Interest_Rate/12,Number_of_Payments,Loan_Amount)</definedName>
    <definedName name="Number_of_Payments" localSheetId="31">'p2'!$E$9</definedName>
    <definedName name="Number_of_Payments" localSheetId="32">'p3'!$E$9</definedName>
    <definedName name="Number_of_Payments">'p1'!$E$9</definedName>
    <definedName name="OfficeconstructionratePSF" localSheetId="7">'cockpit (2)'!$Y$10</definedName>
    <definedName name="OfficeconstructionratePSF" localSheetId="6">'cockpit (3)'!$Y$10</definedName>
    <definedName name="OfficeconstructionratePSF" localSheetId="9">'cockpit (4)'!$Y$10</definedName>
    <definedName name="OfficeconstructionratePSF" localSheetId="8">'opex tbales'!$Y$10</definedName>
    <definedName name="OfficeconstructionratePSF">cockpit!$Y$10</definedName>
    <definedName name="officeentrycaprate" localSheetId="7">'cockpit (2)'!$U$10</definedName>
    <definedName name="officeentrycaprate" localSheetId="6">'cockpit (3)'!$U$10</definedName>
    <definedName name="officeentrycaprate" localSheetId="9">'cockpit (4)'!$U$10</definedName>
    <definedName name="officeentrycaprate" localSheetId="8">'opex tbales'!$U$10</definedName>
    <definedName name="officeentrycaprate">cockpit!$U$10</definedName>
    <definedName name="officeexitcap" localSheetId="7">'cockpit (2)'!$V$10</definedName>
    <definedName name="officeexitcap" localSheetId="6">'cockpit (3)'!$V$10</definedName>
    <definedName name="officeexitcap" localSheetId="9">'cockpit (4)'!$V$10</definedName>
    <definedName name="officeexitcap" localSheetId="8">'opex tbales'!$V$10</definedName>
    <definedName name="officeexitcap">cockpit!$V$10</definedName>
    <definedName name="OfficemarketratePSF" localSheetId="7">'cockpit (2)'!$C$53</definedName>
    <definedName name="OfficemarketratePSF" localSheetId="6">'cockpit (3)'!$C$34</definedName>
    <definedName name="OfficemarketratePSF" localSheetId="9">'cockpit (4)'!$C$34</definedName>
    <definedName name="OfficemarketratePSF" localSheetId="8">'opex tbales'!$C$34</definedName>
    <definedName name="OfficemarketratePSF">cockpit!$C$34</definedName>
    <definedName name="officeopex" localSheetId="7">'cockpit (2)'!$O$10</definedName>
    <definedName name="officeopex" localSheetId="6">'cockpit (3)'!$O$10</definedName>
    <definedName name="officeopex" localSheetId="9">'cockpit (4)'!$O$10</definedName>
    <definedName name="officeopex" localSheetId="8">'opex tbales'!$O$10</definedName>
    <definedName name="officeopex">cockpit!$O$10</definedName>
    <definedName name="Officerampup" localSheetId="7">'cockpit (2)'!$L$10</definedName>
    <definedName name="Officerampup" localSheetId="6">'cockpit (3)'!$L$10</definedName>
    <definedName name="Officerampup" localSheetId="9">'cockpit (4)'!$L$10</definedName>
    <definedName name="Officerampup" localSheetId="8">'opex tbales'!$L$10</definedName>
    <definedName name="Officerampup">cockpit!$L$10</definedName>
    <definedName name="Officevacancy" localSheetId="7">'cockpit (2)'!$M$10</definedName>
    <definedName name="Officevacancy" localSheetId="6">'cockpit (3)'!$M$10</definedName>
    <definedName name="Officevacancy" localSheetId="9">'cockpit (4)'!$M$10</definedName>
    <definedName name="Officevacancy" localSheetId="8">'opex tbales'!$M$10</definedName>
    <definedName name="Officevacancy">cockpit!$M$10</definedName>
    <definedName name="Pal_Workbook_GUID" hidden="1">"UBGCF43M4HSCMNA7KTWUZXWC"</definedName>
    <definedName name="parkingaveragespacesize" localSheetId="7">'cockpit (2)'!$C$81</definedName>
    <definedName name="parkingaveragespacesize" localSheetId="6">'cockpit (3)'!$C$62</definedName>
    <definedName name="parkingaveragespacesize" localSheetId="9">'cockpit (4)'!$C$62</definedName>
    <definedName name="parkingaveragespacesize" localSheetId="8">'opex tbales'!$C$62</definedName>
    <definedName name="parkingaveragespacesize">cockpit!$C$62</definedName>
    <definedName name="parkingconstructioncostPSF" localSheetId="7">'cockpit (2)'!$Y$17</definedName>
    <definedName name="parkingconstructioncostPSF" localSheetId="6">'cockpit (3)'!$Y$15</definedName>
    <definedName name="parkingconstructioncostPSF" localSheetId="9">'cockpit (4)'!$Y$15</definedName>
    <definedName name="parkingconstructioncostPSF" localSheetId="8">'opex tbales'!$Y$15</definedName>
    <definedName name="parkingconstructioncostPSF">cockpit!$Y$15</definedName>
    <definedName name="parkingrampup" localSheetId="7">'cockpit (2)'!$L$17</definedName>
    <definedName name="parkingrampup" localSheetId="6">'cockpit (3)'!$L$15</definedName>
    <definedName name="parkingrampup" localSheetId="9">'cockpit (4)'!$L$15</definedName>
    <definedName name="parkingrampup" localSheetId="8">'opex tbales'!$L$15</definedName>
    <definedName name="parkingrampup">cockpit!$L$15</definedName>
    <definedName name="parkingrevenueperspacepermonth" localSheetId="7">'cockpit (2)'!$G$83</definedName>
    <definedName name="parkingrevenueperspacepermonth" localSheetId="6">'cockpit (3)'!$G$64</definedName>
    <definedName name="parkingrevenueperspacepermonth" localSheetId="9">'cockpit (4)'!$G$64</definedName>
    <definedName name="parkingrevenueperspacepermonth" localSheetId="8">'opex tbales'!$G$64</definedName>
    <definedName name="parkingrevenueperspacepermonth">cockpit!$G$64</definedName>
    <definedName name="Payment_Date" localSheetId="31">DATE(YEAR('p2'!Loan_Start),MONTH('p2'!Loan_Start)+'p2'!Payment_Number,DAY('p2'!Loan_Start))</definedName>
    <definedName name="Payment_Date" localSheetId="32">DATE(YEAR('p3'!Loan_Start),MONTH('p3'!Loan_Start)+'p3'!Payment_Number,DAY('p3'!Loan_Start))</definedName>
    <definedName name="Payment_Date">DATE(YEAR(Loan_Start),MONTH(Loan_Start)+Payment_Number,DAY(Loan_Start))</definedName>
    <definedName name="Payment_Number" localSheetId="31">ROW()-'p2'!Header_Row</definedName>
    <definedName name="Payment_Number" localSheetId="32">ROW()-'p3'!Header_Row</definedName>
    <definedName name="Payment_Number">ROW()-Header_Row</definedName>
    <definedName name="permanentinterestrate" localSheetId="7">'cockpit (2)'!$S$45</definedName>
    <definedName name="permanentinterestrate" localSheetId="6">'cockpit (3)'!$S$30</definedName>
    <definedName name="permanentinterestrate" localSheetId="9">'cockpit (4)'!$S$30</definedName>
    <definedName name="permanentinterestrate" localSheetId="8">'opex tbales'!$S$30</definedName>
    <definedName name="permanentinterestrate">cockpit!$S$30</definedName>
    <definedName name="permanentservicingfees" localSheetId="7">'cockpit (2)'!$S$47</definedName>
    <definedName name="permanentservicingfees" localSheetId="6">'cockpit (3)'!$S$32</definedName>
    <definedName name="permanentservicingfees" localSheetId="9">'cockpit (4)'!$S$32</definedName>
    <definedName name="permanentservicingfees" localSheetId="8">'opex tbales'!$S$32</definedName>
    <definedName name="permanentservicingfees">cockpit!$S$32</definedName>
    <definedName name="Phase1" localSheetId="7">'cockpit (2)'!$J$30</definedName>
    <definedName name="Phase1" localSheetId="6">'cockpit (3)'!$J$24</definedName>
    <definedName name="Phase1" localSheetId="9">'cockpit (4)'!$J$24</definedName>
    <definedName name="Phase1" localSheetId="8">'opex tbales'!$J$24</definedName>
    <definedName name="Phase1">cockpit!$J$24</definedName>
    <definedName name="Phase1begin" localSheetId="7">'cockpit (2)'!$L$30</definedName>
    <definedName name="Phase1begin" localSheetId="6">'cockpit (3)'!$L$24</definedName>
    <definedName name="Phase1begin" localSheetId="9">'cockpit (4)'!$L$24</definedName>
    <definedName name="Phase1begin" localSheetId="8">'opex tbales'!$L$24</definedName>
    <definedName name="Phase1begin">cockpit!$L$24</definedName>
    <definedName name="Phase1end" localSheetId="7">'cockpit (2)'!$M$30</definedName>
    <definedName name="Phase1end" localSheetId="6">'cockpit (3)'!$M$24</definedName>
    <definedName name="Phase1end" localSheetId="9">'cockpit (4)'!$M$24</definedName>
    <definedName name="Phase1end" localSheetId="8">'opex tbales'!$M$24</definedName>
    <definedName name="Phase1end">cockpit!$M$24</definedName>
    <definedName name="phase1landcontribution">'parcel sheet'!$C$45</definedName>
    <definedName name="Phase1open" localSheetId="7">'cockpit (2)'!$N$30</definedName>
    <definedName name="Phase1open" localSheetId="6">'cockpit (3)'!$N$24</definedName>
    <definedName name="Phase1open" localSheetId="9">'cockpit (4)'!$N$24</definedName>
    <definedName name="Phase1open" localSheetId="8">'opex tbales'!$N$24</definedName>
    <definedName name="Phase1open">cockpit!$N$24</definedName>
    <definedName name="phase1stabilizationyear" localSheetId="7">'cockpit (2)'!$O$30</definedName>
    <definedName name="phase1stabilizationyear" localSheetId="6">'cockpit (3)'!$O$24</definedName>
    <definedName name="phase1stabilizationyear" localSheetId="9">'cockpit (4)'!$O$24</definedName>
    <definedName name="phase1stabilizationyear" localSheetId="8">'opex tbales'!$O$24</definedName>
    <definedName name="phase1stabilizationyear">cockpit!$O$24</definedName>
    <definedName name="Phase2" localSheetId="7">'cockpit (2)'!$J$31</definedName>
    <definedName name="Phase2" localSheetId="6">'cockpit (3)'!$J$25</definedName>
    <definedName name="Phase2" localSheetId="9">'cockpit (4)'!$J$25</definedName>
    <definedName name="Phase2" localSheetId="8">'opex tbales'!$J$25</definedName>
    <definedName name="Phase2">cockpit!$J$25</definedName>
    <definedName name="Phase2begin" localSheetId="7">'cockpit (2)'!$L$31</definedName>
    <definedName name="Phase2begin" localSheetId="6">'cockpit (3)'!$L$25</definedName>
    <definedName name="Phase2begin" localSheetId="9">'cockpit (4)'!$L$25</definedName>
    <definedName name="Phase2begin" localSheetId="8">'opex tbales'!$L$25</definedName>
    <definedName name="Phase2begin">cockpit!$L$25</definedName>
    <definedName name="Phase2end" localSheetId="7">'cockpit (2)'!$M$31</definedName>
    <definedName name="Phase2end" localSheetId="6">'cockpit (3)'!$M$25</definedName>
    <definedName name="Phase2end" localSheetId="9">'cockpit (4)'!$M$25</definedName>
    <definedName name="Phase2end" localSheetId="8">'opex tbales'!$M$25</definedName>
    <definedName name="Phase2end">cockpit!$M$25</definedName>
    <definedName name="phase2landcontribution">'parcel sheet'!$C$46</definedName>
    <definedName name="Phase2open" localSheetId="7">'cockpit (2)'!$N$31</definedName>
    <definedName name="Phase2open" localSheetId="6">'cockpit (3)'!$N$25</definedName>
    <definedName name="Phase2open" localSheetId="9">'cockpit (4)'!$N$25</definedName>
    <definedName name="Phase2open" localSheetId="8">'opex tbales'!$N$25</definedName>
    <definedName name="Phase2open">cockpit!$N$25</definedName>
    <definedName name="phase2stabilizationyear" localSheetId="7">'cockpit (2)'!$O$31</definedName>
    <definedName name="phase2stabilizationyear" localSheetId="6">'cockpit (3)'!$O$25</definedName>
    <definedName name="phase2stabilizationyear" localSheetId="9">'cockpit (4)'!$O$25</definedName>
    <definedName name="phase2stabilizationyear" localSheetId="8">'opex tbales'!$O$25</definedName>
    <definedName name="phase2stabilizationyear">cockpit!$O$25</definedName>
    <definedName name="Phase3" localSheetId="7">'cockpit (2)'!$J$32</definedName>
    <definedName name="Phase3" localSheetId="6">'cockpit (3)'!$J$26</definedName>
    <definedName name="Phase3" localSheetId="9">'cockpit (4)'!$J$26</definedName>
    <definedName name="Phase3" localSheetId="8">'opex tbales'!$J$26</definedName>
    <definedName name="Phase3">cockpit!$J$26</definedName>
    <definedName name="Phase3begin" localSheetId="7">'cockpit (2)'!$L$32</definedName>
    <definedName name="Phase3begin" localSheetId="6">'cockpit (3)'!$L$26</definedName>
    <definedName name="Phase3begin" localSheetId="9">'cockpit (4)'!$L$26</definedName>
    <definedName name="Phase3begin" localSheetId="8">'opex tbales'!$L$26</definedName>
    <definedName name="Phase3begin">cockpit!$L$26</definedName>
    <definedName name="Phase3end" localSheetId="7">'cockpit (2)'!$M$32</definedName>
    <definedName name="Phase3end" localSheetId="6">'cockpit (3)'!$M$26</definedName>
    <definedName name="Phase3end" localSheetId="9">'cockpit (4)'!$M$26</definedName>
    <definedName name="Phase3end" localSheetId="8">'opex tbales'!$M$26</definedName>
    <definedName name="Phase3end">cockpit!$M$26</definedName>
    <definedName name="phase3landcontribution">'parcel sheet'!$C$47</definedName>
    <definedName name="Phase3open" localSheetId="7">'cockpit (2)'!$N$32</definedName>
    <definedName name="Phase3open" localSheetId="6">'cockpit (3)'!$N$26</definedName>
    <definedName name="Phase3open" localSheetId="9">'cockpit (4)'!$N$26</definedName>
    <definedName name="Phase3open" localSheetId="8">'opex tbales'!$N$26</definedName>
    <definedName name="Phase3open">cockpit!$N$26</definedName>
    <definedName name="phase3stabilizationyear" localSheetId="7">'cockpit (2)'!$O$32</definedName>
    <definedName name="phase3stabilizationyear" localSheetId="6">'cockpit (3)'!$O$26</definedName>
    <definedName name="phase3stabilizationyear" localSheetId="9">'cockpit (4)'!$O$26</definedName>
    <definedName name="phase3stabilizationyear" localSheetId="8">'opex tbales'!$O$26</definedName>
    <definedName name="phase3stabilizationyear">cockpit!$O$26</definedName>
    <definedName name="Premiumcosts" localSheetId="7">'cockpit (2)'!$K$56</definedName>
    <definedName name="Premiumcosts" localSheetId="6">'cockpit (3)'!$K$44</definedName>
    <definedName name="Premiumcosts" localSheetId="9">'cockpit (4)'!$K$41</definedName>
    <definedName name="Premiumcosts" localSheetId="8">'opex tbales'!$K$44</definedName>
    <definedName name="Premiumcosts">cockpit!$K$40</definedName>
    <definedName name="Premiumexitcaprate" localSheetId="7">'cockpit (2)'!$K$57</definedName>
    <definedName name="Premiumexitcaprate" localSheetId="6">'cockpit (3)'!$K$45</definedName>
    <definedName name="Premiumexitcaprate" localSheetId="9">'cockpit (4)'!$K$42</definedName>
    <definedName name="Premiumexitcaprate" localSheetId="8">'opex tbales'!$K$45</definedName>
    <definedName name="Premiumexitcaprate">cockpit!$K$41</definedName>
    <definedName name="premiumprices" localSheetId="7">'cockpit (2)'!$K$55</definedName>
    <definedName name="premiumprices" localSheetId="6">'cockpit (3)'!$K$43</definedName>
    <definedName name="premiumprices" localSheetId="9">'cockpit (4)'!$K$40</definedName>
    <definedName name="premiumprices" localSheetId="8">'opex tbales'!$K$43</definedName>
    <definedName name="premiumprices">cockpit!$K$39</definedName>
    <definedName name="Principal" localSheetId="31">-PPMT('p2'!Interest_Rate/12,'p2'!Payment_Number,'p2'!Number_of_Payments,'p2'!Loan_Amount)</definedName>
    <definedName name="Principal" localSheetId="32">-PPMT('p3'!Interest_Rate/12,'p3'!Payment_Number,'p3'!Number_of_Payments,'p3'!Loan_Amount)</definedName>
    <definedName name="Principal">-PPMT(Interest_Rate/12,Payment_Number,Number_of_Payments,Loan_Amount)</definedName>
    <definedName name="_xlnm.Print_Area" localSheetId="4">'Summary Board'!$A$1:$O$104</definedName>
    <definedName name="_xlnm.Print_Titles" localSheetId="30">'p1'!$17:$17</definedName>
    <definedName name="_xlnm.Print_Titles" localSheetId="31">'p2'!$17:$17</definedName>
    <definedName name="_xlnm.Print_Titles" localSheetId="32">'p3'!$17:$17</definedName>
    <definedName name="publicspacesconstructioncostPSF" localSheetId="7">'cockpit (2)'!$Y$18</definedName>
    <definedName name="publicspacesconstructioncostPSF" localSheetId="6">'cockpit (3)'!$Y$16</definedName>
    <definedName name="publicspacesconstructioncostPSF" localSheetId="9">'cockpit (4)'!$Y$16</definedName>
    <definedName name="publicspacesconstructioncostPSF" localSheetId="8">'opex tbales'!$Y$16</definedName>
    <definedName name="publicspacesconstructioncostPSF">cockpit!$Y$16</definedName>
    <definedName name="Repurposecost" localSheetId="7">'cockpit (2)'!$K$49</definedName>
    <definedName name="Repurposecost" localSheetId="6">'cockpit (3)'!$K$35</definedName>
    <definedName name="Repurposecost" localSheetId="9">'cockpit (4)'!$K$34</definedName>
    <definedName name="Repurposecost" localSheetId="8">'opex tbales'!$K$35</definedName>
    <definedName name="Repurposecost">cockpit!$K$33</definedName>
    <definedName name="Residentialaffordableaveragesize" localSheetId="7">'cockpit (2)'!#REF!</definedName>
    <definedName name="Residentialaffordableaveragesize" localSheetId="6">'cockpit (3)'!$C$26</definedName>
    <definedName name="Residentialaffordableaveragesize" localSheetId="9">'cockpit (4)'!$C$26</definedName>
    <definedName name="Residentialaffordableaveragesize" localSheetId="8">'opex tbales'!$C$26</definedName>
    <definedName name="Residentialaffordableaveragesize">cockpit!$C$26</definedName>
    <definedName name="ResidentialaffordablecostPSF" localSheetId="7">'cockpit (2)'!$Y$8</definedName>
    <definedName name="ResidentialaffordablecostPSF" localSheetId="6">'cockpit (3)'!$Y$8</definedName>
    <definedName name="ResidentialaffordablecostPSF" localSheetId="9">'cockpit (4)'!$Y$8</definedName>
    <definedName name="ResidentialaffordablecostPSF" localSheetId="8">'opex tbales'!$Y$8</definedName>
    <definedName name="ResidentialaffordablecostPSF">cockpit!$Y$8</definedName>
    <definedName name="ResidentialAffordablePSFrate" localSheetId="7">'cockpit (2)'!$E$24</definedName>
    <definedName name="ResidentialAffordablePSFrate" localSheetId="6">'cockpit (3)'!$E$26</definedName>
    <definedName name="ResidentialAffordablePSFrate" localSheetId="9">'cockpit (4)'!$E$26</definedName>
    <definedName name="ResidentialAffordablePSFrate" localSheetId="8">'opex tbales'!$E$26</definedName>
    <definedName name="ResidentialAffordablePSFrate">cockpit!$E$26</definedName>
    <definedName name="ResidentialAffordablerampup" localSheetId="7">'cockpit (2)'!$L$8</definedName>
    <definedName name="ResidentialAffordablerampup" localSheetId="6">'cockpit (3)'!$L$8</definedName>
    <definedName name="ResidentialAffordablerampup" localSheetId="9">'cockpit (4)'!$L$8</definedName>
    <definedName name="ResidentialAffordablerampup" localSheetId="8">'opex tbales'!$L$8</definedName>
    <definedName name="ResidentialAffordablerampup">cockpit!$L$8</definedName>
    <definedName name="ResidentialAffordableSF">summary!$AC$14</definedName>
    <definedName name="ResidentialAffordablevacancy" localSheetId="7">'cockpit (2)'!$M$8</definedName>
    <definedName name="ResidentialAffordablevacancy" localSheetId="6">'cockpit (3)'!$M$8</definedName>
    <definedName name="ResidentialAffordablevacancy" localSheetId="9">'cockpit (4)'!$M$8</definedName>
    <definedName name="ResidentialAffordablevacancy" localSheetId="8">'opex tbales'!$M$8</definedName>
    <definedName name="ResidentialAffordablevacancy">cockpit!$M$8</definedName>
    <definedName name="ResidentialCondominiumrampup" localSheetId="7">'cockpit (2)'!$L$9</definedName>
    <definedName name="ResidentialCondominiumrampup" localSheetId="6">'cockpit (3)'!$L$9</definedName>
    <definedName name="ResidentialCondominiumrampup" localSheetId="9">'cockpit (4)'!$L$9</definedName>
    <definedName name="ResidentialCondominiumrampup" localSheetId="8">'opex tbales'!$L$9</definedName>
    <definedName name="ResidentialCondominiumrampup">cockpit!$L$9</definedName>
    <definedName name="ResidentialCondominiumSF">summary!$AC$13</definedName>
    <definedName name="ResidentialCondominiumvacancy" localSheetId="7">'cockpit (2)'!$M$9</definedName>
    <definedName name="ResidentialCondominiumvacancy" localSheetId="6">'cockpit (3)'!$M$9</definedName>
    <definedName name="ResidentialCondominiumvacancy" localSheetId="9">'cockpit (4)'!$M$9</definedName>
    <definedName name="ResidentialCondominiumvacancy" localSheetId="8">'opex tbales'!$M$9</definedName>
    <definedName name="ResidentialCondominiumvacancy">cockpit!$M$9</definedName>
    <definedName name="Residentialmarketrateaveragesize" localSheetId="7">'cockpit (2)'!$C$29</definedName>
    <definedName name="Residentialmarketrateaveragesize" localSheetId="6">'cockpit (3)'!$C$25</definedName>
    <definedName name="Residentialmarketrateaveragesize" localSheetId="9">'cockpit (4)'!$C$25</definedName>
    <definedName name="Residentialmarketrateaveragesize" localSheetId="8">'opex tbales'!$C$25</definedName>
    <definedName name="Residentialmarketrateaveragesize">cockpit!$C$25</definedName>
    <definedName name="ResidentialmarketrateconstructionPSF" localSheetId="7">'cockpit (2)'!$Y$7</definedName>
    <definedName name="ResidentialmarketrateconstructionPSF" localSheetId="6">'cockpit (3)'!$Y$7</definedName>
    <definedName name="ResidentialmarketrateconstructionPSF" localSheetId="9">'cockpit (4)'!$Y$7</definedName>
    <definedName name="ResidentialmarketrateconstructionPSF" localSheetId="8">'opex tbales'!$Y$7</definedName>
    <definedName name="ResidentialmarketrateconstructionPSF">cockpit!$Y$7</definedName>
    <definedName name="ResidentialmarketratePSFrate" localSheetId="7">'cockpit (2)'!$C$31</definedName>
    <definedName name="ResidentialmarketratePSFrate" localSheetId="6">'cockpit (3)'!$E$25</definedName>
    <definedName name="ResidentialmarketratePSFrate" localSheetId="9">'cockpit (4)'!$E$25</definedName>
    <definedName name="ResidentialmarketratePSFrate" localSheetId="8">'opex tbales'!$E$25</definedName>
    <definedName name="ResidentialmarketratePSFrate">cockpit!$E$25</definedName>
    <definedName name="Residentialmarketraterampup" localSheetId="7">'cockpit (2)'!$L$7</definedName>
    <definedName name="Residentialmarketraterampup" localSheetId="6">'cockpit (3)'!$L$7</definedName>
    <definedName name="Residentialmarketraterampup" localSheetId="9">'cockpit (4)'!$L$7</definedName>
    <definedName name="Residentialmarketraterampup" localSheetId="8">'opex tbales'!$L$7</definedName>
    <definedName name="Residentialmarketraterampup">cockpit!$L$7</definedName>
    <definedName name="Residentialmarketratevacancy" localSheetId="7">'cockpit (2)'!$M$7</definedName>
    <definedName name="Residentialmarketratevacancy" localSheetId="6">'cockpit (3)'!$M$7</definedName>
    <definedName name="Residentialmarketratevacancy" localSheetId="9">'cockpit (4)'!$M$7</definedName>
    <definedName name="Residentialmarketratevacancy" localSheetId="8">'opex tbales'!$M$7</definedName>
    <definedName name="Residentialmarketratevacancy">cockpit!$M$7</definedName>
    <definedName name="RetailconstructioncostPSF" localSheetId="7">'cockpit (2)'!$Y$11</definedName>
    <definedName name="RetailconstructioncostPSF" localSheetId="6">'cockpit (3)'!$Y$11</definedName>
    <definedName name="RetailconstructioncostPSF" localSheetId="9">'cockpit (4)'!$Y$11</definedName>
    <definedName name="RetailconstructioncostPSF" localSheetId="8">'opex tbales'!$Y$11</definedName>
    <definedName name="RetailconstructioncostPSF">cockpit!$Y$11</definedName>
    <definedName name="retailentrycap" localSheetId="7">'cockpit (2)'!$U$11</definedName>
    <definedName name="retailentrycap" localSheetId="6">'cockpit (3)'!$U$11</definedName>
    <definedName name="retailentrycap" localSheetId="9">'cockpit (4)'!$U$11</definedName>
    <definedName name="retailentrycap" localSheetId="8">'opex tbales'!$U$11</definedName>
    <definedName name="retailentrycap">cockpit!$U$11</definedName>
    <definedName name="Retailexitcap" localSheetId="7">'cockpit (2)'!$V$11</definedName>
    <definedName name="Retailexitcap" localSheetId="6">'cockpit (3)'!$V$11</definedName>
    <definedName name="Retailexitcap" localSheetId="9">'cockpit (4)'!$V$11</definedName>
    <definedName name="Retailexitcap" localSheetId="8">'opex tbales'!$V$11</definedName>
    <definedName name="Retailexitcap">cockpit!$V$11</definedName>
    <definedName name="retailopex" localSheetId="7">'cockpit (2)'!$O$11</definedName>
    <definedName name="retailopex" localSheetId="6">'cockpit (3)'!$O$11</definedName>
    <definedName name="retailopex" localSheetId="9">'cockpit (4)'!$O$11</definedName>
    <definedName name="retailopex" localSheetId="8">'opex tbales'!$O$11</definedName>
    <definedName name="retailopex">cockpit!$O$11</definedName>
    <definedName name="Retailrampup" localSheetId="7">'cockpit (2)'!$L$11</definedName>
    <definedName name="Retailrampup" localSheetId="6">'cockpit (3)'!$L$11</definedName>
    <definedName name="Retailrampup" localSheetId="9">'cockpit (4)'!$L$11</definedName>
    <definedName name="Retailrampup" localSheetId="8">'opex tbales'!$L$11</definedName>
    <definedName name="Retailrampup">cockpit!$L$11</definedName>
    <definedName name="RetailrentalratePSF" localSheetId="7">'cockpit (2)'!$G$62</definedName>
    <definedName name="RetailrentalratePSF" localSheetId="6">'cockpit (3)'!$G$43</definedName>
    <definedName name="RetailrentalratePSF" localSheetId="9">'cockpit (4)'!$G$43</definedName>
    <definedName name="RetailrentalratePSF" localSheetId="8">'opex tbales'!$G$43</definedName>
    <definedName name="RetailrentalratePSF">cockpit!$G$43</definedName>
    <definedName name="Retailvacancy" localSheetId="7">'cockpit (2)'!$M$11</definedName>
    <definedName name="Retailvacancy" localSheetId="6">'cockpit (3)'!$M$11</definedName>
    <definedName name="Retailvacancy" localSheetId="9">'cockpit (4)'!$M$11</definedName>
    <definedName name="Retailvacancy" localSheetId="8">'opex tbales'!$M$11</definedName>
    <definedName name="Retailvacancy">cockpit!$M$11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TitleRegion1..E6" localSheetId="31">'p2'!$B$3</definedName>
    <definedName name="RowTitleRegion1..E6" localSheetId="32">'p3'!$B$3</definedName>
    <definedName name="RowTitleRegion1..E6">'p1'!$B$3</definedName>
    <definedName name="RowTitleRegion2..E11" localSheetId="31">'p2'!$B$8</definedName>
    <definedName name="RowTitleRegion2..E11" localSheetId="32">'p3'!$B$8</definedName>
    <definedName name="RowTitleRegion2..E11">'p1'!$B$8</definedName>
    <definedName name="sfacre">'parcel sheet'!$F$3</definedName>
    <definedName name="tiforiginationfee" localSheetId="7">'cockpit (2)'!$S$57</definedName>
    <definedName name="tiforiginationfee" localSheetId="6">'cockpit (3)'!$S$44</definedName>
    <definedName name="tiforiginationfee" localSheetId="9">'cockpit (4)'!$S$42</definedName>
    <definedName name="tiforiginationfee" localSheetId="8">'opex tbales'!$S$44</definedName>
    <definedName name="tiforiginationfee">cockpit!$S$44</definedName>
    <definedName name="tifphase1">'tif sizing'!$L$50</definedName>
    <definedName name="tifphase2">'tif sizing'!$L$87</definedName>
    <definedName name="tifphase3">'tif sizing'!$L$124</definedName>
    <definedName name="tifrate" localSheetId="7">'cockpit (2)'!$S$55</definedName>
    <definedName name="tifrate" localSheetId="6">'cockpit (3)'!$S$42</definedName>
    <definedName name="tifrate" localSheetId="9">'cockpit (4)'!$S$40</definedName>
    <definedName name="tifrate" localSheetId="8">'opex tbales'!$S$42</definedName>
    <definedName name="tifrate">cockpit!$S$42</definedName>
    <definedName name="Total_Cost" localSheetId="31">'p2'!$E$11</definedName>
    <definedName name="Total_Cost" localSheetId="32">'p3'!$E$11</definedName>
    <definedName name="Total_Cost">'p1'!$E$11</definedName>
    <definedName name="Total_Interest" localSheetId="31">'p2'!$E$10</definedName>
    <definedName name="Total_Interest" localSheetId="32">'p3'!$E$10</definedName>
    <definedName name="Total_Interest">'p1'!$E$10</definedName>
    <definedName name="totalsf">summary!$AC$26</definedName>
    <definedName name="Values_Entered" localSheetId="31">IF('p2'!Loan_Amount*'p2'!Interest_Rate*'p2'!Loan_Years*'p2'!Loan_Start&gt;0,1,0)</definedName>
    <definedName name="Values_Entered" localSheetId="32">IF('p3'!Loan_Amount*'p3'!Interest_Rate*'p3'!Loan_Years*'p3'!Loan_Start&gt;0,1,0)</definedName>
    <definedName name="Values_Entered">IF(Loan_Amount*Interest_Rate*Loan_Years*Loan_Start&gt;0,1,0)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6" i="36" l="1"/>
  <c r="H24" i="36"/>
  <c r="H28" i="36" s="1"/>
  <c r="P117" i="31"/>
  <c r="P113" i="31"/>
  <c r="P114" i="31"/>
  <c r="P111" i="31"/>
  <c r="P105" i="31"/>
  <c r="P102" i="31"/>
  <c r="P100" i="31"/>
  <c r="Z92" i="23"/>
  <c r="AA100" i="23"/>
  <c r="Y119" i="23"/>
  <c r="D105" i="23"/>
  <c r="D104" i="23"/>
  <c r="Y112" i="23"/>
  <c r="Y113" i="23"/>
  <c r="AK90" i="23"/>
  <c r="F177" i="2"/>
  <c r="F89" i="43"/>
  <c r="G89" i="43" s="1"/>
  <c r="D16" i="43" s="1"/>
  <c r="C89" i="43"/>
  <c r="E89" i="43" s="1"/>
  <c r="C88" i="43"/>
  <c r="E88" i="43" s="1"/>
  <c r="F88" i="43" s="1"/>
  <c r="G88" i="43" s="1"/>
  <c r="D15" i="43" s="1"/>
  <c r="D26" i="43" s="1"/>
  <c r="E26" i="43" s="1"/>
  <c r="T86" i="43"/>
  <c r="O70" i="43" s="1"/>
  <c r="F80" i="43"/>
  <c r="C75" i="43"/>
  <c r="F76" i="43"/>
  <c r="F82" i="43" s="1"/>
  <c r="F83" i="43" s="1"/>
  <c r="C71" i="43"/>
  <c r="G62" i="43"/>
  <c r="G64" i="43" s="1"/>
  <c r="D62" i="43"/>
  <c r="C48" i="43"/>
  <c r="C28" i="43"/>
  <c r="E29" i="43" s="1"/>
  <c r="C26" i="43"/>
  <c r="D25" i="43"/>
  <c r="E25" i="43"/>
  <c r="C25" i="43"/>
  <c r="M24" i="43"/>
  <c r="N24" i="43" s="1"/>
  <c r="O24" i="43" s="1"/>
  <c r="E22" i="43"/>
  <c r="D22" i="43"/>
  <c r="C22" i="43"/>
  <c r="L15" i="43"/>
  <c r="L12" i="43"/>
  <c r="L11" i="43"/>
  <c r="L10" i="43"/>
  <c r="L9" i="43"/>
  <c r="L8" i="43"/>
  <c r="L7" i="43"/>
  <c r="C130" i="36"/>
  <c r="G117" i="36"/>
  <c r="C132" i="36" s="1"/>
  <c r="D117" i="36"/>
  <c r="R12" i="42"/>
  <c r="N83" i="42"/>
  <c r="M83" i="42"/>
  <c r="L83" i="42"/>
  <c r="K83" i="42"/>
  <c r="J83" i="42"/>
  <c r="I83" i="42"/>
  <c r="H83" i="42"/>
  <c r="G83" i="42"/>
  <c r="F83" i="42"/>
  <c r="E83" i="42"/>
  <c r="D79" i="42"/>
  <c r="D78" i="42"/>
  <c r="D75" i="42"/>
  <c r="D74" i="42"/>
  <c r="D73" i="42"/>
  <c r="D72" i="42"/>
  <c r="D66" i="42"/>
  <c r="K61" i="42"/>
  <c r="D83" i="42"/>
  <c r="N55" i="42"/>
  <c r="M55" i="42"/>
  <c r="L55" i="42"/>
  <c r="K55" i="42"/>
  <c r="J55" i="42"/>
  <c r="I55" i="42"/>
  <c r="H55" i="42"/>
  <c r="G55" i="42"/>
  <c r="F55" i="42"/>
  <c r="E55" i="42"/>
  <c r="D51" i="42"/>
  <c r="D50" i="42"/>
  <c r="D47" i="42"/>
  <c r="D46" i="42"/>
  <c r="D45" i="42"/>
  <c r="D40" i="42"/>
  <c r="D38" i="42"/>
  <c r="N27" i="42"/>
  <c r="M27" i="42"/>
  <c r="L27" i="42"/>
  <c r="K27" i="42"/>
  <c r="J27" i="42"/>
  <c r="I27" i="42"/>
  <c r="H27" i="42"/>
  <c r="G27" i="42"/>
  <c r="F27" i="42"/>
  <c r="E27" i="42"/>
  <c r="D23" i="42"/>
  <c r="D22" i="42"/>
  <c r="D19" i="42"/>
  <c r="D18" i="42"/>
  <c r="D17" i="42"/>
  <c r="D10" i="42"/>
  <c r="H5" i="42"/>
  <c r="D5" i="42"/>
  <c r="U90" i="23"/>
  <c r="U85" i="23"/>
  <c r="U10" i="14"/>
  <c r="U11" i="14"/>
  <c r="U12" i="14"/>
  <c r="U13" i="14"/>
  <c r="U14" i="14"/>
  <c r="U15" i="14"/>
  <c r="U16" i="14"/>
  <c r="U17" i="14"/>
  <c r="U18" i="14"/>
  <c r="U9" i="14"/>
  <c r="O90" i="23"/>
  <c r="O89" i="23"/>
  <c r="O88" i="23"/>
  <c r="O87" i="23"/>
  <c r="O86" i="23"/>
  <c r="O85" i="23"/>
  <c r="O91" i="23" s="1"/>
  <c r="F91" i="23"/>
  <c r="G65" i="23"/>
  <c r="G69" i="23" s="1"/>
  <c r="G64" i="23"/>
  <c r="G68" i="23"/>
  <c r="G67" i="23"/>
  <c r="G66" i="23"/>
  <c r="G63" i="23"/>
  <c r="G62" i="23"/>
  <c r="L25" i="43"/>
  <c r="M25" i="43" s="1"/>
  <c r="N25" i="43" s="1"/>
  <c r="D82" i="42"/>
  <c r="C42" i="36"/>
  <c r="C35" i="36"/>
  <c r="C37" i="36" s="1"/>
  <c r="C89" i="40"/>
  <c r="E89" i="40" s="1"/>
  <c r="F89" i="40" s="1"/>
  <c r="G89" i="40" s="1"/>
  <c r="D16" i="40" s="1"/>
  <c r="C88" i="40"/>
  <c r="E88" i="40"/>
  <c r="F88" i="40" s="1"/>
  <c r="G88" i="40"/>
  <c r="D15" i="40" s="1"/>
  <c r="D26" i="40" s="1"/>
  <c r="E26" i="40" s="1"/>
  <c r="T86" i="40"/>
  <c r="F80" i="40"/>
  <c r="F82" i="40" s="1"/>
  <c r="F83" i="40" s="1"/>
  <c r="C79" i="40"/>
  <c r="F76" i="40"/>
  <c r="C75" i="40"/>
  <c r="C71" i="40"/>
  <c r="G64" i="40"/>
  <c r="G62" i="40"/>
  <c r="D62" i="40"/>
  <c r="C48" i="40"/>
  <c r="C28" i="40"/>
  <c r="E29" i="40" s="1"/>
  <c r="C26" i="40"/>
  <c r="D25" i="40"/>
  <c r="C25" i="40"/>
  <c r="M24" i="40"/>
  <c r="N24" i="40" s="1"/>
  <c r="E22" i="40"/>
  <c r="D22" i="40"/>
  <c r="C22" i="40"/>
  <c r="L15" i="40"/>
  <c r="L12" i="40"/>
  <c r="L11" i="40"/>
  <c r="L10" i="40"/>
  <c r="L9" i="40"/>
  <c r="L8" i="40"/>
  <c r="L7" i="40"/>
  <c r="N80" i="39"/>
  <c r="M80" i="39"/>
  <c r="L80" i="39"/>
  <c r="K80" i="39"/>
  <c r="J80" i="39"/>
  <c r="I80" i="39"/>
  <c r="H80" i="39"/>
  <c r="G80" i="39"/>
  <c r="F80" i="39"/>
  <c r="E80" i="39"/>
  <c r="D78" i="39"/>
  <c r="D75" i="39"/>
  <c r="D74" i="39"/>
  <c r="D71" i="39"/>
  <c r="D70" i="39" s="1"/>
  <c r="D65" i="39"/>
  <c r="N54" i="39"/>
  <c r="M54" i="39"/>
  <c r="L54" i="39"/>
  <c r="K54" i="39"/>
  <c r="J54" i="39"/>
  <c r="I54" i="39"/>
  <c r="H54" i="39"/>
  <c r="G54" i="39"/>
  <c r="F54" i="39"/>
  <c r="E54" i="39"/>
  <c r="D52" i="39"/>
  <c r="D49" i="39"/>
  <c r="D48" i="39"/>
  <c r="D45" i="39"/>
  <c r="D39" i="39"/>
  <c r="N28" i="39"/>
  <c r="M28" i="39"/>
  <c r="L28" i="39"/>
  <c r="K28" i="39"/>
  <c r="J28" i="39"/>
  <c r="I28" i="39"/>
  <c r="H28" i="39"/>
  <c r="G28" i="39"/>
  <c r="F28" i="39"/>
  <c r="E28" i="39"/>
  <c r="D26" i="39"/>
  <c r="D21" i="39"/>
  <c r="D20" i="39"/>
  <c r="D17" i="39"/>
  <c r="D16" i="39"/>
  <c r="D12" i="39"/>
  <c r="D11" i="39"/>
  <c r="H5" i="39"/>
  <c r="D5" i="39"/>
  <c r="V16" i="38"/>
  <c r="N80" i="38"/>
  <c r="M80" i="38"/>
  <c r="L80" i="38"/>
  <c r="K80" i="38"/>
  <c r="J80" i="38"/>
  <c r="I80" i="38"/>
  <c r="H80" i="38"/>
  <c r="G80" i="38"/>
  <c r="F80" i="38"/>
  <c r="E80" i="38"/>
  <c r="D76" i="38"/>
  <c r="D75" i="38"/>
  <c r="D72" i="38"/>
  <c r="D64" i="38"/>
  <c r="K59" i="38"/>
  <c r="D80" i="38" s="1"/>
  <c r="N53" i="38"/>
  <c r="M53" i="38"/>
  <c r="L53" i="38"/>
  <c r="K53" i="38"/>
  <c r="J53" i="38"/>
  <c r="I53" i="38"/>
  <c r="H53" i="38"/>
  <c r="G53" i="38"/>
  <c r="F53" i="38"/>
  <c r="E53" i="38"/>
  <c r="D49" i="38"/>
  <c r="D48" i="38"/>
  <c r="D45" i="38"/>
  <c r="D37" i="38"/>
  <c r="N26" i="38"/>
  <c r="M26" i="38"/>
  <c r="L26" i="38"/>
  <c r="K26" i="38"/>
  <c r="J26" i="38"/>
  <c r="I26" i="38"/>
  <c r="H26" i="38"/>
  <c r="G26" i="38"/>
  <c r="F26" i="38"/>
  <c r="E26" i="38"/>
  <c r="D22" i="38"/>
  <c r="D21" i="38"/>
  <c r="D18" i="38"/>
  <c r="D10" i="38"/>
  <c r="H5" i="38"/>
  <c r="D5" i="38"/>
  <c r="T23" i="37"/>
  <c r="U16" i="37"/>
  <c r="O24" i="40"/>
  <c r="L25" i="40"/>
  <c r="M25" i="40" s="1"/>
  <c r="N25" i="40" s="1"/>
  <c r="E25" i="40"/>
  <c r="D44" i="39"/>
  <c r="D79" i="38"/>
  <c r="D71" i="38"/>
  <c r="N82" i="37"/>
  <c r="M82" i="37"/>
  <c r="L82" i="37"/>
  <c r="K82" i="37"/>
  <c r="J82" i="37"/>
  <c r="I82" i="37"/>
  <c r="H82" i="37"/>
  <c r="G82" i="37"/>
  <c r="F82" i="37"/>
  <c r="E82" i="37"/>
  <c r="D78" i="37"/>
  <c r="D77" i="37"/>
  <c r="D74" i="37"/>
  <c r="D66" i="37"/>
  <c r="D61" i="37"/>
  <c r="N55" i="37"/>
  <c r="M55" i="37"/>
  <c r="L55" i="37"/>
  <c r="K55" i="37"/>
  <c r="J55" i="37"/>
  <c r="I55" i="37"/>
  <c r="H55" i="37"/>
  <c r="G55" i="37"/>
  <c r="F55" i="37"/>
  <c r="E55" i="37"/>
  <c r="D51" i="37"/>
  <c r="D50" i="37"/>
  <c r="D47" i="37"/>
  <c r="D39" i="37"/>
  <c r="D34" i="37"/>
  <c r="N28" i="37"/>
  <c r="M28" i="37"/>
  <c r="L28" i="37"/>
  <c r="K28" i="37"/>
  <c r="J28" i="37"/>
  <c r="I28" i="37"/>
  <c r="H28" i="37"/>
  <c r="G28" i="37"/>
  <c r="F28" i="37"/>
  <c r="E28" i="37"/>
  <c r="D22" i="37"/>
  <c r="D21" i="37"/>
  <c r="D18" i="37"/>
  <c r="D10" i="37"/>
  <c r="H5" i="37"/>
  <c r="D5" i="37"/>
  <c r="Z32" i="32"/>
  <c r="X32" i="32"/>
  <c r="G32" i="32"/>
  <c r="H32" i="32"/>
  <c r="H39" i="32" s="1"/>
  <c r="AA25" i="2"/>
  <c r="C108" i="36"/>
  <c r="E108" i="36"/>
  <c r="F108" i="36" s="1"/>
  <c r="G108" i="36" s="1"/>
  <c r="D18" i="36" s="1"/>
  <c r="C107" i="36"/>
  <c r="E107" i="36"/>
  <c r="F107" i="36"/>
  <c r="G107" i="36" s="1"/>
  <c r="D17" i="36" s="1"/>
  <c r="T105" i="36"/>
  <c r="F99" i="36"/>
  <c r="F101" i="36" s="1"/>
  <c r="F102" i="36" s="1"/>
  <c r="C98" i="36"/>
  <c r="F95" i="36"/>
  <c r="C94" i="36"/>
  <c r="C90" i="36"/>
  <c r="G81" i="36"/>
  <c r="G83" i="36"/>
  <c r="D81" i="36"/>
  <c r="C67" i="36"/>
  <c r="C30" i="36"/>
  <c r="C29" i="36"/>
  <c r="C31" i="36" s="1"/>
  <c r="M30" i="36"/>
  <c r="N30" i="36"/>
  <c r="E20" i="36"/>
  <c r="D26" i="36"/>
  <c r="C26" i="36"/>
  <c r="L17" i="36"/>
  <c r="L14" i="36"/>
  <c r="L11" i="36"/>
  <c r="L10" i="36"/>
  <c r="L9" i="36"/>
  <c r="L8" i="36"/>
  <c r="L7" i="36"/>
  <c r="AQ7" i="35"/>
  <c r="AN7" i="35"/>
  <c r="AM7" i="35"/>
  <c r="AL7" i="35"/>
  <c r="AK7" i="35"/>
  <c r="AJ7" i="35"/>
  <c r="AI7" i="35"/>
  <c r="F89" i="35"/>
  <c r="G89" i="35" s="1"/>
  <c r="D16" i="35" s="1"/>
  <c r="C89" i="35"/>
  <c r="E89" i="35" s="1"/>
  <c r="C88" i="35"/>
  <c r="E88" i="35"/>
  <c r="F88" i="35" s="1"/>
  <c r="G88" i="35" s="1"/>
  <c r="D15" i="35" s="1"/>
  <c r="D26" i="35" s="1"/>
  <c r="E26" i="35" s="1"/>
  <c r="T86" i="35"/>
  <c r="F80" i="35"/>
  <c r="C79" i="35"/>
  <c r="F76" i="35"/>
  <c r="F82" i="35" s="1"/>
  <c r="F83" i="35" s="1"/>
  <c r="C75" i="35"/>
  <c r="C71" i="35"/>
  <c r="G64" i="35"/>
  <c r="G62" i="35"/>
  <c r="D62" i="35"/>
  <c r="C48" i="35"/>
  <c r="C28" i="35"/>
  <c r="E29" i="35" s="1"/>
  <c r="C26" i="35"/>
  <c r="E25" i="35"/>
  <c r="D25" i="35"/>
  <c r="C25" i="35"/>
  <c r="M24" i="35"/>
  <c r="N24" i="35" s="1"/>
  <c r="L25" i="35" s="1"/>
  <c r="M25" i="35" s="1"/>
  <c r="N25" i="35" s="1"/>
  <c r="O25" i="35" s="1"/>
  <c r="E22" i="35"/>
  <c r="D22" i="35"/>
  <c r="C22" i="35"/>
  <c r="L15" i="35"/>
  <c r="L12" i="35"/>
  <c r="L11" i="35"/>
  <c r="L10" i="35"/>
  <c r="L9" i="35"/>
  <c r="L8" i="35"/>
  <c r="L7" i="35"/>
  <c r="O30" i="36"/>
  <c r="L31" i="36"/>
  <c r="M31" i="36" s="1"/>
  <c r="N31" i="36"/>
  <c r="O31" i="36" s="1"/>
  <c r="K225" i="2"/>
  <c r="J225" i="2"/>
  <c r="K223" i="2"/>
  <c r="I223" i="2"/>
  <c r="I225" i="2"/>
  <c r="L32" i="36"/>
  <c r="M32" i="36" s="1"/>
  <c r="N32" i="36" s="1"/>
  <c r="O32" i="36" s="1"/>
  <c r="J233" i="2"/>
  <c r="H234" i="2"/>
  <c r="J234" i="2"/>
  <c r="H232" i="2"/>
  <c r="J232" i="2"/>
  <c r="C216" i="2"/>
  <c r="C217" i="2"/>
  <c r="C222" i="2"/>
  <c r="C224" i="2"/>
  <c r="C223" i="2"/>
  <c r="D217" i="2"/>
  <c r="D216" i="2"/>
  <c r="C101" i="31"/>
  <c r="M22" i="6"/>
  <c r="L22" i="6"/>
  <c r="J22" i="6"/>
  <c r="K22" i="6"/>
  <c r="E31" i="6"/>
  <c r="E176" i="2"/>
  <c r="D176" i="2"/>
  <c r="C176" i="2"/>
  <c r="F176" i="2" s="1"/>
  <c r="E171" i="2"/>
  <c r="D171" i="2"/>
  <c r="C171" i="2"/>
  <c r="N22" i="6"/>
  <c r="D130" i="21"/>
  <c r="D57" i="21"/>
  <c r="E50" i="21"/>
  <c r="Q7" i="21"/>
  <c r="J6" i="6"/>
  <c r="C99" i="31" s="1"/>
  <c r="I21" i="2"/>
  <c r="Y11" i="2"/>
  <c r="Y13" i="2" s="1"/>
  <c r="Q11" i="2"/>
  <c r="AB16" i="2"/>
  <c r="R21" i="2"/>
  <c r="G21" i="2"/>
  <c r="H21" i="2"/>
  <c r="D21" i="9"/>
  <c r="AI12" i="2"/>
  <c r="E82" i="9"/>
  <c r="E80" i="20"/>
  <c r="AI14" i="2"/>
  <c r="E80" i="14"/>
  <c r="AI15" i="2"/>
  <c r="E80" i="12"/>
  <c r="AI16" i="2"/>
  <c r="E80" i="17"/>
  <c r="E83" i="18"/>
  <c r="E77" i="25"/>
  <c r="F82" i="9"/>
  <c r="F80" i="20"/>
  <c r="F80" i="14"/>
  <c r="F80" i="12"/>
  <c r="F80" i="17"/>
  <c r="F83" i="18"/>
  <c r="F77" i="25"/>
  <c r="G82" i="9"/>
  <c r="G80" i="20"/>
  <c r="G80" i="14"/>
  <c r="G80" i="12"/>
  <c r="G80" i="17"/>
  <c r="G83" i="18"/>
  <c r="G77" i="25"/>
  <c r="H82" i="9"/>
  <c r="H80" i="20"/>
  <c r="H80" i="14"/>
  <c r="H80" i="12"/>
  <c r="H80" i="17"/>
  <c r="H83" i="18"/>
  <c r="H77" i="25"/>
  <c r="I82" i="9"/>
  <c r="I80" i="20"/>
  <c r="I80" i="14"/>
  <c r="I80" i="12"/>
  <c r="I80" i="17"/>
  <c r="I83" i="18"/>
  <c r="I77" i="25"/>
  <c r="J82" i="9"/>
  <c r="J80" i="20"/>
  <c r="J80" i="14"/>
  <c r="J80" i="12"/>
  <c r="J80" i="17"/>
  <c r="J83" i="18"/>
  <c r="J77" i="25"/>
  <c r="K82" i="9"/>
  <c r="K80" i="20"/>
  <c r="K80" i="14"/>
  <c r="D65" i="12"/>
  <c r="D78" i="12"/>
  <c r="K80" i="12"/>
  <c r="D65" i="17"/>
  <c r="D78" i="17"/>
  <c r="K80" i="17"/>
  <c r="D20" i="2"/>
  <c r="E99" i="2" s="1"/>
  <c r="K83" i="18"/>
  <c r="K77" i="25"/>
  <c r="D23" i="2"/>
  <c r="D24" i="2"/>
  <c r="L82" i="9"/>
  <c r="L80" i="20"/>
  <c r="L80" i="14"/>
  <c r="L80" i="12"/>
  <c r="L80" i="17"/>
  <c r="L83" i="18"/>
  <c r="L77" i="25"/>
  <c r="M82" i="9"/>
  <c r="M80" i="20"/>
  <c r="M80" i="14"/>
  <c r="M80" i="12"/>
  <c r="M80" i="17"/>
  <c r="M83" i="18"/>
  <c r="M77" i="25"/>
  <c r="N82" i="9"/>
  <c r="N80" i="20"/>
  <c r="N80" i="14"/>
  <c r="N80" i="12"/>
  <c r="N80" i="17"/>
  <c r="N83" i="18"/>
  <c r="N77" i="25"/>
  <c r="E55" i="9"/>
  <c r="E53" i="20"/>
  <c r="E53" i="14"/>
  <c r="AG15" i="2"/>
  <c r="E54" i="12"/>
  <c r="E54" i="17"/>
  <c r="E55" i="18"/>
  <c r="E51" i="25"/>
  <c r="F55" i="9"/>
  <c r="F53" i="20"/>
  <c r="F53" i="14"/>
  <c r="F54" i="12"/>
  <c r="F54" i="17"/>
  <c r="F55" i="18"/>
  <c r="F51" i="25"/>
  <c r="G55" i="9"/>
  <c r="G53" i="20"/>
  <c r="G53" i="14"/>
  <c r="G54" i="12"/>
  <c r="G54" i="17"/>
  <c r="G55" i="18"/>
  <c r="G51" i="25"/>
  <c r="H55" i="9"/>
  <c r="H53" i="20"/>
  <c r="H53" i="14"/>
  <c r="H54" i="12"/>
  <c r="H54" i="17"/>
  <c r="H55" i="18"/>
  <c r="H51" i="25"/>
  <c r="I55" i="9"/>
  <c r="I53" i="20"/>
  <c r="I53" i="14"/>
  <c r="D39" i="12"/>
  <c r="D52" i="12"/>
  <c r="I54" i="12"/>
  <c r="D39" i="17"/>
  <c r="D52" i="17"/>
  <c r="I54" i="17"/>
  <c r="I55" i="18"/>
  <c r="I51" i="25"/>
  <c r="C23" i="2"/>
  <c r="C24" i="2"/>
  <c r="J55" i="9"/>
  <c r="J53" i="20"/>
  <c r="J53" i="14"/>
  <c r="J54" i="12"/>
  <c r="J54" i="17"/>
  <c r="J55" i="18"/>
  <c r="J51" i="25"/>
  <c r="K55" i="9"/>
  <c r="K53" i="20"/>
  <c r="K53" i="14"/>
  <c r="K54" i="12"/>
  <c r="K54" i="17"/>
  <c r="K55" i="18"/>
  <c r="K51" i="25"/>
  <c r="L55" i="9"/>
  <c r="L53" i="20"/>
  <c r="L53" i="14"/>
  <c r="L54" i="12"/>
  <c r="L54" i="17"/>
  <c r="L55" i="18"/>
  <c r="L51" i="25"/>
  <c r="M55" i="9"/>
  <c r="M53" i="20"/>
  <c r="M53" i="14"/>
  <c r="M54" i="12"/>
  <c r="M54" i="17"/>
  <c r="M55" i="18"/>
  <c r="M51" i="25"/>
  <c r="N55" i="9"/>
  <c r="N53" i="20"/>
  <c r="N53" i="14"/>
  <c r="N54" i="12"/>
  <c r="N54" i="17"/>
  <c r="N55" i="18"/>
  <c r="N51" i="25"/>
  <c r="E28" i="9"/>
  <c r="E26" i="20"/>
  <c r="E26" i="14"/>
  <c r="D26" i="12"/>
  <c r="E28" i="12"/>
  <c r="E28" i="17"/>
  <c r="AE20" i="2"/>
  <c r="E27" i="18"/>
  <c r="E25" i="25"/>
  <c r="F28" i="9"/>
  <c r="F26" i="20"/>
  <c r="F26" i="14"/>
  <c r="D11" i="12"/>
  <c r="F28" i="12"/>
  <c r="D11" i="17"/>
  <c r="D26" i="17"/>
  <c r="F28" i="17"/>
  <c r="F27" i="18"/>
  <c r="F25" i="25"/>
  <c r="G28" i="9"/>
  <c r="G26" i="20"/>
  <c r="G26" i="14"/>
  <c r="G28" i="12"/>
  <c r="G28" i="17"/>
  <c r="G27" i="18"/>
  <c r="G25" i="25"/>
  <c r="H28" i="9"/>
  <c r="H26" i="20"/>
  <c r="H26" i="14"/>
  <c r="H28" i="12"/>
  <c r="H28" i="17"/>
  <c r="H27" i="18"/>
  <c r="H25" i="25"/>
  <c r="I28" i="9"/>
  <c r="I26" i="20"/>
  <c r="I26" i="14"/>
  <c r="I28" i="12"/>
  <c r="I28" i="17"/>
  <c r="I27" i="18"/>
  <c r="I25" i="25"/>
  <c r="J28" i="9"/>
  <c r="J26" i="20"/>
  <c r="J26" i="14"/>
  <c r="J28" i="12"/>
  <c r="J28" i="17"/>
  <c r="J27" i="18"/>
  <c r="J25" i="25"/>
  <c r="K28" i="9"/>
  <c r="K26" i="20"/>
  <c r="K26" i="14"/>
  <c r="K28" i="12"/>
  <c r="K28" i="17"/>
  <c r="K27" i="18"/>
  <c r="K25" i="25"/>
  <c r="L28" i="9"/>
  <c r="L26" i="20"/>
  <c r="L26" i="14"/>
  <c r="L28" i="12"/>
  <c r="L28" i="17"/>
  <c r="L27" i="18"/>
  <c r="L25" i="25"/>
  <c r="M28" i="9"/>
  <c r="M26" i="20"/>
  <c r="M26" i="14"/>
  <c r="M28" i="12"/>
  <c r="M28" i="17"/>
  <c r="M27" i="18"/>
  <c r="M25" i="25"/>
  <c r="N28" i="9"/>
  <c r="N26" i="20"/>
  <c r="N26" i="14"/>
  <c r="N28" i="12"/>
  <c r="N28" i="17"/>
  <c r="N27" i="18"/>
  <c r="N25" i="25"/>
  <c r="D10" i="9"/>
  <c r="D18" i="9"/>
  <c r="D10" i="14"/>
  <c r="D18" i="14"/>
  <c r="D17" i="12"/>
  <c r="D16" i="12"/>
  <c r="D17" i="17"/>
  <c r="D16" i="17"/>
  <c r="D10" i="18"/>
  <c r="D17" i="18"/>
  <c r="D11" i="25"/>
  <c r="D16" i="25"/>
  <c r="K16" i="25" s="1"/>
  <c r="D17" i="25"/>
  <c r="D25" i="25"/>
  <c r="F49" i="21"/>
  <c r="C43" i="36"/>
  <c r="L16" i="2"/>
  <c r="L11" i="2"/>
  <c r="D11" i="2"/>
  <c r="E96" i="2" s="1"/>
  <c r="L7" i="6"/>
  <c r="D37" i="14"/>
  <c r="D45" i="14"/>
  <c r="Y26" i="32"/>
  <c r="D50" i="25"/>
  <c r="L10" i="4"/>
  <c r="D40" i="12"/>
  <c r="D39" i="9"/>
  <c r="D47" i="9"/>
  <c r="D37" i="20"/>
  <c r="D45" i="12"/>
  <c r="D44" i="12"/>
  <c r="D45" i="17"/>
  <c r="D44" i="17"/>
  <c r="D38" i="18"/>
  <c r="D45" i="18"/>
  <c r="D37" i="25"/>
  <c r="D42" i="25"/>
  <c r="L42" i="25" s="1"/>
  <c r="D43" i="25"/>
  <c r="L14" i="2"/>
  <c r="L12" i="2" s="1"/>
  <c r="L13" i="2"/>
  <c r="AB14" i="2"/>
  <c r="AB12" i="2" s="1"/>
  <c r="M7" i="6"/>
  <c r="D64" i="14"/>
  <c r="D72" i="14"/>
  <c r="Z26" i="32"/>
  <c r="D76" i="25"/>
  <c r="D66" i="12"/>
  <c r="D66" i="9"/>
  <c r="D74" i="9"/>
  <c r="D64" i="20"/>
  <c r="D71" i="12"/>
  <c r="D71" i="17"/>
  <c r="D70" i="17"/>
  <c r="D66" i="18"/>
  <c r="D73" i="18"/>
  <c r="D63" i="25"/>
  <c r="D68" i="25"/>
  <c r="N68" i="25"/>
  <c r="D69" i="25"/>
  <c r="I9" i="17"/>
  <c r="J8" i="8"/>
  <c r="L17" i="2"/>
  <c r="D12" i="12"/>
  <c r="J9" i="17"/>
  <c r="K9" i="17" s="1"/>
  <c r="L9" i="17" s="1"/>
  <c r="M9" i="17" s="1"/>
  <c r="N9" i="17" s="1"/>
  <c r="V14" i="2"/>
  <c r="G14" i="2"/>
  <c r="H14" i="2"/>
  <c r="D24" i="25"/>
  <c r="O24" i="25" s="1"/>
  <c r="D20" i="12"/>
  <c r="D21" i="12"/>
  <c r="D20" i="17"/>
  <c r="D21" i="17"/>
  <c r="D22" i="9"/>
  <c r="D10" i="20"/>
  <c r="D21" i="20"/>
  <c r="D22" i="20"/>
  <c r="D21" i="14"/>
  <c r="D22" i="14"/>
  <c r="D22" i="18"/>
  <c r="D23" i="18"/>
  <c r="D20" i="25"/>
  <c r="D21" i="25"/>
  <c r="D16" i="22"/>
  <c r="K7" i="6"/>
  <c r="G39" i="21"/>
  <c r="G40" i="21"/>
  <c r="D62" i="4"/>
  <c r="C127" i="36" s="1"/>
  <c r="W16" i="2"/>
  <c r="W17" i="2" s="1"/>
  <c r="U16" i="2"/>
  <c r="H16" i="2"/>
  <c r="H15" i="2"/>
  <c r="H25" i="2" s="1"/>
  <c r="P21" i="2"/>
  <c r="AK21" i="2" s="1"/>
  <c r="C21" i="2"/>
  <c r="P16" i="2"/>
  <c r="O16" i="2"/>
  <c r="O11" i="2"/>
  <c r="N16" i="2"/>
  <c r="N15" i="2"/>
  <c r="C15" i="2"/>
  <c r="K16" i="2"/>
  <c r="D16" i="2" s="1"/>
  <c r="W11" i="2"/>
  <c r="N14" i="2"/>
  <c r="J14" i="2"/>
  <c r="I14" i="2"/>
  <c r="D14" i="2"/>
  <c r="M21" i="2"/>
  <c r="B21" i="2" s="1"/>
  <c r="M20" i="2"/>
  <c r="B20" i="2"/>
  <c r="K21" i="2"/>
  <c r="P20" i="2"/>
  <c r="E11" i="2"/>
  <c r="B11" i="2"/>
  <c r="C96" i="2"/>
  <c r="E21" i="2"/>
  <c r="F21" i="2"/>
  <c r="F11" i="2"/>
  <c r="G16" i="2"/>
  <c r="G15" i="2"/>
  <c r="D77" i="9"/>
  <c r="D78" i="9"/>
  <c r="D75" i="20"/>
  <c r="D76" i="20"/>
  <c r="D75" i="14"/>
  <c r="D76" i="14"/>
  <c r="D74" i="12"/>
  <c r="D75" i="12"/>
  <c r="D74" i="17"/>
  <c r="D75" i="17"/>
  <c r="D78" i="18"/>
  <c r="D79" i="18"/>
  <c r="D72" i="25"/>
  <c r="D73" i="25"/>
  <c r="D59" i="22"/>
  <c r="D213" i="21"/>
  <c r="E213" i="21"/>
  <c r="F213" i="21"/>
  <c r="G213" i="21"/>
  <c r="H213" i="21"/>
  <c r="I213" i="21"/>
  <c r="M4" i="6"/>
  <c r="L8" i="4"/>
  <c r="Z38" i="32"/>
  <c r="L15" i="4"/>
  <c r="E13" i="2"/>
  <c r="Q13" i="2"/>
  <c r="D77" i="25"/>
  <c r="Q156" i="21"/>
  <c r="J213" i="21"/>
  <c r="K213" i="21"/>
  <c r="L213" i="21"/>
  <c r="M213" i="21"/>
  <c r="E4" i="29"/>
  <c r="G17" i="2"/>
  <c r="B19" i="2"/>
  <c r="AF19" i="2"/>
  <c r="AE21" i="2"/>
  <c r="AE23" i="2"/>
  <c r="AE24" i="2"/>
  <c r="AG24" i="2"/>
  <c r="AH24" i="2" s="1"/>
  <c r="AG23" i="2"/>
  <c r="AH23" i="2" s="1"/>
  <c r="AG21" i="2"/>
  <c r="AH21" i="2" s="1"/>
  <c r="AG19" i="2"/>
  <c r="AG18" i="2"/>
  <c r="C18" i="2"/>
  <c r="P17" i="2"/>
  <c r="N17" i="2"/>
  <c r="AI11" i="2"/>
  <c r="AI13" i="2"/>
  <c r="AI17" i="2"/>
  <c r="K17" i="2"/>
  <c r="AI18" i="2"/>
  <c r="D18" i="2"/>
  <c r="AI19" i="2"/>
  <c r="D19" i="2"/>
  <c r="AI20" i="2"/>
  <c r="AJ20" i="2"/>
  <c r="AI21" i="2"/>
  <c r="AJ21" i="2" s="1"/>
  <c r="AI22" i="2"/>
  <c r="AI23" i="2"/>
  <c r="AI24" i="2"/>
  <c r="AJ24" i="2" s="1"/>
  <c r="Z16" i="2"/>
  <c r="Y16" i="2"/>
  <c r="J21" i="2"/>
  <c r="D21" i="2"/>
  <c r="E100" i="2" s="1"/>
  <c r="Y15" i="2"/>
  <c r="X16" i="2"/>
  <c r="X11" i="2"/>
  <c r="X14" i="2" s="1"/>
  <c r="V23" i="2"/>
  <c r="B23" i="2"/>
  <c r="T10" i="2"/>
  <c r="T16" i="2"/>
  <c r="AE16" i="2" s="1"/>
  <c r="S15" i="2"/>
  <c r="S16" i="2"/>
  <c r="R24" i="2"/>
  <c r="AC24" i="2" s="1"/>
  <c r="B24" i="2"/>
  <c r="Q16" i="2"/>
  <c r="N22" i="2"/>
  <c r="M16" i="2"/>
  <c r="J15" i="2"/>
  <c r="E88" i="4"/>
  <c r="F88" i="4" s="1"/>
  <c r="G88" i="4" s="1"/>
  <c r="D15" i="4" s="1"/>
  <c r="D26" i="4" s="1"/>
  <c r="E26" i="4" s="1"/>
  <c r="C89" i="4"/>
  <c r="E89" i="4" s="1"/>
  <c r="F89" i="4" s="1"/>
  <c r="G89" i="4" s="1"/>
  <c r="D16" i="4" s="1"/>
  <c r="C88" i="4"/>
  <c r="T86" i="4"/>
  <c r="M24" i="4"/>
  <c r="H6" i="42"/>
  <c r="D5" i="9"/>
  <c r="G13" i="2"/>
  <c r="G12" i="2"/>
  <c r="H13" i="2"/>
  <c r="H12" i="2" s="1"/>
  <c r="M14" i="2"/>
  <c r="M13" i="2"/>
  <c r="S13" i="2"/>
  <c r="S14" i="2"/>
  <c r="S12" i="2" s="1"/>
  <c r="T13" i="2"/>
  <c r="T12" i="2" s="1"/>
  <c r="T14" i="2"/>
  <c r="V13" i="2"/>
  <c r="V12" i="2" s="1"/>
  <c r="X13" i="2"/>
  <c r="Y14" i="2"/>
  <c r="AE14" i="2" s="1"/>
  <c r="R13" i="2"/>
  <c r="R12" i="2" s="1"/>
  <c r="R14" i="2"/>
  <c r="Z13" i="2"/>
  <c r="Z12" i="2" s="1"/>
  <c r="Z14" i="2"/>
  <c r="AB13" i="2"/>
  <c r="D34" i="9"/>
  <c r="Q14" i="2"/>
  <c r="Q12" i="2" s="1"/>
  <c r="N13" i="2"/>
  <c r="N12" i="2" s="1"/>
  <c r="P11" i="2"/>
  <c r="D61" i="9"/>
  <c r="D5" i="20"/>
  <c r="D5" i="14"/>
  <c r="D32" i="14"/>
  <c r="D59" i="14"/>
  <c r="H5" i="9"/>
  <c r="H5" i="20"/>
  <c r="H5" i="14"/>
  <c r="H5" i="12"/>
  <c r="H5" i="17"/>
  <c r="H5" i="18"/>
  <c r="H5" i="25"/>
  <c r="H5" i="22"/>
  <c r="D18" i="20"/>
  <c r="E17" i="2"/>
  <c r="F18" i="2"/>
  <c r="F17" i="2"/>
  <c r="I17" i="2"/>
  <c r="J17" i="2"/>
  <c r="M17" i="2"/>
  <c r="Q17" i="2"/>
  <c r="V17" i="2"/>
  <c r="X17" i="2"/>
  <c r="Y17" i="2"/>
  <c r="Z17" i="2"/>
  <c r="R17" i="2"/>
  <c r="AB17" i="2"/>
  <c r="D18" i="18"/>
  <c r="D19" i="18"/>
  <c r="D39" i="21"/>
  <c r="D40" i="21"/>
  <c r="D51" i="21"/>
  <c r="D52" i="21"/>
  <c r="D49" i="21"/>
  <c r="D50" i="21"/>
  <c r="D67" i="21"/>
  <c r="D5" i="12"/>
  <c r="M8" i="8"/>
  <c r="I7" i="8"/>
  <c r="J7" i="8"/>
  <c r="M7" i="8"/>
  <c r="R7" i="8"/>
  <c r="D5" i="17"/>
  <c r="D5" i="18"/>
  <c r="D5" i="22"/>
  <c r="K5" i="6"/>
  <c r="K6" i="6"/>
  <c r="K8" i="6"/>
  <c r="K10" i="6"/>
  <c r="K11" i="6"/>
  <c r="K18" i="6"/>
  <c r="K20" i="6"/>
  <c r="K21" i="6"/>
  <c r="K23" i="6"/>
  <c r="K24" i="6"/>
  <c r="J6" i="8"/>
  <c r="M6" i="8"/>
  <c r="R6" i="8"/>
  <c r="S9" i="8"/>
  <c r="U9" i="8" s="1"/>
  <c r="H25" i="17" s="1"/>
  <c r="D12" i="18"/>
  <c r="J16" i="25"/>
  <c r="D11" i="22"/>
  <c r="D12" i="22"/>
  <c r="I13" i="2"/>
  <c r="J13" i="2"/>
  <c r="K13" i="2"/>
  <c r="K12" i="2"/>
  <c r="K14" i="2"/>
  <c r="L21" i="2"/>
  <c r="L25" i="2" s="1"/>
  <c r="V22" i="2"/>
  <c r="V25" i="2" s="1"/>
  <c r="E22" i="2"/>
  <c r="F22" i="2"/>
  <c r="G22" i="2"/>
  <c r="H22" i="2"/>
  <c r="I22" i="2"/>
  <c r="I25" i="2"/>
  <c r="J22" i="2"/>
  <c r="K22" i="2"/>
  <c r="L22" i="2"/>
  <c r="M22" i="2"/>
  <c r="O22" i="2"/>
  <c r="P22" i="2"/>
  <c r="Q22" i="2"/>
  <c r="R22" i="2"/>
  <c r="R25" i="2"/>
  <c r="S22" i="2"/>
  <c r="T22" i="2"/>
  <c r="U22" i="2"/>
  <c r="W22" i="2"/>
  <c r="X22" i="2"/>
  <c r="Y22" i="2"/>
  <c r="Z22" i="2"/>
  <c r="AB22" i="2"/>
  <c r="AB25" i="2" s="1"/>
  <c r="AC2" i="2"/>
  <c r="G18" i="33"/>
  <c r="H18" i="33"/>
  <c r="O9" i="17"/>
  <c r="R11" i="21"/>
  <c r="Q10" i="21"/>
  <c r="E67" i="21"/>
  <c r="G16" i="25"/>
  <c r="F39" i="21"/>
  <c r="F40" i="21"/>
  <c r="F51" i="21"/>
  <c r="F52" i="21"/>
  <c r="F50" i="21"/>
  <c r="F67" i="21"/>
  <c r="G51" i="21"/>
  <c r="G52" i="21"/>
  <c r="G49" i="21"/>
  <c r="G50" i="21"/>
  <c r="G67" i="21"/>
  <c r="I16" i="25"/>
  <c r="H39" i="21"/>
  <c r="H40" i="21"/>
  <c r="H51" i="21"/>
  <c r="H52" i="21"/>
  <c r="H49" i="21"/>
  <c r="H50" i="21"/>
  <c r="H67" i="21"/>
  <c r="I39" i="21"/>
  <c r="I40" i="21"/>
  <c r="I51" i="21"/>
  <c r="I52" i="21"/>
  <c r="I49" i="21"/>
  <c r="I50" i="21"/>
  <c r="Q25" i="21"/>
  <c r="R31" i="21"/>
  <c r="E4" i="27"/>
  <c r="E5" i="27"/>
  <c r="I67" i="21"/>
  <c r="J39" i="21"/>
  <c r="J40" i="21"/>
  <c r="J51" i="21"/>
  <c r="J52" i="21"/>
  <c r="J49" i="21"/>
  <c r="J50" i="21"/>
  <c r="J67" i="21"/>
  <c r="L16" i="25"/>
  <c r="K39" i="21"/>
  <c r="K40" i="21"/>
  <c r="K51" i="21"/>
  <c r="K52" i="21"/>
  <c r="K49" i="21"/>
  <c r="K50" i="21"/>
  <c r="K67" i="21"/>
  <c r="M16" i="25"/>
  <c r="L39" i="21"/>
  <c r="L40" i="21"/>
  <c r="L51" i="21"/>
  <c r="L52" i="21"/>
  <c r="L49" i="21"/>
  <c r="L50" i="21"/>
  <c r="L67" i="21"/>
  <c r="N16" i="25"/>
  <c r="M39" i="21"/>
  <c r="M40" i="21"/>
  <c r="M51" i="21"/>
  <c r="M52" i="21"/>
  <c r="M49" i="21"/>
  <c r="M50" i="21"/>
  <c r="M67" i="21"/>
  <c r="N39" i="21"/>
  <c r="N40" i="21"/>
  <c r="N51" i="21"/>
  <c r="N52" i="21"/>
  <c r="N49" i="21"/>
  <c r="N50" i="21"/>
  <c r="E14" i="27"/>
  <c r="K28" i="22"/>
  <c r="D42" i="22"/>
  <c r="D45" i="20"/>
  <c r="D46" i="18"/>
  <c r="D47" i="18"/>
  <c r="D50" i="9"/>
  <c r="D51" i="9"/>
  <c r="D48" i="20"/>
  <c r="D49" i="20"/>
  <c r="D48" i="14"/>
  <c r="D49" i="14"/>
  <c r="D48" i="12"/>
  <c r="D49" i="12"/>
  <c r="D48" i="17"/>
  <c r="D49" i="17"/>
  <c r="D50" i="18"/>
  <c r="D51" i="18"/>
  <c r="D46" i="25"/>
  <c r="D47" i="25"/>
  <c r="D39" i="22"/>
  <c r="D140" i="21"/>
  <c r="E140" i="21"/>
  <c r="F140" i="21"/>
  <c r="L4" i="6"/>
  <c r="L5" i="6"/>
  <c r="L6" i="6"/>
  <c r="N6" i="6" s="1"/>
  <c r="O7" i="6" s="1"/>
  <c r="L8" i="6"/>
  <c r="L9" i="6"/>
  <c r="L11" i="6"/>
  <c r="L12" i="6"/>
  <c r="L13" i="6"/>
  <c r="L14" i="6"/>
  <c r="L15" i="6"/>
  <c r="L16" i="6"/>
  <c r="L17" i="6"/>
  <c r="L18" i="6"/>
  <c r="L19" i="6"/>
  <c r="L21" i="6"/>
  <c r="L23" i="6"/>
  <c r="L24" i="6"/>
  <c r="D41" i="9"/>
  <c r="D40" i="18"/>
  <c r="D34" i="22"/>
  <c r="D35" i="22"/>
  <c r="G55" i="33"/>
  <c r="H55" i="33" s="1"/>
  <c r="D51" i="25"/>
  <c r="Q80" i="21"/>
  <c r="R84" i="21"/>
  <c r="Q83" i="21"/>
  <c r="G140" i="21"/>
  <c r="H140" i="21"/>
  <c r="I140" i="21"/>
  <c r="J140" i="21"/>
  <c r="Q98" i="21"/>
  <c r="R104" i="21"/>
  <c r="E4" i="28"/>
  <c r="E5" i="28"/>
  <c r="K140" i="21"/>
  <c r="L140" i="21"/>
  <c r="M140" i="21"/>
  <c r="E14" i="28"/>
  <c r="K59" i="20"/>
  <c r="D71" i="20" s="1"/>
  <c r="K61" i="18"/>
  <c r="D82" i="18" s="1"/>
  <c r="K48" i="22"/>
  <c r="D62" i="22"/>
  <c r="D72" i="20"/>
  <c r="D74" i="18"/>
  <c r="D75" i="18"/>
  <c r="M5" i="6"/>
  <c r="M6" i="6"/>
  <c r="M8" i="6"/>
  <c r="M9" i="6"/>
  <c r="M10" i="6"/>
  <c r="M12" i="6"/>
  <c r="M13" i="6"/>
  <c r="M14" i="6"/>
  <c r="M15" i="6"/>
  <c r="M16" i="6"/>
  <c r="M17" i="6"/>
  <c r="M18" i="6"/>
  <c r="M19" i="6"/>
  <c r="M20" i="6"/>
  <c r="M23" i="6"/>
  <c r="M24" i="6"/>
  <c r="D68" i="9"/>
  <c r="G92" i="33"/>
  <c r="H92" i="33"/>
  <c r="Q153" i="21"/>
  <c r="R157" i="21"/>
  <c r="Q171" i="21"/>
  <c r="R176" i="21"/>
  <c r="E5" i="29"/>
  <c r="E14" i="29"/>
  <c r="K103" i="31"/>
  <c r="L103" i="31"/>
  <c r="M103" i="31"/>
  <c r="D46" i="32"/>
  <c r="D48" i="32" s="1"/>
  <c r="D47" i="32"/>
  <c r="D45" i="32"/>
  <c r="D7" i="33"/>
  <c r="D6" i="33"/>
  <c r="D5" i="33"/>
  <c r="D4" i="33"/>
  <c r="D3" i="33"/>
  <c r="D2" i="33"/>
  <c r="Z37" i="32"/>
  <c r="Z36" i="32"/>
  <c r="Z35" i="32"/>
  <c r="Z34" i="32"/>
  <c r="Z30" i="32"/>
  <c r="Y30" i="32"/>
  <c r="Z29" i="32"/>
  <c r="Y29" i="32"/>
  <c r="Z28" i="32"/>
  <c r="Y28" i="32"/>
  <c r="Z27" i="32"/>
  <c r="Y27" i="32"/>
  <c r="Z25" i="32"/>
  <c r="Y25" i="32"/>
  <c r="Z23" i="32"/>
  <c r="Y23" i="32"/>
  <c r="Z22" i="32"/>
  <c r="Y22" i="32"/>
  <c r="Z21" i="32"/>
  <c r="X21" i="32"/>
  <c r="Z19" i="32"/>
  <c r="Y19" i="32"/>
  <c r="Z18" i="32"/>
  <c r="Y18" i="32"/>
  <c r="Z17" i="32"/>
  <c r="X17" i="32"/>
  <c r="Z16" i="32"/>
  <c r="X16" i="32"/>
  <c r="Y15" i="32"/>
  <c r="X15" i="32"/>
  <c r="Y14" i="32"/>
  <c r="X14" i="32"/>
  <c r="Y10" i="32"/>
  <c r="Z10" i="32"/>
  <c r="Y11" i="32"/>
  <c r="Z11" i="32"/>
  <c r="Y12" i="32"/>
  <c r="Z12" i="32"/>
  <c r="Y9" i="32"/>
  <c r="Z9" i="32"/>
  <c r="U38" i="32"/>
  <c r="U37" i="32"/>
  <c r="U36" i="32"/>
  <c r="U35" i="32"/>
  <c r="Y35" i="32" s="1"/>
  <c r="U34" i="32"/>
  <c r="H40" i="32"/>
  <c r="I40" i="32"/>
  <c r="G38" i="32"/>
  <c r="G37" i="32"/>
  <c r="G36" i="32"/>
  <c r="G35" i="32"/>
  <c r="G34" i="32"/>
  <c r="G30" i="32"/>
  <c r="G29" i="32"/>
  <c r="G28" i="32"/>
  <c r="G27" i="32"/>
  <c r="G26" i="32"/>
  <c r="G25" i="32"/>
  <c r="G23" i="32"/>
  <c r="G22" i="32"/>
  <c r="G40" i="32" s="1"/>
  <c r="G41" i="32" s="1"/>
  <c r="G21" i="32"/>
  <c r="G19" i="32"/>
  <c r="G18" i="32"/>
  <c r="G17" i="32"/>
  <c r="G16" i="32"/>
  <c r="G15" i="32"/>
  <c r="G14" i="32"/>
  <c r="G12" i="32"/>
  <c r="G39" i="32" s="1"/>
  <c r="G11" i="32"/>
  <c r="G10" i="32"/>
  <c r="G9" i="32"/>
  <c r="K38" i="32"/>
  <c r="Q38" i="32" s="1"/>
  <c r="X38" i="32" s="1"/>
  <c r="K37" i="32"/>
  <c r="Q37" i="32" s="1"/>
  <c r="K36" i="32"/>
  <c r="Q36" i="32" s="1"/>
  <c r="K35" i="32"/>
  <c r="Q35" i="32"/>
  <c r="X35" i="32" s="1"/>
  <c r="K34" i="32"/>
  <c r="Q34" i="32" s="1"/>
  <c r="Y34" i="32" s="1"/>
  <c r="K30" i="32"/>
  <c r="Q30" i="32" s="1"/>
  <c r="X30" i="32" s="1"/>
  <c r="K29" i="32"/>
  <c r="Q29" i="32" s="1"/>
  <c r="X29" i="32" s="1"/>
  <c r="K28" i="32"/>
  <c r="Q28" i="32"/>
  <c r="X28" i="32"/>
  <c r="K27" i="32"/>
  <c r="Q27" i="32"/>
  <c r="X27" i="32"/>
  <c r="K26" i="32"/>
  <c r="K25" i="32"/>
  <c r="Q25" i="32" s="1"/>
  <c r="X25" i="32" s="1"/>
  <c r="K18" i="32"/>
  <c r="Q18" i="32" s="1"/>
  <c r="X18" i="32" s="1"/>
  <c r="K22" i="32"/>
  <c r="Q22" i="32" s="1"/>
  <c r="X22" i="32" s="1"/>
  <c r="K15" i="32"/>
  <c r="Q15" i="32"/>
  <c r="Z15" i="32" s="1"/>
  <c r="K16" i="32"/>
  <c r="Q16" i="32" s="1"/>
  <c r="K14" i="32"/>
  <c r="Q14" i="32"/>
  <c r="C47" i="32" s="1"/>
  <c r="M100" i="31" s="1"/>
  <c r="M108" i="31" s="1"/>
  <c r="AE119" i="31" s="1"/>
  <c r="Z14" i="32"/>
  <c r="C81" i="24"/>
  <c r="D81" i="24" s="1"/>
  <c r="D70" i="24"/>
  <c r="C70" i="24"/>
  <c r="C50" i="24"/>
  <c r="C51" i="24" s="1"/>
  <c r="C40" i="24"/>
  <c r="D40" i="24" s="1"/>
  <c r="C43" i="24"/>
  <c r="D43" i="24" s="1"/>
  <c r="J21" i="6"/>
  <c r="M21" i="6" s="1"/>
  <c r="N21" i="6" s="1"/>
  <c r="J20" i="6"/>
  <c r="L20" i="6"/>
  <c r="J19" i="6"/>
  <c r="C98" i="31" s="1"/>
  <c r="H21" i="6"/>
  <c r="H20" i="6"/>
  <c r="H19" i="6"/>
  <c r="D52" i="31"/>
  <c r="E45" i="31"/>
  <c r="F45" i="31"/>
  <c r="G45" i="31"/>
  <c r="H45" i="31"/>
  <c r="I45" i="31"/>
  <c r="J45" i="31"/>
  <c r="K45" i="31"/>
  <c r="L45" i="31"/>
  <c r="M45" i="31"/>
  <c r="D45" i="31"/>
  <c r="F3" i="31"/>
  <c r="G3" i="31" s="1"/>
  <c r="H3" i="31" s="1"/>
  <c r="I3" i="31" s="1"/>
  <c r="J3" i="31" s="1"/>
  <c r="K3" i="31" s="1"/>
  <c r="L3" i="31" s="1"/>
  <c r="M3" i="31" s="1"/>
  <c r="F58" i="31"/>
  <c r="G58" i="31" s="1"/>
  <c r="H58" i="31" s="1"/>
  <c r="I58" i="31" s="1"/>
  <c r="J58" i="31" s="1"/>
  <c r="K58" i="31" s="1"/>
  <c r="L58" i="31" s="1"/>
  <c r="Q175" i="21"/>
  <c r="Q174" i="21"/>
  <c r="Q102" i="21"/>
  <c r="Q101" i="21"/>
  <c r="Q29" i="21"/>
  <c r="Q28" i="21"/>
  <c r="D65" i="25"/>
  <c r="D13" i="25"/>
  <c r="D39" i="25"/>
  <c r="AK24" i="2"/>
  <c r="G10" i="8"/>
  <c r="U10" i="8" s="1"/>
  <c r="F25" i="9" s="1"/>
  <c r="R10" i="8"/>
  <c r="H4" i="6"/>
  <c r="J4" i="6" s="1"/>
  <c r="C102" i="31" s="1"/>
  <c r="J15" i="6"/>
  <c r="K15" i="6" s="1"/>
  <c r="N15" i="6" s="1"/>
  <c r="K14" i="6"/>
  <c r="J13" i="6"/>
  <c r="K13" i="6" s="1"/>
  <c r="N13" i="6" s="1"/>
  <c r="H15" i="6"/>
  <c r="H14" i="6"/>
  <c r="J14" i="6" s="1"/>
  <c r="H13" i="6"/>
  <c r="J16" i="6"/>
  <c r="K16" i="6" s="1"/>
  <c r="N16" i="6" s="1"/>
  <c r="H17" i="6"/>
  <c r="J17" i="6" s="1"/>
  <c r="K17" i="6" s="1"/>
  <c r="H16" i="6"/>
  <c r="J12" i="6"/>
  <c r="C97" i="31" s="1"/>
  <c r="H12" i="6"/>
  <c r="D55" i="22"/>
  <c r="D54" i="22"/>
  <c r="F80" i="4"/>
  <c r="F76" i="4"/>
  <c r="F82" i="4" s="1"/>
  <c r="F83" i="4" s="1"/>
  <c r="J9" i="8"/>
  <c r="G8" i="8"/>
  <c r="F7" i="8"/>
  <c r="E7" i="8" s="1"/>
  <c r="F6" i="8"/>
  <c r="C75" i="4"/>
  <c r="C48" i="4"/>
  <c r="E22" i="4"/>
  <c r="C28" i="4"/>
  <c r="E29" i="4" s="1"/>
  <c r="C26" i="4"/>
  <c r="AK18" i="2"/>
  <c r="AK23" i="2"/>
  <c r="AK11" i="2"/>
  <c r="D22" i="4"/>
  <c r="C22" i="4"/>
  <c r="L12" i="4"/>
  <c r="D68" i="18" s="1"/>
  <c r="L11" i="4"/>
  <c r="D12" i="17" s="1"/>
  <c r="L9" i="4"/>
  <c r="D66" i="20" s="1"/>
  <c r="L7" i="4"/>
  <c r="C71" i="4"/>
  <c r="G62" i="4"/>
  <c r="G64" i="4" s="1"/>
  <c r="D25" i="4"/>
  <c r="E25" i="4" s="1"/>
  <c r="C25" i="4"/>
  <c r="H3" i="2"/>
  <c r="G3" i="2"/>
  <c r="F3" i="2"/>
  <c r="AK19" i="2"/>
  <c r="AC23" i="2"/>
  <c r="AL24" i="2"/>
  <c r="AK11" i="1"/>
  <c r="AK12" i="1"/>
  <c r="AK13" i="1"/>
  <c r="AN13" i="1" s="1"/>
  <c r="AK15" i="1"/>
  <c r="AN15" i="1" s="1"/>
  <c r="AK17" i="1"/>
  <c r="AQ23" i="1"/>
  <c r="AQ26" i="1"/>
  <c r="AN17" i="1"/>
  <c r="AM10" i="1"/>
  <c r="AM11" i="1"/>
  <c r="AN11" i="1" s="1"/>
  <c r="AM12" i="1"/>
  <c r="AN12" i="1" s="1"/>
  <c r="AM14" i="1"/>
  <c r="AN14" i="1" s="1"/>
  <c r="AM15" i="1"/>
  <c r="AM16" i="1"/>
  <c r="AM17" i="1"/>
  <c r="Y41" i="1"/>
  <c r="AA41" i="1" s="1"/>
  <c r="Z36" i="1"/>
  <c r="AA36" i="1" s="1"/>
  <c r="AF9" i="1"/>
  <c r="AA32" i="1"/>
  <c r="AA30" i="1"/>
  <c r="Z31" i="1"/>
  <c r="Y31" i="1"/>
  <c r="AA31" i="1" s="1"/>
  <c r="W30" i="1"/>
  <c r="AA26" i="1"/>
  <c r="AA27" i="1"/>
  <c r="AA25" i="1"/>
  <c r="W27" i="1"/>
  <c r="X27" i="1"/>
  <c r="AC9" i="1"/>
  <c r="AC8" i="1"/>
  <c r="AC7" i="1"/>
  <c r="AB8" i="1"/>
  <c r="AB9" i="1"/>
  <c r="AB7" i="1"/>
  <c r="AA9" i="1"/>
  <c r="AA8" i="1"/>
  <c r="AA7" i="1"/>
  <c r="Z9" i="1"/>
  <c r="Z8" i="1"/>
  <c r="Z7" i="1"/>
  <c r="Y9" i="1"/>
  <c r="Y8" i="1"/>
  <c r="Y7" i="1"/>
  <c r="V9" i="1"/>
  <c r="V7" i="1"/>
  <c r="X16" i="1"/>
  <c r="AK16" i="1" s="1"/>
  <c r="AN16" i="1" s="1"/>
  <c r="U9" i="1"/>
  <c r="U13" i="1"/>
  <c r="U7" i="1"/>
  <c r="T9" i="1"/>
  <c r="T8" i="1"/>
  <c r="S15" i="1"/>
  <c r="I9" i="1"/>
  <c r="I8" i="1"/>
  <c r="I7" i="1"/>
  <c r="E9" i="1"/>
  <c r="E8" i="1"/>
  <c r="E7" i="1"/>
  <c r="D9" i="1"/>
  <c r="D8" i="1"/>
  <c r="AK8" i="1" s="1"/>
  <c r="D7" i="1"/>
  <c r="C9" i="1"/>
  <c r="C8" i="1"/>
  <c r="C7" i="1"/>
  <c r="AK7" i="1" s="1"/>
  <c r="B9" i="1"/>
  <c r="AK9" i="1" s="1"/>
  <c r="B8" i="1"/>
  <c r="B7" i="1"/>
  <c r="R13" i="1"/>
  <c r="Q9" i="1"/>
  <c r="Q13" i="1"/>
  <c r="AM13" i="1" s="1"/>
  <c r="P9" i="1"/>
  <c r="P7" i="1"/>
  <c r="AM7" i="1" s="1"/>
  <c r="O9" i="1"/>
  <c r="O7" i="1"/>
  <c r="N14" i="1"/>
  <c r="AK14" i="1" s="1"/>
  <c r="N9" i="1"/>
  <c r="N7" i="1"/>
  <c r="M8" i="1"/>
  <c r="L9" i="1"/>
  <c r="L13" i="1"/>
  <c r="K9" i="1"/>
  <c r="K7" i="1"/>
  <c r="K8" i="1"/>
  <c r="J9" i="1"/>
  <c r="J7" i="1"/>
  <c r="H8" i="1"/>
  <c r="F10" i="1"/>
  <c r="AK10" i="1" s="1"/>
  <c r="AN10" i="1" s="1"/>
  <c r="G8" i="1"/>
  <c r="F8" i="1"/>
  <c r="K12" i="6"/>
  <c r="N12" i="6" s="1"/>
  <c r="K19" i="6"/>
  <c r="N19" i="6" s="1"/>
  <c r="H6" i="38"/>
  <c r="H6" i="39"/>
  <c r="M37" i="21"/>
  <c r="K37" i="21"/>
  <c r="J37" i="21"/>
  <c r="N37" i="21"/>
  <c r="H6" i="17"/>
  <c r="H6" i="37"/>
  <c r="D37" i="21"/>
  <c r="H6" i="22"/>
  <c r="H6" i="9"/>
  <c r="H6" i="18"/>
  <c r="E26" i="18" s="1"/>
  <c r="E28" i="18" s="1"/>
  <c r="D32" i="21" s="1"/>
  <c r="Y16" i="32"/>
  <c r="X34" i="32"/>
  <c r="AF23" i="2"/>
  <c r="D22" i="2"/>
  <c r="AJ19" i="2"/>
  <c r="AC3" i="2"/>
  <c r="AG22" i="2"/>
  <c r="I12" i="2"/>
  <c r="D17" i="2"/>
  <c r="X12" i="2"/>
  <c r="M12" i="2"/>
  <c r="AG17" i="2"/>
  <c r="AJ23" i="2"/>
  <c r="P25" i="2"/>
  <c r="N63" i="35"/>
  <c r="Q25" i="2"/>
  <c r="Y25" i="2"/>
  <c r="O65" i="35"/>
  <c r="O84" i="36"/>
  <c r="W25" i="2"/>
  <c r="O85" i="36"/>
  <c r="AE22" i="2"/>
  <c r="AF24" i="2"/>
  <c r="N7" i="6"/>
  <c r="N20" i="6"/>
  <c r="I37" i="21"/>
  <c r="H6" i="12"/>
  <c r="H37" i="21"/>
  <c r="N18" i="6"/>
  <c r="H6" i="25"/>
  <c r="N17" i="6"/>
  <c r="H6" i="14"/>
  <c r="N24" i="4"/>
  <c r="N8" i="6"/>
  <c r="N24" i="6"/>
  <c r="H6" i="20"/>
  <c r="L37" i="21"/>
  <c r="N14" i="6"/>
  <c r="N5" i="6"/>
  <c r="L7" i="8"/>
  <c r="N7" i="8" s="1"/>
  <c r="U7" i="8" s="1"/>
  <c r="C99" i="2"/>
  <c r="O65" i="4"/>
  <c r="T17" i="2"/>
  <c r="AK17" i="2" s="1"/>
  <c r="AF20" i="2"/>
  <c r="K5" i="42" s="1"/>
  <c r="K5" i="22"/>
  <c r="D22" i="22" s="1"/>
  <c r="J25" i="2"/>
  <c r="C20" i="2"/>
  <c r="S17" i="2"/>
  <c r="P13" i="2"/>
  <c r="W14" i="2"/>
  <c r="E25" i="2"/>
  <c r="S25" i="2"/>
  <c r="E14" i="2"/>
  <c r="E12" i="2" s="1"/>
  <c r="W13" i="2"/>
  <c r="AG11" i="2"/>
  <c r="N25" i="2"/>
  <c r="T15" i="2"/>
  <c r="AE15" i="2" s="1"/>
  <c r="AG16" i="2"/>
  <c r="G25" i="2"/>
  <c r="O25" i="2"/>
  <c r="P14" i="2"/>
  <c r="Z25" i="2"/>
  <c r="AE11" i="2"/>
  <c r="AF11" i="2"/>
  <c r="O19" i="2"/>
  <c r="C22" i="2"/>
  <c r="C16" i="2"/>
  <c r="AG13" i="2"/>
  <c r="AJ18" i="2"/>
  <c r="AH18" i="2"/>
  <c r="B22" i="2"/>
  <c r="AJ16" i="2"/>
  <c r="K60" i="17" s="1"/>
  <c r="AL23" i="2"/>
  <c r="D21" i="22"/>
  <c r="H21" i="22" s="1"/>
  <c r="H23" i="22" s="1"/>
  <c r="G34" i="21" s="1"/>
  <c r="E101" i="2"/>
  <c r="AJ22" i="2"/>
  <c r="O66" i="4"/>
  <c r="K5" i="18"/>
  <c r="D26" i="18"/>
  <c r="D100" i="2"/>
  <c r="Z40" i="32"/>
  <c r="C12" i="33" s="1"/>
  <c r="C92" i="33" s="1"/>
  <c r="F42" i="25"/>
  <c r="J42" i="25"/>
  <c r="H42" i="25"/>
  <c r="N42" i="25"/>
  <c r="O42" i="25"/>
  <c r="G42" i="25"/>
  <c r="E42" i="25"/>
  <c r="K42" i="25"/>
  <c r="I42" i="25"/>
  <c r="D83" i="18"/>
  <c r="D72" i="18"/>
  <c r="D79" i="20"/>
  <c r="D80" i="20"/>
  <c r="N103" i="31"/>
  <c r="F68" i="25"/>
  <c r="I68" i="25"/>
  <c r="O68" i="25"/>
  <c r="L68" i="25"/>
  <c r="H68" i="25"/>
  <c r="M68" i="25"/>
  <c r="J68" i="25"/>
  <c r="G68" i="25"/>
  <c r="E68" i="25"/>
  <c r="K68" i="25"/>
  <c r="D70" i="12"/>
  <c r="M42" i="25"/>
  <c r="AI25" i="2"/>
  <c r="AE13" i="2"/>
  <c r="AK13" i="2"/>
  <c r="AJ14" i="2"/>
  <c r="K59" i="14" s="1"/>
  <c r="AJ11" i="2"/>
  <c r="AH15" i="2"/>
  <c r="K34" i="39" s="1"/>
  <c r="K24" i="25"/>
  <c r="K26" i="25"/>
  <c r="J33" i="21" s="1"/>
  <c r="H7" i="39"/>
  <c r="H7" i="42"/>
  <c r="J24" i="25"/>
  <c r="J26" i="25"/>
  <c r="I33" i="21" s="1"/>
  <c r="H26" i="18"/>
  <c r="H28" i="18" s="1"/>
  <c r="G32" i="21" s="1"/>
  <c r="H10" i="39"/>
  <c r="H12" i="39"/>
  <c r="O12" i="39"/>
  <c r="G12" i="39"/>
  <c r="G10" i="39"/>
  <c r="N12" i="39"/>
  <c r="F12" i="39"/>
  <c r="E26" i="39" s="1"/>
  <c r="F10" i="39"/>
  <c r="M12" i="39"/>
  <c r="E12" i="39"/>
  <c r="E10" i="39"/>
  <c r="L12" i="39"/>
  <c r="O21" i="22"/>
  <c r="O23" i="22" s="1"/>
  <c r="N34" i="21" s="1"/>
  <c r="H7" i="37"/>
  <c r="M12" i="37"/>
  <c r="M13" i="37"/>
  <c r="M14" i="37" s="1"/>
  <c r="H7" i="38"/>
  <c r="F9" i="37"/>
  <c r="E21" i="22"/>
  <c r="E23" i="22" s="1"/>
  <c r="D34" i="21" s="1"/>
  <c r="AF22" i="2"/>
  <c r="J21" i="22"/>
  <c r="J23" i="22" s="1"/>
  <c r="I34" i="21" s="1"/>
  <c r="G21" i="22"/>
  <c r="G23" i="22" s="1"/>
  <c r="F34" i="21" s="1"/>
  <c r="N21" i="22"/>
  <c r="N23" i="22"/>
  <c r="M34" i="21"/>
  <c r="M21" i="22"/>
  <c r="M23" i="22"/>
  <c r="L34" i="21" s="1"/>
  <c r="I21" i="22"/>
  <c r="I23" i="22"/>
  <c r="H34" i="21" s="1"/>
  <c r="F21" i="22"/>
  <c r="F23" i="22" s="1"/>
  <c r="E34" i="21" s="1"/>
  <c r="D27" i="18"/>
  <c r="AH16" i="2"/>
  <c r="O26" i="18"/>
  <c r="P12" i="2"/>
  <c r="M26" i="18"/>
  <c r="M28" i="18" s="1"/>
  <c r="L32" i="21" s="1"/>
  <c r="N85" i="36"/>
  <c r="N66" i="35"/>
  <c r="C101" i="2"/>
  <c r="M85" i="36"/>
  <c r="M66" i="35"/>
  <c r="N84" i="36"/>
  <c r="N65" i="35"/>
  <c r="L21" i="22"/>
  <c r="L23" i="22" s="1"/>
  <c r="K34" i="21" s="1"/>
  <c r="K26" i="18"/>
  <c r="K28" i="18"/>
  <c r="J32" i="21" s="1"/>
  <c r="I26" i="18"/>
  <c r="I28" i="18"/>
  <c r="H32" i="21" s="1"/>
  <c r="C173" i="2"/>
  <c r="H7" i="20"/>
  <c r="H7" i="14"/>
  <c r="O24" i="4"/>
  <c r="H7" i="22"/>
  <c r="K9" i="22"/>
  <c r="L25" i="4"/>
  <c r="H7" i="18"/>
  <c r="E10" i="33"/>
  <c r="H7" i="9"/>
  <c r="H7" i="17"/>
  <c r="H7" i="12"/>
  <c r="H7" i="25"/>
  <c r="L26" i="18"/>
  <c r="L28" i="18" s="1"/>
  <c r="K32" i="21" s="1"/>
  <c r="F26" i="18"/>
  <c r="F28" i="18" s="1"/>
  <c r="E32" i="21" s="1"/>
  <c r="L24" i="25"/>
  <c r="L26" i="25"/>
  <c r="K33" i="21" s="1"/>
  <c r="M24" i="25"/>
  <c r="M26" i="25"/>
  <c r="L33" i="21" s="1"/>
  <c r="G26" i="18"/>
  <c r="G28" i="18"/>
  <c r="F32" i="21" s="1"/>
  <c r="N24" i="25"/>
  <c r="N26" i="25" s="1"/>
  <c r="M33" i="21" s="1"/>
  <c r="N26" i="18"/>
  <c r="N28" i="18" s="1"/>
  <c r="M32" i="21"/>
  <c r="E24" i="25"/>
  <c r="E26" i="25"/>
  <c r="D33" i="21" s="1"/>
  <c r="J26" i="18"/>
  <c r="J28" i="18"/>
  <c r="I32" i="21" s="1"/>
  <c r="I24" i="25"/>
  <c r="I26" i="25"/>
  <c r="H33" i="21" s="1"/>
  <c r="N66" i="4"/>
  <c r="D101" i="2"/>
  <c r="C19" i="2"/>
  <c r="AH19" i="2" s="1"/>
  <c r="AC19" i="2"/>
  <c r="O17" i="2"/>
  <c r="W12" i="2"/>
  <c r="AH22" i="2"/>
  <c r="D99" i="2"/>
  <c r="F99" i="2" s="1"/>
  <c r="D98" i="2"/>
  <c r="N65" i="4"/>
  <c r="T25" i="2"/>
  <c r="AK15" i="2"/>
  <c r="M66" i="4"/>
  <c r="K34" i="17"/>
  <c r="D54" i="17"/>
  <c r="F101" i="2"/>
  <c r="D16" i="18"/>
  <c r="J9" i="22"/>
  <c r="K12" i="42"/>
  <c r="N9" i="42"/>
  <c r="N10" i="42" s="1"/>
  <c r="F9" i="42"/>
  <c r="F10" i="42" s="1"/>
  <c r="L9" i="42"/>
  <c r="L10" i="42" s="1"/>
  <c r="O12" i="42"/>
  <c r="G12" i="42"/>
  <c r="J9" i="42"/>
  <c r="J10" i="42" s="1"/>
  <c r="M12" i="42"/>
  <c r="I9" i="42"/>
  <c r="I10" i="42"/>
  <c r="E12" i="42"/>
  <c r="L12" i="42"/>
  <c r="H9" i="42"/>
  <c r="H10" i="42" s="1"/>
  <c r="J12" i="42"/>
  <c r="G9" i="42"/>
  <c r="G10" i="42"/>
  <c r="H12" i="42"/>
  <c r="E9" i="42"/>
  <c r="E10" i="42" s="1"/>
  <c r="F12" i="42"/>
  <c r="O9" i="42"/>
  <c r="O10" i="42" s="1"/>
  <c r="N12" i="42"/>
  <c r="M9" i="42"/>
  <c r="M10" i="42" s="1"/>
  <c r="K9" i="42"/>
  <c r="K10" i="42" s="1"/>
  <c r="H34" i="39"/>
  <c r="H33" i="42"/>
  <c r="F13" i="39"/>
  <c r="E13" i="39"/>
  <c r="H13" i="39"/>
  <c r="G13" i="39"/>
  <c r="F12" i="37"/>
  <c r="F13" i="37"/>
  <c r="F14" i="37" s="1"/>
  <c r="K12" i="37"/>
  <c r="K13" i="37" s="1"/>
  <c r="K14" i="37" s="1"/>
  <c r="F17" i="39"/>
  <c r="F11" i="39"/>
  <c r="F20" i="39"/>
  <c r="M9" i="25"/>
  <c r="E9" i="37"/>
  <c r="H9" i="37"/>
  <c r="H10" i="37" s="1"/>
  <c r="H17" i="39"/>
  <c r="H11" i="39"/>
  <c r="H20" i="39" s="1"/>
  <c r="N9" i="25"/>
  <c r="N10" i="25"/>
  <c r="H12" i="37"/>
  <c r="H13" i="37"/>
  <c r="H14" i="37" s="1"/>
  <c r="G12" i="37"/>
  <c r="G13" i="37" s="1"/>
  <c r="G14" i="37" s="1"/>
  <c r="K9" i="25"/>
  <c r="K10" i="25"/>
  <c r="N12" i="37"/>
  <c r="N13" i="37"/>
  <c r="N14" i="37" s="1"/>
  <c r="O12" i="37"/>
  <c r="O13" i="37" s="1"/>
  <c r="O14" i="37" s="1"/>
  <c r="E11" i="39"/>
  <c r="E20" i="39" s="1"/>
  <c r="E17" i="39"/>
  <c r="G11" i="39"/>
  <c r="G20" i="39"/>
  <c r="G17" i="39"/>
  <c r="O9" i="25"/>
  <c r="O10" i="25"/>
  <c r="S10" i="25"/>
  <c r="G9" i="37"/>
  <c r="G18" i="37"/>
  <c r="L12" i="38"/>
  <c r="L14" i="38" s="1"/>
  <c r="L15" i="38" s="1"/>
  <c r="G9" i="38"/>
  <c r="G10" i="38" s="1"/>
  <c r="G21" i="38" s="1"/>
  <c r="G23" i="38" s="1"/>
  <c r="H12" i="38"/>
  <c r="H14" i="38"/>
  <c r="H9" i="38"/>
  <c r="H10" i="38" s="1"/>
  <c r="H21" i="38" s="1"/>
  <c r="G12" i="38"/>
  <c r="G14" i="38" s="1"/>
  <c r="F12" i="38"/>
  <c r="F14" i="38"/>
  <c r="F9" i="38"/>
  <c r="F10" i="38" s="1"/>
  <c r="F21" i="38" s="1"/>
  <c r="F23" i="38" s="1"/>
  <c r="O12" i="38"/>
  <c r="O14" i="38" s="1"/>
  <c r="E9" i="38"/>
  <c r="E10" i="38"/>
  <c r="E21" i="38" s="1"/>
  <c r="N12" i="38"/>
  <c r="N14" i="38" s="1"/>
  <c r="E12" i="38"/>
  <c r="M12" i="38"/>
  <c r="M14" i="38" s="1"/>
  <c r="K12" i="38"/>
  <c r="K14" i="38" s="1"/>
  <c r="H34" i="37"/>
  <c r="H32" i="38"/>
  <c r="E12" i="37"/>
  <c r="L12" i="37"/>
  <c r="L13" i="37" s="1"/>
  <c r="L14" i="37" s="1"/>
  <c r="H18" i="37"/>
  <c r="N9" i="22"/>
  <c r="E10" i="37"/>
  <c r="E18" i="37"/>
  <c r="F10" i="37"/>
  <c r="F18" i="37"/>
  <c r="O12" i="18"/>
  <c r="H9" i="18"/>
  <c r="F9" i="18"/>
  <c r="F10" i="18" s="1"/>
  <c r="J12" i="18"/>
  <c r="K12" i="18"/>
  <c r="E12" i="18"/>
  <c r="E9" i="18"/>
  <c r="G9" i="18"/>
  <c r="F12" i="18"/>
  <c r="L12" i="18"/>
  <c r="G12" i="18"/>
  <c r="M12" i="18"/>
  <c r="N12" i="18"/>
  <c r="H12" i="18"/>
  <c r="N9" i="18"/>
  <c r="N10" i="18"/>
  <c r="O9" i="18"/>
  <c r="O10" i="18" s="1"/>
  <c r="O11" i="18" s="1"/>
  <c r="M65" i="43" s="1"/>
  <c r="M9" i="18"/>
  <c r="M10" i="18" s="1"/>
  <c r="M11" i="18" s="1"/>
  <c r="L9" i="18"/>
  <c r="L10" i="18"/>
  <c r="I9" i="18"/>
  <c r="J9" i="18"/>
  <c r="K9" i="18"/>
  <c r="K10" i="18" s="1"/>
  <c r="H32" i="20"/>
  <c r="H33" i="18"/>
  <c r="D112" i="21"/>
  <c r="E123" i="21"/>
  <c r="F124" i="21"/>
  <c r="G112" i="21"/>
  <c r="H123" i="21"/>
  <c r="I113" i="21"/>
  <c r="K125" i="21"/>
  <c r="L122" i="21"/>
  <c r="M125" i="21"/>
  <c r="N112" i="21"/>
  <c r="D125" i="21"/>
  <c r="E112" i="21"/>
  <c r="F123" i="21"/>
  <c r="I122" i="21"/>
  <c r="J113" i="21"/>
  <c r="N125" i="21"/>
  <c r="M25" i="4"/>
  <c r="H34" i="12"/>
  <c r="H28" i="22"/>
  <c r="D122" i="21"/>
  <c r="E113" i="21"/>
  <c r="I123" i="21"/>
  <c r="J124" i="21"/>
  <c r="L112" i="21"/>
  <c r="N122" i="21"/>
  <c r="D123" i="21"/>
  <c r="E124" i="21"/>
  <c r="J125" i="21"/>
  <c r="K112" i="21"/>
  <c r="L113" i="21"/>
  <c r="M112" i="21"/>
  <c r="N123" i="21"/>
  <c r="H34" i="9"/>
  <c r="F125" i="21"/>
  <c r="G122" i="21"/>
  <c r="N113" i="21"/>
  <c r="F122" i="21"/>
  <c r="G124" i="21"/>
  <c r="G123" i="21"/>
  <c r="K113" i="21"/>
  <c r="N124" i="21"/>
  <c r="G125" i="21"/>
  <c r="K124" i="21"/>
  <c r="M113" i="21"/>
  <c r="H32" i="14"/>
  <c r="D113" i="21"/>
  <c r="J112" i="21"/>
  <c r="K122" i="21"/>
  <c r="M124" i="21"/>
  <c r="M123" i="21"/>
  <c r="H34" i="17"/>
  <c r="D124" i="21"/>
  <c r="J122" i="21"/>
  <c r="K123" i="21"/>
  <c r="M122" i="21"/>
  <c r="E125" i="21"/>
  <c r="F112" i="21"/>
  <c r="G113" i="21"/>
  <c r="I124" i="21"/>
  <c r="L125" i="21"/>
  <c r="H31" i="25"/>
  <c r="E122" i="21"/>
  <c r="F113" i="21"/>
  <c r="I125" i="21"/>
  <c r="L123" i="21"/>
  <c r="I112" i="21"/>
  <c r="J123" i="21"/>
  <c r="L124" i="21"/>
  <c r="H9" i="22"/>
  <c r="E9" i="22"/>
  <c r="F9" i="22"/>
  <c r="G9" i="22"/>
  <c r="M9" i="22"/>
  <c r="L9" i="22"/>
  <c r="I9" i="22"/>
  <c r="O9" i="22"/>
  <c r="O12" i="22" s="1"/>
  <c r="K12" i="25"/>
  <c r="F9" i="25"/>
  <c r="L12" i="25"/>
  <c r="M12" i="25"/>
  <c r="H9" i="25"/>
  <c r="E12" i="25"/>
  <c r="N12" i="25"/>
  <c r="F12" i="25"/>
  <c r="O12" i="25"/>
  <c r="E9" i="25"/>
  <c r="G9" i="25"/>
  <c r="G12" i="25"/>
  <c r="H12" i="25"/>
  <c r="D66" i="21"/>
  <c r="H61" i="21"/>
  <c r="L61" i="21"/>
  <c r="N61" i="21"/>
  <c r="E61" i="21"/>
  <c r="H64" i="21"/>
  <c r="G10" i="33"/>
  <c r="E64" i="21"/>
  <c r="E65" i="21"/>
  <c r="F61" i="21"/>
  <c r="H66" i="21"/>
  <c r="I61" i="21"/>
  <c r="K60" i="21"/>
  <c r="D60" i="21"/>
  <c r="E66" i="21"/>
  <c r="F64" i="21"/>
  <c r="G61" i="21"/>
  <c r="K61" i="21"/>
  <c r="M60" i="21"/>
  <c r="E13" i="27"/>
  <c r="E15" i="27"/>
  <c r="D61" i="21"/>
  <c r="F65" i="21"/>
  <c r="G64" i="21"/>
  <c r="K64" i="21"/>
  <c r="M61" i="21"/>
  <c r="D64" i="21"/>
  <c r="F66" i="21"/>
  <c r="G65" i="21"/>
  <c r="I64" i="21"/>
  <c r="K65" i="21"/>
  <c r="L60" i="21"/>
  <c r="D65" i="21"/>
  <c r="N64" i="21"/>
  <c r="G66" i="21"/>
  <c r="L64" i="21"/>
  <c r="H65" i="21"/>
  <c r="L65" i="21"/>
  <c r="M64" i="21"/>
  <c r="I65" i="21"/>
  <c r="M65" i="21"/>
  <c r="N60" i="21"/>
  <c r="N65" i="21"/>
  <c r="I66" i="21"/>
  <c r="J60" i="21"/>
  <c r="G12" i="12"/>
  <c r="H12" i="12"/>
  <c r="L12" i="12"/>
  <c r="E10" i="12"/>
  <c r="F10" i="12"/>
  <c r="F12" i="12"/>
  <c r="E26" i="12"/>
  <c r="M12" i="12"/>
  <c r="N12" i="12"/>
  <c r="H10" i="12"/>
  <c r="O12" i="12"/>
  <c r="E12" i="12"/>
  <c r="G10" i="12"/>
  <c r="J12" i="14"/>
  <c r="J13" i="14"/>
  <c r="F9" i="14"/>
  <c r="O12" i="14"/>
  <c r="O13" i="14" s="1"/>
  <c r="O14" i="14" s="1"/>
  <c r="M12" i="14"/>
  <c r="M13" i="14" s="1"/>
  <c r="M14" i="14" s="1"/>
  <c r="G12" i="14"/>
  <c r="G13" i="14"/>
  <c r="E12" i="14"/>
  <c r="N12" i="14"/>
  <c r="N13" i="14" s="1"/>
  <c r="N14" i="14" s="1"/>
  <c r="L12" i="14"/>
  <c r="L13" i="14"/>
  <c r="L14" i="14" s="1"/>
  <c r="H12" i="14"/>
  <c r="H13" i="14"/>
  <c r="F12" i="14"/>
  <c r="F13" i="14"/>
  <c r="K12" i="14"/>
  <c r="K13" i="14" s="1"/>
  <c r="K14" i="14" s="1"/>
  <c r="E9" i="14"/>
  <c r="H9" i="14"/>
  <c r="G9" i="14"/>
  <c r="E12" i="17"/>
  <c r="N12" i="17"/>
  <c r="G10" i="17"/>
  <c r="F12" i="17"/>
  <c r="G13" i="17" s="1"/>
  <c r="O12" i="17"/>
  <c r="G12" i="17"/>
  <c r="E10" i="17"/>
  <c r="E17" i="17" s="1"/>
  <c r="H12" i="17"/>
  <c r="F10" i="17"/>
  <c r="K12" i="17"/>
  <c r="L12" i="17"/>
  <c r="H10" i="17"/>
  <c r="M12" i="17"/>
  <c r="E12" i="20"/>
  <c r="F12" i="20"/>
  <c r="F14" i="20"/>
  <c r="F15" i="20" s="1"/>
  <c r="L12" i="20"/>
  <c r="L14" i="20"/>
  <c r="L15" i="20" s="1"/>
  <c r="E9" i="20"/>
  <c r="E10" i="20" s="1"/>
  <c r="G9" i="20"/>
  <c r="G10" i="20" s="1"/>
  <c r="G21" i="20" s="1"/>
  <c r="O12" i="20"/>
  <c r="O14" i="20"/>
  <c r="G12" i="20"/>
  <c r="G14" i="20"/>
  <c r="G15" i="20" s="1"/>
  <c r="M12" i="20"/>
  <c r="M14" i="20" s="1"/>
  <c r="N12" i="20"/>
  <c r="N14" i="20" s="1"/>
  <c r="N15" i="20" s="1"/>
  <c r="H9" i="20"/>
  <c r="H12" i="20"/>
  <c r="H14" i="20"/>
  <c r="H15" i="20" s="1"/>
  <c r="K12" i="20"/>
  <c r="K14" i="20"/>
  <c r="F9" i="20"/>
  <c r="E9" i="9"/>
  <c r="E10" i="9" s="1"/>
  <c r="F9" i="9"/>
  <c r="G9" i="9"/>
  <c r="N12" i="9"/>
  <c r="N13" i="9" s="1"/>
  <c r="N14" i="9"/>
  <c r="O12" i="9"/>
  <c r="O13" i="9" s="1"/>
  <c r="O14" i="9" s="1"/>
  <c r="F12" i="9"/>
  <c r="F13" i="9"/>
  <c r="F14" i="9"/>
  <c r="G12" i="9"/>
  <c r="G13" i="9"/>
  <c r="G14" i="9"/>
  <c r="H9" i="9"/>
  <c r="H12" i="9"/>
  <c r="H13" i="9" s="1"/>
  <c r="H14" i="9" s="1"/>
  <c r="L12" i="9"/>
  <c r="L13" i="9" s="1"/>
  <c r="L14" i="9"/>
  <c r="K12" i="9"/>
  <c r="K13" i="9" s="1"/>
  <c r="K14" i="9" s="1"/>
  <c r="M12" i="9"/>
  <c r="M13" i="9" s="1"/>
  <c r="M14" i="9" s="1"/>
  <c r="E12" i="9"/>
  <c r="M10" i="25"/>
  <c r="M11" i="25"/>
  <c r="M20" i="25" s="1"/>
  <c r="E42" i="4"/>
  <c r="AL19" i="2"/>
  <c r="J12" i="22"/>
  <c r="J16" i="22"/>
  <c r="J17" i="22" s="1"/>
  <c r="I23" i="21" s="1"/>
  <c r="J11" i="22"/>
  <c r="K12" i="22"/>
  <c r="K16" i="22"/>
  <c r="K17" i="22" s="1"/>
  <c r="J23" i="21" s="1"/>
  <c r="K11" i="22"/>
  <c r="D43" i="17"/>
  <c r="D53" i="17"/>
  <c r="H15" i="37"/>
  <c r="G11" i="42"/>
  <c r="G22" i="42"/>
  <c r="K22" i="42"/>
  <c r="K11" i="42"/>
  <c r="M11" i="42"/>
  <c r="M22" i="42"/>
  <c r="H22" i="42"/>
  <c r="H11" i="42"/>
  <c r="L22" i="42"/>
  <c r="L11" i="42"/>
  <c r="O11" i="42"/>
  <c r="R10" i="42"/>
  <c r="O22" i="42"/>
  <c r="H13" i="42"/>
  <c r="F13" i="42"/>
  <c r="E13" i="42"/>
  <c r="G13" i="42"/>
  <c r="F22" i="42"/>
  <c r="F11" i="42"/>
  <c r="I22" i="42"/>
  <c r="I11" i="42"/>
  <c r="N11" i="42"/>
  <c r="N22" i="42"/>
  <c r="E11" i="42"/>
  <c r="E22" i="42"/>
  <c r="H35" i="39"/>
  <c r="H34" i="42"/>
  <c r="J22" i="42"/>
  <c r="J11" i="42"/>
  <c r="N11" i="25"/>
  <c r="N20" i="25" s="1"/>
  <c r="O11" i="25"/>
  <c r="O20" i="25" s="1"/>
  <c r="G10" i="37"/>
  <c r="N12" i="22"/>
  <c r="G14" i="14"/>
  <c r="F14" i="14"/>
  <c r="H14" i="14"/>
  <c r="J14" i="14"/>
  <c r="F15" i="37"/>
  <c r="F22" i="37"/>
  <c r="K11" i="25"/>
  <c r="K20" i="25"/>
  <c r="E21" i="39"/>
  <c r="E22" i="39"/>
  <c r="E14" i="39"/>
  <c r="E16" i="39" s="1"/>
  <c r="G21" i="39"/>
  <c r="G22" i="39"/>
  <c r="G14" i="39"/>
  <c r="G16" i="39" s="1"/>
  <c r="H21" i="39"/>
  <c r="H14" i="39"/>
  <c r="H16" i="39" s="1"/>
  <c r="F21" i="39"/>
  <c r="F22" i="39"/>
  <c r="F14" i="39"/>
  <c r="F16" i="39" s="1"/>
  <c r="H15" i="38"/>
  <c r="E13" i="37"/>
  <c r="E14" i="37"/>
  <c r="E15" i="37"/>
  <c r="E22" i="37" s="1"/>
  <c r="E23" i="37" s="1"/>
  <c r="O15" i="38"/>
  <c r="E14" i="38"/>
  <c r="G13" i="38"/>
  <c r="F13" i="38"/>
  <c r="E13" i="38"/>
  <c r="H13" i="38"/>
  <c r="H11" i="38" s="1"/>
  <c r="G15" i="37"/>
  <c r="J110" i="21"/>
  <c r="H33" i="38"/>
  <c r="M15" i="38"/>
  <c r="F15" i="38"/>
  <c r="F21" i="37"/>
  <c r="F11" i="37"/>
  <c r="E11" i="37"/>
  <c r="E21" i="37"/>
  <c r="G11" i="37"/>
  <c r="G21" i="37"/>
  <c r="E110" i="21"/>
  <c r="M110" i="21"/>
  <c r="G110" i="21"/>
  <c r="H35" i="37"/>
  <c r="F110" i="21"/>
  <c r="G17" i="17"/>
  <c r="G11" i="17"/>
  <c r="G20" i="17" s="1"/>
  <c r="G11" i="12"/>
  <c r="G20" i="12" s="1"/>
  <c r="G17" i="12"/>
  <c r="E13" i="25"/>
  <c r="F13" i="25"/>
  <c r="H11" i="22"/>
  <c r="H16" i="22"/>
  <c r="H17" i="22" s="1"/>
  <c r="G23" i="21" s="1"/>
  <c r="H12" i="22"/>
  <c r="H13" i="22"/>
  <c r="I10" i="18"/>
  <c r="G10" i="9"/>
  <c r="G18" i="9"/>
  <c r="E13" i="12"/>
  <c r="F13" i="12"/>
  <c r="H11" i="25"/>
  <c r="H20" i="25" s="1"/>
  <c r="H10" i="25"/>
  <c r="O16" i="22"/>
  <c r="O17" i="22" s="1"/>
  <c r="N23" i="21" s="1"/>
  <c r="O11" i="22"/>
  <c r="D110" i="21"/>
  <c r="L11" i="18"/>
  <c r="L22" i="18"/>
  <c r="H10" i="18"/>
  <c r="F18" i="9"/>
  <c r="F10" i="9"/>
  <c r="F10" i="20"/>
  <c r="F21" i="20"/>
  <c r="F11" i="17"/>
  <c r="F20" i="17" s="1"/>
  <c r="F17" i="17"/>
  <c r="E13" i="17"/>
  <c r="H13" i="17"/>
  <c r="F13" i="17"/>
  <c r="I11" i="22"/>
  <c r="I16" i="22"/>
  <c r="I17" i="22" s="1"/>
  <c r="H23" i="21" s="1"/>
  <c r="I12" i="22"/>
  <c r="M22" i="18"/>
  <c r="E21" i="20"/>
  <c r="G18" i="14"/>
  <c r="G10" i="14"/>
  <c r="E15" i="14"/>
  <c r="E22" i="14" s="1"/>
  <c r="E13" i="14"/>
  <c r="E14" i="14"/>
  <c r="H15" i="14"/>
  <c r="H22" i="14" s="1"/>
  <c r="G15" i="14"/>
  <c r="G22" i="14" s="1"/>
  <c r="F15" i="14"/>
  <c r="F22" i="14" s="1"/>
  <c r="H17" i="12"/>
  <c r="H11" i="12"/>
  <c r="H20" i="12" s="1"/>
  <c r="G10" i="25"/>
  <c r="G11" i="25"/>
  <c r="G20" i="25" s="1"/>
  <c r="L16" i="22"/>
  <c r="L17" i="22" s="1"/>
  <c r="K23" i="21" s="1"/>
  <c r="L12" i="22"/>
  <c r="O22" i="18"/>
  <c r="G10" i="18"/>
  <c r="H10" i="9"/>
  <c r="H18" i="9"/>
  <c r="E11" i="17"/>
  <c r="E20" i="17" s="1"/>
  <c r="H18" i="14"/>
  <c r="H10" i="14"/>
  <c r="E11" i="25"/>
  <c r="E20" i="25" s="1"/>
  <c r="E10" i="25"/>
  <c r="F10" i="25"/>
  <c r="F11" i="25"/>
  <c r="F20" i="25" s="1"/>
  <c r="M12" i="22"/>
  <c r="H33" i="14"/>
  <c r="H32" i="25"/>
  <c r="E50" i="25" s="1"/>
  <c r="E52" i="25" s="1"/>
  <c r="D106" i="21" s="1"/>
  <c r="N25" i="4"/>
  <c r="H35" i="12"/>
  <c r="H29" i="22"/>
  <c r="I42" i="22" s="1"/>
  <c r="I43" i="22" s="1"/>
  <c r="H107" i="21" s="1"/>
  <c r="H35" i="9"/>
  <c r="H33" i="20"/>
  <c r="H34" i="18"/>
  <c r="H35" i="17"/>
  <c r="E53" i="17" s="1"/>
  <c r="E52" i="17" s="1"/>
  <c r="E55" i="17" s="1"/>
  <c r="D104" i="21" s="1"/>
  <c r="E10" i="18"/>
  <c r="H10" i="20"/>
  <c r="H21" i="20" s="1"/>
  <c r="E18" i="14"/>
  <c r="E10" i="14"/>
  <c r="G13" i="22"/>
  <c r="G12" i="22"/>
  <c r="G11" i="22"/>
  <c r="G16" i="22"/>
  <c r="G17" i="22"/>
  <c r="F23" i="21" s="1"/>
  <c r="L110" i="21"/>
  <c r="K110" i="21"/>
  <c r="E13" i="18"/>
  <c r="F13" i="18"/>
  <c r="E13" i="20"/>
  <c r="F13" i="20"/>
  <c r="E14" i="20"/>
  <c r="H13" i="20"/>
  <c r="G13" i="20"/>
  <c r="F11" i="22"/>
  <c r="F14" i="22" s="1"/>
  <c r="F12" i="22"/>
  <c r="F16" i="22"/>
  <c r="F17" i="22" s="1"/>
  <c r="E23" i="21" s="1"/>
  <c r="F13" i="22"/>
  <c r="K22" i="18"/>
  <c r="K11" i="18"/>
  <c r="H15" i="9"/>
  <c r="G15" i="9"/>
  <c r="E13" i="9"/>
  <c r="E14" i="9" s="1"/>
  <c r="E15" i="9"/>
  <c r="F15" i="9"/>
  <c r="H11" i="17"/>
  <c r="H20" i="17"/>
  <c r="H17" i="17"/>
  <c r="F10" i="14"/>
  <c r="F18" i="14"/>
  <c r="F11" i="12"/>
  <c r="F20" i="12"/>
  <c r="F17" i="12"/>
  <c r="E11" i="22"/>
  <c r="E13" i="22"/>
  <c r="E12" i="22"/>
  <c r="E16" i="22"/>
  <c r="E17" i="22"/>
  <c r="D23" i="21" s="1"/>
  <c r="N110" i="21"/>
  <c r="J10" i="18"/>
  <c r="C168" i="2"/>
  <c r="O53" i="17"/>
  <c r="O52" i="17" s="1"/>
  <c r="N53" i="17"/>
  <c r="N52" i="17" s="1"/>
  <c r="N55" i="17" s="1"/>
  <c r="M104" i="21" s="1"/>
  <c r="H53" i="17"/>
  <c r="H52" i="17" s="1"/>
  <c r="H55" i="17" s="1"/>
  <c r="G104" i="21" s="1"/>
  <c r="F53" i="17"/>
  <c r="F52" i="17" s="1"/>
  <c r="F55" i="17" s="1"/>
  <c r="E104" i="21" s="1"/>
  <c r="K53" i="17"/>
  <c r="K52" i="17" s="1"/>
  <c r="K55" i="17" s="1"/>
  <c r="J104" i="21" s="1"/>
  <c r="M53" i="17"/>
  <c r="M52" i="17" s="1"/>
  <c r="M55" i="17" s="1"/>
  <c r="L104" i="21" s="1"/>
  <c r="F23" i="42"/>
  <c r="F24" i="42" s="1"/>
  <c r="F14" i="42"/>
  <c r="H23" i="42"/>
  <c r="H24" i="42" s="1"/>
  <c r="H14" i="42"/>
  <c r="G23" i="42"/>
  <c r="G24" i="42" s="1"/>
  <c r="G14" i="42"/>
  <c r="H36" i="39"/>
  <c r="J40" i="39"/>
  <c r="H35" i="42"/>
  <c r="E14" i="42"/>
  <c r="E23" i="42"/>
  <c r="E24" i="42" s="1"/>
  <c r="G22" i="37"/>
  <c r="G23" i="37" s="1"/>
  <c r="J53" i="17"/>
  <c r="M83" i="36"/>
  <c r="M64" i="40"/>
  <c r="G22" i="38"/>
  <c r="G11" i="38"/>
  <c r="E15" i="38"/>
  <c r="H36" i="37"/>
  <c r="G38" i="37"/>
  <c r="H34" i="38"/>
  <c r="E22" i="38"/>
  <c r="E23" i="38" s="1"/>
  <c r="E11" i="38"/>
  <c r="F22" i="38"/>
  <c r="F11" i="38"/>
  <c r="H22" i="38"/>
  <c r="H23" i="38" s="1"/>
  <c r="N50" i="25"/>
  <c r="N52" i="25"/>
  <c r="M106" i="21" s="1"/>
  <c r="G42" i="22"/>
  <c r="G43" i="22"/>
  <c r="F107" i="21" s="1"/>
  <c r="N42" i="22"/>
  <c r="N43" i="22"/>
  <c r="M107" i="21"/>
  <c r="F23" i="37"/>
  <c r="G14" i="22"/>
  <c r="G15" i="22"/>
  <c r="F25" i="22"/>
  <c r="E14" i="22"/>
  <c r="D12" i="21"/>
  <c r="J42" i="22"/>
  <c r="J43" i="22"/>
  <c r="I107" i="21"/>
  <c r="O42" i="22"/>
  <c r="O43" i="22" s="1"/>
  <c r="N107" i="21" s="1"/>
  <c r="L42" i="22"/>
  <c r="L43" i="22" s="1"/>
  <c r="K107" i="21" s="1"/>
  <c r="G22" i="9"/>
  <c r="H11" i="14"/>
  <c r="H21" i="14"/>
  <c r="H23" i="14" s="1"/>
  <c r="G18" i="21" s="1"/>
  <c r="E11" i="9"/>
  <c r="E21" i="9"/>
  <c r="I12" i="18"/>
  <c r="I11" i="18"/>
  <c r="I22" i="18"/>
  <c r="H22" i="9"/>
  <c r="G11" i="20"/>
  <c r="G22" i="20"/>
  <c r="G23" i="20" s="1"/>
  <c r="F17" i="21" s="1"/>
  <c r="M50" i="25"/>
  <c r="M52" i="25"/>
  <c r="L106" i="21" s="1"/>
  <c r="M64" i="35"/>
  <c r="M64" i="4"/>
  <c r="C167" i="2"/>
  <c r="E42" i="22"/>
  <c r="E43" i="22" s="1"/>
  <c r="D107" i="21" s="1"/>
  <c r="G21" i="17"/>
  <c r="G22" i="17" s="1"/>
  <c r="F20" i="21" s="1"/>
  <c r="G14" i="17"/>
  <c r="G16" i="17"/>
  <c r="E21" i="25"/>
  <c r="E22" i="25" s="1"/>
  <c r="D22" i="21" s="1"/>
  <c r="G11" i="14"/>
  <c r="G21" i="14"/>
  <c r="G23" i="14" s="1"/>
  <c r="F18" i="21" s="1"/>
  <c r="E12" i="21"/>
  <c r="H11" i="20"/>
  <c r="H22" i="20"/>
  <c r="F23" i="18"/>
  <c r="F14" i="18"/>
  <c r="L50" i="25"/>
  <c r="L52" i="25" s="1"/>
  <c r="K106" i="21" s="1"/>
  <c r="E21" i="14"/>
  <c r="E23" i="14" s="1"/>
  <c r="D18" i="21"/>
  <c r="E11" i="14"/>
  <c r="E21" i="17"/>
  <c r="E22" i="17"/>
  <c r="D20" i="21" s="1"/>
  <c r="E14" i="17"/>
  <c r="E16" i="17"/>
  <c r="G11" i="9"/>
  <c r="G21" i="9"/>
  <c r="H21" i="17"/>
  <c r="H22" i="17" s="1"/>
  <c r="G20" i="21" s="1"/>
  <c r="H14" i="17"/>
  <c r="H16" i="17"/>
  <c r="E14" i="18"/>
  <c r="E23" i="18"/>
  <c r="K50" i="25"/>
  <c r="K52" i="25"/>
  <c r="J106" i="21" s="1"/>
  <c r="H11" i="9"/>
  <c r="H21" i="9"/>
  <c r="H11" i="18"/>
  <c r="H22" i="18"/>
  <c r="F21" i="14"/>
  <c r="F23" i="14"/>
  <c r="E18" i="21" s="1"/>
  <c r="F11" i="14"/>
  <c r="F22" i="20"/>
  <c r="F23" i="20"/>
  <c r="F11" i="20"/>
  <c r="O50" i="25"/>
  <c r="J22" i="18"/>
  <c r="J11" i="18"/>
  <c r="F22" i="9"/>
  <c r="E22" i="20"/>
  <c r="E23" i="20" s="1"/>
  <c r="D17" i="21"/>
  <c r="E11" i="20"/>
  <c r="H50" i="25"/>
  <c r="H52" i="25"/>
  <c r="G106" i="21" s="1"/>
  <c r="M42" i="22"/>
  <c r="M43" i="22"/>
  <c r="L107" i="21" s="1"/>
  <c r="H42" i="22"/>
  <c r="H43" i="22"/>
  <c r="G107" i="21" s="1"/>
  <c r="H14" i="22"/>
  <c r="E22" i="9"/>
  <c r="I50" i="25"/>
  <c r="I52" i="25" s="1"/>
  <c r="H106" i="21" s="1"/>
  <c r="G50" i="25"/>
  <c r="G52" i="25"/>
  <c r="F106" i="21" s="1"/>
  <c r="E22" i="18"/>
  <c r="E11" i="18"/>
  <c r="K42" i="22"/>
  <c r="K43" i="22" s="1"/>
  <c r="J107" i="21" s="1"/>
  <c r="F42" i="22"/>
  <c r="F43" i="22" s="1"/>
  <c r="E107" i="21" s="1"/>
  <c r="F21" i="9"/>
  <c r="F11" i="9"/>
  <c r="F21" i="12"/>
  <c r="F22" i="12"/>
  <c r="E19" i="21" s="1"/>
  <c r="F14" i="12"/>
  <c r="F11" i="18"/>
  <c r="F22" i="18"/>
  <c r="J50" i="25"/>
  <c r="J52" i="25" s="1"/>
  <c r="I106" i="21" s="1"/>
  <c r="D173" i="2"/>
  <c r="H34" i="14"/>
  <c r="L26" i="4"/>
  <c r="H34" i="20"/>
  <c r="O25" i="4"/>
  <c r="H36" i="17"/>
  <c r="H30" i="22"/>
  <c r="E11" i="33"/>
  <c r="H36" i="9"/>
  <c r="H33" i="25"/>
  <c r="H36" i="12"/>
  <c r="H35" i="18"/>
  <c r="G22" i="18"/>
  <c r="G11" i="18"/>
  <c r="F14" i="17"/>
  <c r="F16" i="17"/>
  <c r="F21" i="17"/>
  <c r="F22" i="17" s="1"/>
  <c r="E20" i="21" s="1"/>
  <c r="E21" i="12"/>
  <c r="F21" i="25"/>
  <c r="F22" i="25"/>
  <c r="E22" i="21"/>
  <c r="I38" i="39"/>
  <c r="I38" i="37"/>
  <c r="I47" i="37" s="1"/>
  <c r="H38" i="39"/>
  <c r="F41" i="37"/>
  <c r="F42" i="37" s="1"/>
  <c r="F43" i="37" s="1"/>
  <c r="O40" i="39"/>
  <c r="K38" i="39"/>
  <c r="M38" i="39"/>
  <c r="E40" i="39"/>
  <c r="H40" i="39"/>
  <c r="F38" i="39"/>
  <c r="I40" i="39"/>
  <c r="N38" i="39"/>
  <c r="N45" i="39" s="1"/>
  <c r="F24" i="18"/>
  <c r="E21" i="21"/>
  <c r="I41" i="37"/>
  <c r="I42" i="37" s="1"/>
  <c r="I43" i="37" s="1"/>
  <c r="F40" i="39"/>
  <c r="G38" i="39"/>
  <c r="E38" i="39"/>
  <c r="E39" i="39" s="1"/>
  <c r="N40" i="39"/>
  <c r="J38" i="39"/>
  <c r="L38" i="39"/>
  <c r="G40" i="39"/>
  <c r="N37" i="42"/>
  <c r="N38" i="42" s="1"/>
  <c r="F37" i="42"/>
  <c r="F38" i="42" s="1"/>
  <c r="I40" i="42"/>
  <c r="L37" i="42"/>
  <c r="L38" i="42" s="1"/>
  <c r="O40" i="42"/>
  <c r="G40" i="42"/>
  <c r="J37" i="42"/>
  <c r="J38" i="42"/>
  <c r="M40" i="42"/>
  <c r="I37" i="42"/>
  <c r="I38" i="42"/>
  <c r="L40" i="42"/>
  <c r="H37" i="42"/>
  <c r="H38" i="42"/>
  <c r="J40" i="42"/>
  <c r="G37" i="42"/>
  <c r="G38" i="42" s="1"/>
  <c r="H40" i="42"/>
  <c r="E37" i="42"/>
  <c r="E38" i="42" s="1"/>
  <c r="K37" i="42"/>
  <c r="K38" i="42"/>
  <c r="F40" i="42"/>
  <c r="E40" i="42"/>
  <c r="O37" i="42"/>
  <c r="O38" i="42" s="1"/>
  <c r="N40" i="42"/>
  <c r="M37" i="42"/>
  <c r="M38" i="42" s="1"/>
  <c r="H60" i="39"/>
  <c r="H61" i="42"/>
  <c r="F12" i="21"/>
  <c r="O38" i="39"/>
  <c r="O39" i="39" s="1"/>
  <c r="O48" i="39"/>
  <c r="N41" i="37"/>
  <c r="N42" i="37"/>
  <c r="N43" i="37" s="1"/>
  <c r="E38" i="37"/>
  <c r="J38" i="37"/>
  <c r="J47" i="37"/>
  <c r="G41" i="37"/>
  <c r="G42" i="37" s="1"/>
  <c r="G43" i="37" s="1"/>
  <c r="J41" i="37"/>
  <c r="J42" i="37" s="1"/>
  <c r="J43" i="37" s="1"/>
  <c r="H38" i="37"/>
  <c r="O41" i="37"/>
  <c r="O42" i="37"/>
  <c r="O43" i="37" s="1"/>
  <c r="E41" i="37"/>
  <c r="H44" i="37" s="1"/>
  <c r="H51" i="37" s="1"/>
  <c r="F38" i="37"/>
  <c r="F39" i="37" s="1"/>
  <c r="M41" i="37"/>
  <c r="M42" i="37"/>
  <c r="M43" i="37" s="1"/>
  <c r="H41" i="37"/>
  <c r="H42" i="37" s="1"/>
  <c r="H43" i="37" s="1"/>
  <c r="E48" i="39"/>
  <c r="E45" i="39"/>
  <c r="F39" i="39"/>
  <c r="F48" i="39" s="1"/>
  <c r="F45" i="39"/>
  <c r="H39" i="39"/>
  <c r="H48" i="39" s="1"/>
  <c r="H45" i="39"/>
  <c r="K39" i="39"/>
  <c r="K45" i="39"/>
  <c r="N39" i="39"/>
  <c r="N48" i="39" s="1"/>
  <c r="L39" i="39"/>
  <c r="L45" i="39"/>
  <c r="I39" i="39"/>
  <c r="I48" i="39"/>
  <c r="I45" i="39"/>
  <c r="G41" i="39"/>
  <c r="F41" i="39"/>
  <c r="E41" i="39"/>
  <c r="H41" i="39"/>
  <c r="M39" i="39"/>
  <c r="M45" i="39"/>
  <c r="G39" i="39"/>
  <c r="G48" i="39"/>
  <c r="G45" i="39"/>
  <c r="J39" i="39"/>
  <c r="J48" i="39" s="1"/>
  <c r="J45" i="39"/>
  <c r="G25" i="22"/>
  <c r="I39" i="38"/>
  <c r="I41" i="38" s="1"/>
  <c r="M39" i="38"/>
  <c r="M41" i="38"/>
  <c r="E39" i="38"/>
  <c r="F36" i="38"/>
  <c r="F37" i="38" s="1"/>
  <c r="F48" i="38" s="1"/>
  <c r="F50" i="38" s="1"/>
  <c r="J39" i="38"/>
  <c r="J41" i="38" s="1"/>
  <c r="E36" i="38"/>
  <c r="E37" i="38" s="1"/>
  <c r="E48" i="38" s="1"/>
  <c r="H39" i="38"/>
  <c r="H41" i="38" s="1"/>
  <c r="H42" i="38" s="1"/>
  <c r="G39" i="38"/>
  <c r="G41" i="38" s="1"/>
  <c r="F39" i="38"/>
  <c r="F41" i="38" s="1"/>
  <c r="F42" i="38" s="1"/>
  <c r="J36" i="38"/>
  <c r="J37" i="38" s="1"/>
  <c r="J48" i="38" s="1"/>
  <c r="N39" i="38"/>
  <c r="N41" i="38"/>
  <c r="G36" i="38"/>
  <c r="G37" i="38"/>
  <c r="G48" i="38" s="1"/>
  <c r="I36" i="38"/>
  <c r="I37" i="38" s="1"/>
  <c r="I48" i="38" s="1"/>
  <c r="O39" i="38"/>
  <c r="O41" i="38"/>
  <c r="H36" i="38"/>
  <c r="H37" i="38"/>
  <c r="H48" i="38" s="1"/>
  <c r="H61" i="37"/>
  <c r="H59" i="38"/>
  <c r="H39" i="37"/>
  <c r="H47" i="37"/>
  <c r="F47" i="37"/>
  <c r="I39" i="37"/>
  <c r="G39" i="37"/>
  <c r="G47" i="37"/>
  <c r="E39" i="37"/>
  <c r="E47" i="37"/>
  <c r="E23" i="9"/>
  <c r="D16" i="21" s="1"/>
  <c r="E15" i="22"/>
  <c r="E25" i="22"/>
  <c r="H23" i="9"/>
  <c r="E24" i="18"/>
  <c r="D21" i="21" s="1"/>
  <c r="F15" i="22"/>
  <c r="E38" i="25"/>
  <c r="F38" i="25"/>
  <c r="G38" i="25"/>
  <c r="H38" i="25"/>
  <c r="M38" i="25"/>
  <c r="I38" i="25"/>
  <c r="E35" i="25"/>
  <c r="N38" i="25"/>
  <c r="J38" i="25"/>
  <c r="G35" i="25"/>
  <c r="O38" i="25"/>
  <c r="I35" i="25"/>
  <c r="J35" i="25"/>
  <c r="H35" i="25"/>
  <c r="F35" i="25"/>
  <c r="M35" i="25"/>
  <c r="O35" i="25"/>
  <c r="L35" i="25"/>
  <c r="N35" i="25"/>
  <c r="N37" i="25" s="1"/>
  <c r="K35" i="25"/>
  <c r="G39" i="14"/>
  <c r="G40" i="14" s="1"/>
  <c r="H36" i="14"/>
  <c r="F36" i="14"/>
  <c r="E36" i="14"/>
  <c r="G36" i="14"/>
  <c r="J36" i="14"/>
  <c r="F39" i="14"/>
  <c r="F40" i="14" s="1"/>
  <c r="F41" i="14" s="1"/>
  <c r="I36" i="14"/>
  <c r="O39" i="14"/>
  <c r="O40" i="14" s="1"/>
  <c r="N39" i="14"/>
  <c r="N40" i="14" s="1"/>
  <c r="N41" i="14" s="1"/>
  <c r="L39" i="14"/>
  <c r="L40" i="14" s="1"/>
  <c r="L41" i="14" s="1"/>
  <c r="J39" i="14"/>
  <c r="J40" i="14" s="1"/>
  <c r="J41" i="14" s="1"/>
  <c r="M39" i="14"/>
  <c r="M40" i="14" s="1"/>
  <c r="M41" i="14" s="1"/>
  <c r="E39" i="14"/>
  <c r="I39" i="14"/>
  <c r="I40" i="14"/>
  <c r="I41" i="14" s="1"/>
  <c r="H39" i="14"/>
  <c r="H40" i="14" s="1"/>
  <c r="H41" i="14" s="1"/>
  <c r="F23" i="9"/>
  <c r="E16" i="21" s="1"/>
  <c r="N41" i="9"/>
  <c r="N42" i="9" s="1"/>
  <c r="N43" i="9" s="1"/>
  <c r="E38" i="9"/>
  <c r="J38" i="9"/>
  <c r="H38" i="9"/>
  <c r="I38" i="9"/>
  <c r="G38" i="9"/>
  <c r="E41" i="9"/>
  <c r="H41" i="9"/>
  <c r="H42" i="9"/>
  <c r="H43" i="9" s="1"/>
  <c r="I41" i="9"/>
  <c r="I42" i="9" s="1"/>
  <c r="I43" i="9"/>
  <c r="J41" i="9"/>
  <c r="J42" i="9" s="1"/>
  <c r="J43" i="9" s="1"/>
  <c r="G41" i="9"/>
  <c r="G42" i="9" s="1"/>
  <c r="G43" i="9" s="1"/>
  <c r="O41" i="9"/>
  <c r="O42" i="9"/>
  <c r="O43" i="9" s="1"/>
  <c r="M41" i="9"/>
  <c r="M42" i="9" s="1"/>
  <c r="M43" i="9" s="1"/>
  <c r="F38" i="9"/>
  <c r="F41" i="9"/>
  <c r="F42" i="9" s="1"/>
  <c r="F43" i="9"/>
  <c r="F16" i="18"/>
  <c r="H32" i="22"/>
  <c r="I32" i="22"/>
  <c r="E32" i="22"/>
  <c r="F32" i="22"/>
  <c r="G32" i="22"/>
  <c r="J32" i="22"/>
  <c r="M32" i="22"/>
  <c r="N32" i="22"/>
  <c r="L32" i="22"/>
  <c r="K32" i="22"/>
  <c r="O32" i="22"/>
  <c r="J13" i="18"/>
  <c r="K13" i="18"/>
  <c r="I13" i="18"/>
  <c r="O13" i="18"/>
  <c r="M13" i="18"/>
  <c r="L13" i="18"/>
  <c r="N13" i="18"/>
  <c r="G23" i="9"/>
  <c r="F16" i="21" s="1"/>
  <c r="F40" i="12"/>
  <c r="G38" i="12"/>
  <c r="G40" i="12"/>
  <c r="H40" i="12"/>
  <c r="I40" i="12"/>
  <c r="E38" i="12"/>
  <c r="J40" i="12"/>
  <c r="F38" i="12"/>
  <c r="N40" i="12"/>
  <c r="J38" i="12"/>
  <c r="H38" i="12"/>
  <c r="E40" i="12"/>
  <c r="I41" i="12" s="1"/>
  <c r="O40" i="12"/>
  <c r="I38" i="12"/>
  <c r="N38" i="12"/>
  <c r="L38" i="12"/>
  <c r="O38" i="12"/>
  <c r="M38" i="12"/>
  <c r="K38" i="12"/>
  <c r="M40" i="17"/>
  <c r="E40" i="17"/>
  <c r="N40" i="17"/>
  <c r="F40" i="17"/>
  <c r="O40" i="17"/>
  <c r="J38" i="17"/>
  <c r="I38" i="17"/>
  <c r="G40" i="17"/>
  <c r="H40" i="17"/>
  <c r="I40" i="17"/>
  <c r="J40" i="17"/>
  <c r="F38" i="17"/>
  <c r="H38" i="17"/>
  <c r="G38" i="17"/>
  <c r="E38" i="17"/>
  <c r="L38" i="17"/>
  <c r="K38" i="17"/>
  <c r="O38" i="17"/>
  <c r="N38" i="17"/>
  <c r="M38" i="17"/>
  <c r="E17" i="21"/>
  <c r="D137" i="21"/>
  <c r="F139" i="21"/>
  <c r="G139" i="21"/>
  <c r="I139" i="21"/>
  <c r="J134" i="21"/>
  <c r="N137" i="21"/>
  <c r="E137" i="21"/>
  <c r="H138" i="21"/>
  <c r="J139" i="21"/>
  <c r="K134" i="21"/>
  <c r="E13" i="28"/>
  <c r="E15" i="28"/>
  <c r="E138" i="21"/>
  <c r="H139" i="21"/>
  <c r="M134" i="21"/>
  <c r="G11" i="33"/>
  <c r="E139" i="21"/>
  <c r="F134" i="21"/>
  <c r="G134" i="21"/>
  <c r="I134" i="21"/>
  <c r="M137" i="21"/>
  <c r="D139" i="21"/>
  <c r="I137" i="21"/>
  <c r="K138" i="21"/>
  <c r="E134" i="21"/>
  <c r="H134" i="21"/>
  <c r="I138" i="21"/>
  <c r="F137" i="21"/>
  <c r="H137" i="21"/>
  <c r="F138" i="21"/>
  <c r="G137" i="21"/>
  <c r="K139" i="21"/>
  <c r="N134" i="21"/>
  <c r="G138" i="21"/>
  <c r="N138" i="21"/>
  <c r="D134" i="21"/>
  <c r="J137" i="21"/>
  <c r="M138" i="21"/>
  <c r="D138" i="21"/>
  <c r="J138" i="21"/>
  <c r="K137" i="21"/>
  <c r="M133" i="21"/>
  <c r="F133" i="21"/>
  <c r="N133" i="21"/>
  <c r="G133" i="21"/>
  <c r="E133" i="21"/>
  <c r="D133" i="21"/>
  <c r="L133" i="21"/>
  <c r="H203" i="21"/>
  <c r="I203" i="21"/>
  <c r="D203" i="21"/>
  <c r="E203" i="21"/>
  <c r="F203" i="21"/>
  <c r="G203" i="21"/>
  <c r="D195" i="21"/>
  <c r="E198" i="21"/>
  <c r="F197" i="21"/>
  <c r="G186" i="21"/>
  <c r="H185" i="21"/>
  <c r="L198" i="21"/>
  <c r="M185" i="21"/>
  <c r="H61" i="18"/>
  <c r="E195" i="21"/>
  <c r="F198" i="21"/>
  <c r="G197" i="21"/>
  <c r="H186" i="21"/>
  <c r="I185" i="21"/>
  <c r="L195" i="21"/>
  <c r="M186" i="21"/>
  <c r="F195" i="21"/>
  <c r="G198" i="21"/>
  <c r="H197" i="21"/>
  <c r="I186" i="21"/>
  <c r="M197" i="21"/>
  <c r="N185" i="21"/>
  <c r="G195" i="21"/>
  <c r="H198" i="21"/>
  <c r="I197" i="21"/>
  <c r="K185" i="21"/>
  <c r="M198" i="21"/>
  <c r="N186" i="21"/>
  <c r="D185" i="21"/>
  <c r="H195" i="21"/>
  <c r="I198" i="21"/>
  <c r="K186" i="21"/>
  <c r="M195" i="21"/>
  <c r="N197" i="21"/>
  <c r="M26" i="4"/>
  <c r="D186" i="21"/>
  <c r="E185" i="21"/>
  <c r="I195" i="21"/>
  <c r="K197" i="21"/>
  <c r="L185" i="21"/>
  <c r="N198" i="21"/>
  <c r="H61" i="9"/>
  <c r="H48" i="22"/>
  <c r="D197" i="21"/>
  <c r="E186" i="21"/>
  <c r="F185" i="21"/>
  <c r="K198" i="21"/>
  <c r="L186" i="21"/>
  <c r="N195" i="21"/>
  <c r="F186" i="21"/>
  <c r="H57" i="25"/>
  <c r="H196" i="21"/>
  <c r="H59" i="14"/>
  <c r="I196" i="21"/>
  <c r="N196" i="21"/>
  <c r="D198" i="21"/>
  <c r="G185" i="21"/>
  <c r="H60" i="12"/>
  <c r="J196" i="21"/>
  <c r="L196" i="21"/>
  <c r="K195" i="21"/>
  <c r="H60" i="17"/>
  <c r="D196" i="21"/>
  <c r="K196" i="21"/>
  <c r="E197" i="21"/>
  <c r="L197" i="21"/>
  <c r="F196" i="21"/>
  <c r="M196" i="21"/>
  <c r="H59" i="20"/>
  <c r="G196" i="21"/>
  <c r="E196" i="21"/>
  <c r="J185" i="21"/>
  <c r="J186" i="21"/>
  <c r="F40" i="18"/>
  <c r="G40" i="18"/>
  <c r="H40" i="18"/>
  <c r="M40" i="18"/>
  <c r="I40" i="18"/>
  <c r="J40" i="18"/>
  <c r="G37" i="18"/>
  <c r="H37" i="18"/>
  <c r="J37" i="18"/>
  <c r="L40" i="18"/>
  <c r="E40" i="18"/>
  <c r="E37" i="18"/>
  <c r="N40" i="18"/>
  <c r="F37" i="18"/>
  <c r="O40" i="18"/>
  <c r="I37" i="18"/>
  <c r="N37" i="18"/>
  <c r="O37" i="18"/>
  <c r="K37" i="18"/>
  <c r="M37" i="18"/>
  <c r="L37" i="18"/>
  <c r="H39" i="20"/>
  <c r="H41" i="20"/>
  <c r="H42" i="20" s="1"/>
  <c r="E36" i="20"/>
  <c r="F36" i="20"/>
  <c r="O39" i="20"/>
  <c r="O41" i="20" s="1"/>
  <c r="M39" i="20"/>
  <c r="M41" i="20" s="1"/>
  <c r="M42" i="20" s="1"/>
  <c r="I39" i="20"/>
  <c r="I41" i="20"/>
  <c r="J39" i="20"/>
  <c r="J41" i="20" s="1"/>
  <c r="G36" i="20"/>
  <c r="J36" i="20"/>
  <c r="H36" i="20"/>
  <c r="N39" i="20"/>
  <c r="N41" i="20"/>
  <c r="E39" i="20"/>
  <c r="I36" i="20"/>
  <c r="F39" i="20"/>
  <c r="F41" i="20"/>
  <c r="G39" i="20"/>
  <c r="G41" i="20" s="1"/>
  <c r="G12" i="21"/>
  <c r="H15" i="22"/>
  <c r="H25" i="22"/>
  <c r="E16" i="18"/>
  <c r="O45" i="39"/>
  <c r="I41" i="39"/>
  <c r="J41" i="39"/>
  <c r="J42" i="39" s="1"/>
  <c r="J44" i="39" s="1"/>
  <c r="M39" i="42"/>
  <c r="M50" i="42"/>
  <c r="G39" i="42"/>
  <c r="G50" i="42"/>
  <c r="L50" i="42"/>
  <c r="L39" i="42"/>
  <c r="O39" i="42"/>
  <c r="R11" i="42"/>
  <c r="O50" i="42"/>
  <c r="H50" i="42"/>
  <c r="H39" i="42"/>
  <c r="H41" i="42"/>
  <c r="F41" i="42"/>
  <c r="J41" i="42"/>
  <c r="I41" i="42"/>
  <c r="G41" i="42"/>
  <c r="E41" i="42"/>
  <c r="F50" i="42"/>
  <c r="F39" i="42"/>
  <c r="I50" i="42"/>
  <c r="I39" i="42"/>
  <c r="N39" i="42"/>
  <c r="N50" i="42"/>
  <c r="K50" i="42"/>
  <c r="K39" i="42"/>
  <c r="K40" i="42"/>
  <c r="M41" i="42" s="1"/>
  <c r="E39" i="42"/>
  <c r="E50" i="42"/>
  <c r="J50" i="42"/>
  <c r="J39" i="42"/>
  <c r="G44" i="37"/>
  <c r="I44" i="37"/>
  <c r="J44" i="37"/>
  <c r="G41" i="14"/>
  <c r="F44" i="37"/>
  <c r="F51" i="37"/>
  <c r="O41" i="14"/>
  <c r="J39" i="37"/>
  <c r="J40" i="37" s="1"/>
  <c r="F49" i="39"/>
  <c r="F50" i="39"/>
  <c r="F42" i="39"/>
  <c r="F44" i="39"/>
  <c r="J49" i="39"/>
  <c r="J50" i="39" s="1"/>
  <c r="H49" i="39"/>
  <c r="H50" i="39"/>
  <c r="H42" i="39"/>
  <c r="H44" i="39" s="1"/>
  <c r="G49" i="39"/>
  <c r="G50" i="39"/>
  <c r="G42" i="39"/>
  <c r="G44" i="39" s="1"/>
  <c r="I49" i="39"/>
  <c r="I50" i="39"/>
  <c r="I42" i="39"/>
  <c r="I44" i="39" s="1"/>
  <c r="K48" i="39"/>
  <c r="M48" i="39"/>
  <c r="H61" i="39"/>
  <c r="L48" i="39"/>
  <c r="E49" i="39"/>
  <c r="E50" i="39" s="1"/>
  <c r="E42" i="39"/>
  <c r="E44" i="39"/>
  <c r="O42" i="38"/>
  <c r="F40" i="38"/>
  <c r="J40" i="38"/>
  <c r="I40" i="38"/>
  <c r="H40" i="38"/>
  <c r="G40" i="38"/>
  <c r="E40" i="38"/>
  <c r="E41" i="38"/>
  <c r="M42" i="38"/>
  <c r="N42" i="38"/>
  <c r="G42" i="38"/>
  <c r="J42" i="38"/>
  <c r="H62" i="37"/>
  <c r="F40" i="37"/>
  <c r="F50" i="37"/>
  <c r="I50" i="37"/>
  <c r="I40" i="37"/>
  <c r="H40" i="37"/>
  <c r="H50" i="37"/>
  <c r="J51" i="37"/>
  <c r="E40" i="37"/>
  <c r="E50" i="37"/>
  <c r="G40" i="37"/>
  <c r="G50" i="37"/>
  <c r="G16" i="21"/>
  <c r="J39" i="12"/>
  <c r="J48" i="12"/>
  <c r="J50" i="12" s="1"/>
  <c r="J45" i="12"/>
  <c r="G37" i="20"/>
  <c r="G48" i="20"/>
  <c r="F38" i="18"/>
  <c r="N45" i="17"/>
  <c r="N39" i="17"/>
  <c r="N48" i="17" s="1"/>
  <c r="F39" i="17"/>
  <c r="F48" i="17"/>
  <c r="F45" i="17"/>
  <c r="G41" i="12"/>
  <c r="F41" i="12"/>
  <c r="H41" i="12"/>
  <c r="J41" i="12"/>
  <c r="O14" i="18"/>
  <c r="O16" i="18" s="1"/>
  <c r="O23" i="18"/>
  <c r="O24" i="18" s="1"/>
  <c r="N21" i="21" s="1"/>
  <c r="K34" i="22"/>
  <c r="K39" i="22"/>
  <c r="K40" i="22"/>
  <c r="J96" i="21"/>
  <c r="K35" i="22"/>
  <c r="K36" i="22"/>
  <c r="I36" i="22"/>
  <c r="I34" i="22"/>
  <c r="I35" i="22"/>
  <c r="I39" i="22"/>
  <c r="I40" i="22"/>
  <c r="H96" i="21"/>
  <c r="E42" i="14"/>
  <c r="F42" i="14"/>
  <c r="I42" i="14"/>
  <c r="H42" i="14"/>
  <c r="G42" i="14"/>
  <c r="E40" i="14"/>
  <c r="E41" i="14" s="1"/>
  <c r="J42" i="14"/>
  <c r="J37" i="14"/>
  <c r="J45" i="14"/>
  <c r="N46" i="25"/>
  <c r="N36" i="25"/>
  <c r="E38" i="18"/>
  <c r="G42" i="20"/>
  <c r="J42" i="20"/>
  <c r="L38" i="18"/>
  <c r="O45" i="17"/>
  <c r="O39" i="17"/>
  <c r="O48" i="17" s="1"/>
  <c r="K39" i="12"/>
  <c r="K45" i="12"/>
  <c r="H39" i="12"/>
  <c r="H48" i="12" s="1"/>
  <c r="H50" i="12" s="1"/>
  <c r="H45" i="12"/>
  <c r="I14" i="18"/>
  <c r="I16" i="18" s="1"/>
  <c r="I23" i="18"/>
  <c r="I24" i="18"/>
  <c r="H21" i="21" s="1"/>
  <c r="L35" i="22"/>
  <c r="L34" i="22"/>
  <c r="L36" i="22"/>
  <c r="L39" i="22"/>
  <c r="L40" i="22"/>
  <c r="K96" i="21" s="1"/>
  <c r="H39" i="22"/>
  <c r="H40" i="22" s="1"/>
  <c r="G96" i="21" s="1"/>
  <c r="H35" i="22"/>
  <c r="H36" i="22"/>
  <c r="H34" i="22"/>
  <c r="E42" i="9"/>
  <c r="E43" i="9"/>
  <c r="J44" i="9"/>
  <c r="G44" i="9"/>
  <c r="E44" i="9"/>
  <c r="F44" i="9"/>
  <c r="I44" i="9"/>
  <c r="H44" i="9"/>
  <c r="G45" i="14"/>
  <c r="G37" i="14"/>
  <c r="L36" i="25"/>
  <c r="L37" i="25"/>
  <c r="G37" i="25"/>
  <c r="G46" i="25" s="1"/>
  <c r="G48" i="25" s="1"/>
  <c r="F95" i="21" s="1"/>
  <c r="G36" i="25"/>
  <c r="I42" i="20"/>
  <c r="N36" i="22"/>
  <c r="N39" i="22"/>
  <c r="N40" i="22" s="1"/>
  <c r="N35" i="22"/>
  <c r="N34" i="22"/>
  <c r="G39" i="9"/>
  <c r="G47" i="9"/>
  <c r="I37" i="20"/>
  <c r="I48" i="20"/>
  <c r="I50" i="20" s="1"/>
  <c r="K38" i="18"/>
  <c r="E41" i="18"/>
  <c r="H41" i="18"/>
  <c r="J41" i="18"/>
  <c r="J51" i="18" s="1"/>
  <c r="I41" i="18"/>
  <c r="F41" i="18"/>
  <c r="G41" i="18"/>
  <c r="H60" i="20"/>
  <c r="I79" i="20"/>
  <c r="I81" i="20" s="1"/>
  <c r="H174" i="21" s="1"/>
  <c r="N26" i="4"/>
  <c r="H61" i="12"/>
  <c r="H58" i="25"/>
  <c r="J76" i="25"/>
  <c r="J78" i="25" s="1"/>
  <c r="I179" i="21" s="1"/>
  <c r="I34" i="31" s="1"/>
  <c r="H60" i="14"/>
  <c r="H49" i="22"/>
  <c r="J62" i="22" s="1"/>
  <c r="J63" i="22" s="1"/>
  <c r="I180" i="21" s="1"/>
  <c r="I37" i="31" s="1"/>
  <c r="H62" i="9"/>
  <c r="H62" i="18"/>
  <c r="N82" i="18"/>
  <c r="N84" i="18" s="1"/>
  <c r="M178" i="21" s="1"/>
  <c r="H61" i="17"/>
  <c r="I183" i="21"/>
  <c r="H183" i="21"/>
  <c r="G183" i="21"/>
  <c r="K45" i="17"/>
  <c r="K39" i="17"/>
  <c r="O45" i="12"/>
  <c r="O39" i="12"/>
  <c r="O48" i="12" s="1"/>
  <c r="J14" i="18"/>
  <c r="J23" i="18"/>
  <c r="J24" i="18"/>
  <c r="I21" i="21"/>
  <c r="M34" i="22"/>
  <c r="M35" i="22"/>
  <c r="M36" i="22"/>
  <c r="M37" i="22" s="1"/>
  <c r="L85" i="21" s="1"/>
  <c r="M39" i="22"/>
  <c r="M40" i="22" s="1"/>
  <c r="I47" i="9"/>
  <c r="I39" i="9"/>
  <c r="F37" i="14"/>
  <c r="F45" i="14"/>
  <c r="M37" i="25"/>
  <c r="M46" i="25"/>
  <c r="M36" i="25"/>
  <c r="F42" i="20"/>
  <c r="E41" i="17"/>
  <c r="G41" i="17"/>
  <c r="J41" i="17"/>
  <c r="I41" i="17"/>
  <c r="F41" i="17"/>
  <c r="H41" i="17"/>
  <c r="G45" i="12"/>
  <c r="G39" i="12"/>
  <c r="G48" i="12" s="1"/>
  <c r="F39" i="9"/>
  <c r="F47" i="9"/>
  <c r="E39" i="25"/>
  <c r="G39" i="25"/>
  <c r="J39" i="25"/>
  <c r="I39" i="25"/>
  <c r="H39" i="25"/>
  <c r="F39" i="25"/>
  <c r="O42" i="20"/>
  <c r="O38" i="18"/>
  <c r="F183" i="21"/>
  <c r="L39" i="17"/>
  <c r="L45" i="17"/>
  <c r="L39" i="12"/>
  <c r="L45" i="12"/>
  <c r="F39" i="12"/>
  <c r="F48" i="12" s="1"/>
  <c r="F45" i="12"/>
  <c r="J35" i="22"/>
  <c r="J36" i="22"/>
  <c r="J39" i="22"/>
  <c r="J40" i="22"/>
  <c r="I96" i="21" s="1"/>
  <c r="J34" i="22"/>
  <c r="H47" i="9"/>
  <c r="H39" i="9"/>
  <c r="H45" i="14"/>
  <c r="H37" i="14"/>
  <c r="F37" i="25"/>
  <c r="F46" i="25"/>
  <c r="F36" i="25"/>
  <c r="E37" i="25"/>
  <c r="E46" i="25" s="1"/>
  <c r="E48" i="25" s="1"/>
  <c r="D95" i="21" s="1"/>
  <c r="E36" i="25"/>
  <c r="M45" i="12"/>
  <c r="M39" i="12"/>
  <c r="K14" i="18"/>
  <c r="K16" i="18"/>
  <c r="K23" i="18"/>
  <c r="K24" i="18" s="1"/>
  <c r="J21" i="21" s="1"/>
  <c r="O36" i="25"/>
  <c r="S11" i="25" s="1"/>
  <c r="O37" i="25"/>
  <c r="O46" i="25"/>
  <c r="H40" i="20"/>
  <c r="G40" i="20"/>
  <c r="E41" i="20"/>
  <c r="F40" i="20"/>
  <c r="E40" i="20"/>
  <c r="I40" i="20"/>
  <c r="J40" i="20"/>
  <c r="N42" i="20"/>
  <c r="F37" i="20"/>
  <c r="F48" i="20" s="1"/>
  <c r="F50" i="20" s="1"/>
  <c r="E90" i="21" s="1"/>
  <c r="N38" i="18"/>
  <c r="J38" i="18"/>
  <c r="N183" i="21"/>
  <c r="N39" i="31"/>
  <c r="E45" i="17"/>
  <c r="E39" i="17"/>
  <c r="E48" i="17" s="1"/>
  <c r="E50" i="17" s="1"/>
  <c r="I45" i="17"/>
  <c r="I39" i="17"/>
  <c r="I48" i="17" s="1"/>
  <c r="N39" i="12"/>
  <c r="N48" i="12"/>
  <c r="N45" i="12"/>
  <c r="N14" i="18"/>
  <c r="N16" i="18"/>
  <c r="N23" i="18"/>
  <c r="G34" i="22"/>
  <c r="G36" i="22"/>
  <c r="G39" i="22"/>
  <c r="G40" i="22" s="1"/>
  <c r="G35" i="22"/>
  <c r="J39" i="9"/>
  <c r="J47" i="9"/>
  <c r="H37" i="25"/>
  <c r="H46" i="25"/>
  <c r="H48" i="25" s="1"/>
  <c r="G95" i="21" s="1"/>
  <c r="H36" i="25"/>
  <c r="E45" i="14"/>
  <c r="E37" i="14"/>
  <c r="E17" i="18"/>
  <c r="E18" i="18"/>
  <c r="E19" i="18"/>
  <c r="H37" i="20"/>
  <c r="H48" i="20"/>
  <c r="E37" i="20"/>
  <c r="E48" i="20" s="1"/>
  <c r="I38" i="18"/>
  <c r="H38" i="18"/>
  <c r="D183" i="21"/>
  <c r="D39" i="31" s="1"/>
  <c r="E183" i="21"/>
  <c r="G39" i="17"/>
  <c r="G48" i="17" s="1"/>
  <c r="G45" i="17"/>
  <c r="J39" i="17"/>
  <c r="J48" i="17" s="1"/>
  <c r="J50" i="17" s="1"/>
  <c r="I93" i="21" s="1"/>
  <c r="J45" i="17"/>
  <c r="I45" i="12"/>
  <c r="I39" i="12"/>
  <c r="I48" i="12" s="1"/>
  <c r="E39" i="12"/>
  <c r="E48" i="12" s="1"/>
  <c r="E45" i="12"/>
  <c r="L23" i="18"/>
  <c r="L24" i="18"/>
  <c r="K21" i="21"/>
  <c r="L14" i="18"/>
  <c r="L16" i="18" s="1"/>
  <c r="F35" i="22"/>
  <c r="F37" i="22" s="1"/>
  <c r="F39" i="22"/>
  <c r="F40" i="22" s="1"/>
  <c r="E96" i="21" s="1"/>
  <c r="F34" i="22"/>
  <c r="F36" i="22"/>
  <c r="F19" i="18"/>
  <c r="F17" i="18"/>
  <c r="F18" i="18"/>
  <c r="E47" i="9"/>
  <c r="E39" i="9"/>
  <c r="E24" i="21"/>
  <c r="I45" i="14"/>
  <c r="I37" i="14"/>
  <c r="J37" i="25"/>
  <c r="J46" i="25" s="1"/>
  <c r="J48" i="25" s="1"/>
  <c r="I95" i="21" s="1"/>
  <c r="J36" i="25"/>
  <c r="M38" i="18"/>
  <c r="M50" i="18" s="1"/>
  <c r="J37" i="20"/>
  <c r="J48" i="20" s="1"/>
  <c r="G38" i="18"/>
  <c r="M39" i="17"/>
  <c r="M48" i="17"/>
  <c r="M45" i="17"/>
  <c r="H45" i="17"/>
  <c r="H39" i="17"/>
  <c r="H48" i="17"/>
  <c r="M14" i="18"/>
  <c r="M16" i="18" s="1"/>
  <c r="M23" i="18"/>
  <c r="M24" i="18" s="1"/>
  <c r="L21" i="21" s="1"/>
  <c r="O34" i="22"/>
  <c r="O39" i="22"/>
  <c r="O40" i="22"/>
  <c r="N96" i="21" s="1"/>
  <c r="O35" i="22"/>
  <c r="O36" i="22"/>
  <c r="O37" i="22" s="1"/>
  <c r="E35" i="22"/>
  <c r="E36" i="22"/>
  <c r="E34" i="22"/>
  <c r="E39" i="22"/>
  <c r="E40" i="22"/>
  <c r="D96" i="21" s="1"/>
  <c r="K37" i="25"/>
  <c r="K36" i="25"/>
  <c r="I36" i="25"/>
  <c r="I37" i="25"/>
  <c r="I46" i="25" s="1"/>
  <c r="I48" i="25" s="1"/>
  <c r="M82" i="18"/>
  <c r="M84" i="18"/>
  <c r="L178" i="21" s="1"/>
  <c r="L82" i="18"/>
  <c r="L84" i="18" s="1"/>
  <c r="K178" i="21" s="1"/>
  <c r="G82" i="18"/>
  <c r="G84" i="18" s="1"/>
  <c r="F178" i="21" s="1"/>
  <c r="M42" i="42"/>
  <c r="M51" i="42"/>
  <c r="M52" i="42"/>
  <c r="O41" i="42"/>
  <c r="L41" i="42"/>
  <c r="F42" i="42"/>
  <c r="F51" i="42"/>
  <c r="F52" i="42"/>
  <c r="G51" i="42"/>
  <c r="G52" i="42" s="1"/>
  <c r="G42" i="42"/>
  <c r="N41" i="42"/>
  <c r="I42" i="42"/>
  <c r="I51" i="42"/>
  <c r="I52" i="42"/>
  <c r="H51" i="42"/>
  <c r="H52" i="42"/>
  <c r="H42" i="42"/>
  <c r="H62" i="39"/>
  <c r="L66" i="39" s="1"/>
  <c r="H63" i="42"/>
  <c r="J51" i="42"/>
  <c r="J52" i="42" s="1"/>
  <c r="J42" i="42"/>
  <c r="K41" i="42"/>
  <c r="G51" i="37"/>
  <c r="J50" i="37"/>
  <c r="J82" i="18"/>
  <c r="J84" i="18" s="1"/>
  <c r="I178" i="21" s="1"/>
  <c r="H82" i="18"/>
  <c r="H84" i="18"/>
  <c r="G178" i="21" s="1"/>
  <c r="O82" i="18"/>
  <c r="I82" i="18"/>
  <c r="I84" i="18"/>
  <c r="H178" i="21"/>
  <c r="E82" i="18"/>
  <c r="E84" i="18" s="1"/>
  <c r="D178" i="21" s="1"/>
  <c r="K82" i="18"/>
  <c r="K84" i="18"/>
  <c r="J178" i="21"/>
  <c r="F82" i="18"/>
  <c r="F84" i="18"/>
  <c r="E178" i="21" s="1"/>
  <c r="H79" i="20"/>
  <c r="H81" i="20" s="1"/>
  <c r="G174" i="21" s="1"/>
  <c r="E64" i="39"/>
  <c r="K64" i="39"/>
  <c r="H64" i="39"/>
  <c r="J64" i="39"/>
  <c r="F64" i="39"/>
  <c r="G66" i="39"/>
  <c r="G64" i="39"/>
  <c r="G71" i="39" s="1"/>
  <c r="F49" i="38"/>
  <c r="F38" i="38"/>
  <c r="J49" i="38"/>
  <c r="J50" i="38"/>
  <c r="J38" i="38"/>
  <c r="G49" i="38"/>
  <c r="G50" i="38" s="1"/>
  <c r="G38" i="38"/>
  <c r="G52" i="37"/>
  <c r="H49" i="38"/>
  <c r="H50" i="38"/>
  <c r="H38" i="38"/>
  <c r="H63" i="37"/>
  <c r="H68" i="37"/>
  <c r="H69" i="37" s="1"/>
  <c r="H70" i="37" s="1"/>
  <c r="H61" i="38"/>
  <c r="F79" i="20"/>
  <c r="F81" i="20"/>
  <c r="E174" i="21" s="1"/>
  <c r="H52" i="37"/>
  <c r="E42" i="38"/>
  <c r="I38" i="38"/>
  <c r="I49" i="38"/>
  <c r="I50" i="38"/>
  <c r="N79" i="20"/>
  <c r="N81" i="20"/>
  <c r="M174" i="21"/>
  <c r="J52" i="37"/>
  <c r="E79" i="20"/>
  <c r="E81" i="20"/>
  <c r="D174" i="21" s="1"/>
  <c r="F52" i="37"/>
  <c r="E20" i="18"/>
  <c r="E21" i="18"/>
  <c r="I37" i="22"/>
  <c r="I38" i="22" s="1"/>
  <c r="N37" i="22"/>
  <c r="H37" i="22"/>
  <c r="G85" i="21"/>
  <c r="F20" i="18"/>
  <c r="F30" i="18"/>
  <c r="J37" i="22"/>
  <c r="H62" i="22"/>
  <c r="H63" i="22"/>
  <c r="G180" i="21" s="1"/>
  <c r="G37" i="31" s="1"/>
  <c r="I76" i="25"/>
  <c r="I78" i="25"/>
  <c r="H179" i="21" s="1"/>
  <c r="H34" i="31" s="1"/>
  <c r="F62" i="22"/>
  <c r="F63" i="22" s="1"/>
  <c r="E180" i="21" s="1"/>
  <c r="E37" i="31" s="1"/>
  <c r="H76" i="25"/>
  <c r="H78" i="25" s="1"/>
  <c r="G179" i="21" s="1"/>
  <c r="J79" i="20"/>
  <c r="J81" i="20"/>
  <c r="I174" i="21" s="1"/>
  <c r="I48" i="14"/>
  <c r="I38" i="14"/>
  <c r="H49" i="12"/>
  <c r="H42" i="12"/>
  <c r="G50" i="18"/>
  <c r="G39" i="18"/>
  <c r="L50" i="18"/>
  <c r="L39" i="18"/>
  <c r="N50" i="18"/>
  <c r="N39" i="18"/>
  <c r="F49" i="20"/>
  <c r="F38" i="20"/>
  <c r="F47" i="25"/>
  <c r="F48" i="25"/>
  <c r="E95" i="21" s="1"/>
  <c r="F40" i="9"/>
  <c r="F50" i="9"/>
  <c r="E49" i="17"/>
  <c r="D93" i="21"/>
  <c r="E42" i="17"/>
  <c r="E44" i="17"/>
  <c r="E43" i="17"/>
  <c r="F48" i="14"/>
  <c r="F38" i="14"/>
  <c r="J16" i="18"/>
  <c r="G42" i="18"/>
  <c r="G51" i="18"/>
  <c r="E62" i="22"/>
  <c r="E63" i="22" s="1"/>
  <c r="D180" i="21" s="1"/>
  <c r="D37" i="31" s="1"/>
  <c r="F51" i="9"/>
  <c r="L37" i="22"/>
  <c r="F49" i="14"/>
  <c r="G49" i="12"/>
  <c r="G50" i="12"/>
  <c r="F92" i="21" s="1"/>
  <c r="G42" i="12"/>
  <c r="G76" i="25"/>
  <c r="G78" i="25" s="1"/>
  <c r="F179" i="21" s="1"/>
  <c r="J49" i="17"/>
  <c r="H51" i="9"/>
  <c r="K62" i="22"/>
  <c r="K63" i="22" s="1"/>
  <c r="J180" i="21" s="1"/>
  <c r="E42" i="20"/>
  <c r="M48" i="12"/>
  <c r="M40" i="12"/>
  <c r="H47" i="25"/>
  <c r="F51" i="18"/>
  <c r="F42" i="18"/>
  <c r="O62" i="22"/>
  <c r="O63" i="22"/>
  <c r="N180" i="21" s="1"/>
  <c r="N37" i="31"/>
  <c r="N41" i="31" s="1"/>
  <c r="N47" i="31" s="1"/>
  <c r="G38" i="14"/>
  <c r="G48" i="14"/>
  <c r="E51" i="9"/>
  <c r="H45" i="22"/>
  <c r="K48" i="12"/>
  <c r="K40" i="12"/>
  <c r="E49" i="14"/>
  <c r="F76" i="25"/>
  <c r="F78" i="25" s="1"/>
  <c r="E179" i="21"/>
  <c r="K50" i="18"/>
  <c r="K39" i="18"/>
  <c r="K40" i="18"/>
  <c r="O19" i="18"/>
  <c r="N17" i="18"/>
  <c r="G50" i="9"/>
  <c r="G40" i="9"/>
  <c r="I51" i="9"/>
  <c r="M39" i="18"/>
  <c r="E40" i="9"/>
  <c r="E50" i="9"/>
  <c r="G38" i="20"/>
  <c r="G49" i="20"/>
  <c r="G50" i="20"/>
  <c r="F90" i="21" s="1"/>
  <c r="D168" i="2"/>
  <c r="H48" i="14"/>
  <c r="H38" i="14"/>
  <c r="H40" i="9"/>
  <c r="H50" i="9"/>
  <c r="H52" i="9" s="1"/>
  <c r="G89" i="21" s="1"/>
  <c r="I47" i="25"/>
  <c r="H95" i="21"/>
  <c r="M79" i="20"/>
  <c r="M81" i="20" s="1"/>
  <c r="L174" i="21" s="1"/>
  <c r="O79" i="20"/>
  <c r="I42" i="18"/>
  <c r="I51" i="18"/>
  <c r="M62" i="22"/>
  <c r="M63" i="22" s="1"/>
  <c r="L180" i="21" s="1"/>
  <c r="L37" i="31" s="1"/>
  <c r="G51" i="9"/>
  <c r="E50" i="18"/>
  <c r="E39" i="18"/>
  <c r="J48" i="14"/>
  <c r="J38" i="14"/>
  <c r="K76" i="25"/>
  <c r="K78" i="25"/>
  <c r="J179" i="21" s="1"/>
  <c r="J34" i="31" s="1"/>
  <c r="E76" i="25"/>
  <c r="E78" i="25"/>
  <c r="D179" i="21" s="1"/>
  <c r="D34" i="31" s="1"/>
  <c r="I38" i="20"/>
  <c r="I49" i="20"/>
  <c r="H90" i="21"/>
  <c r="O50" i="18"/>
  <c r="O39" i="18"/>
  <c r="N65" i="43" s="1"/>
  <c r="H49" i="14"/>
  <c r="I45" i="22"/>
  <c r="F50" i="18"/>
  <c r="F39" i="18"/>
  <c r="E37" i="22"/>
  <c r="J47" i="25"/>
  <c r="H49" i="17"/>
  <c r="H50" i="17"/>
  <c r="G93" i="21" s="1"/>
  <c r="H42" i="17"/>
  <c r="H44" i="17" s="1"/>
  <c r="H46" i="17" s="1"/>
  <c r="H43" i="17"/>
  <c r="E173" i="2"/>
  <c r="O26" i="4"/>
  <c r="H61" i="14"/>
  <c r="E12" i="33"/>
  <c r="H63" i="9"/>
  <c r="H61" i="20"/>
  <c r="H59" i="25"/>
  <c r="H50" i="22"/>
  <c r="H62" i="12"/>
  <c r="H62" i="17"/>
  <c r="H63" i="18"/>
  <c r="G79" i="20"/>
  <c r="G81" i="20"/>
  <c r="F174" i="21" s="1"/>
  <c r="J42" i="18"/>
  <c r="N62" i="22"/>
  <c r="N63" i="22" s="1"/>
  <c r="M180" i="21"/>
  <c r="M37" i="31" s="1"/>
  <c r="J51" i="9"/>
  <c r="J49" i="14"/>
  <c r="L76" i="25"/>
  <c r="L78" i="25"/>
  <c r="K179" i="21" s="1"/>
  <c r="K34" i="31" s="1"/>
  <c r="N76" i="25"/>
  <c r="N78" i="25"/>
  <c r="M179" i="21" s="1"/>
  <c r="M34" i="31"/>
  <c r="E49" i="20"/>
  <c r="E50" i="20"/>
  <c r="D90" i="21" s="1"/>
  <c r="E38" i="20"/>
  <c r="G62" i="22"/>
  <c r="G63" i="22"/>
  <c r="F180" i="21" s="1"/>
  <c r="F37" i="31"/>
  <c r="F42" i="12"/>
  <c r="F49" i="12"/>
  <c r="K46" i="25"/>
  <c r="M17" i="18"/>
  <c r="I50" i="18"/>
  <c r="I39" i="18"/>
  <c r="E38" i="14"/>
  <c r="E48" i="14"/>
  <c r="G37" i="22"/>
  <c r="L48" i="17"/>
  <c r="G47" i="25"/>
  <c r="F42" i="17"/>
  <c r="F44" i="17"/>
  <c r="F49" i="17"/>
  <c r="F50" i="17"/>
  <c r="E93" i="21" s="1"/>
  <c r="F43" i="17"/>
  <c r="I50" i="9"/>
  <c r="I40" i="9"/>
  <c r="H42" i="18"/>
  <c r="H51" i="18"/>
  <c r="I62" i="22"/>
  <c r="I63" i="22" s="1"/>
  <c r="H180" i="21"/>
  <c r="H37" i="31" s="1"/>
  <c r="K37" i="22"/>
  <c r="J42" i="12"/>
  <c r="J49" i="12"/>
  <c r="I92" i="21"/>
  <c r="O76" i="25"/>
  <c r="M76" i="25"/>
  <c r="M78" i="25"/>
  <c r="L179" i="21" s="1"/>
  <c r="L34" i="31" s="1"/>
  <c r="G92" i="21"/>
  <c r="J50" i="9"/>
  <c r="J40" i="9"/>
  <c r="K18" i="18"/>
  <c r="K17" i="18"/>
  <c r="K20" i="18" s="1"/>
  <c r="K19" i="18"/>
  <c r="G49" i="17"/>
  <c r="G42" i="17"/>
  <c r="G44" i="17"/>
  <c r="G43" i="17"/>
  <c r="K48" i="17"/>
  <c r="I49" i="14"/>
  <c r="J49" i="20"/>
  <c r="J38" i="20"/>
  <c r="E47" i="25"/>
  <c r="I49" i="17"/>
  <c r="I50" i="17"/>
  <c r="H93" i="21" s="1"/>
  <c r="I42" i="17"/>
  <c r="I44" i="17" s="1"/>
  <c r="I43" i="17"/>
  <c r="E42" i="18"/>
  <c r="E51" i="18"/>
  <c r="L62" i="22"/>
  <c r="L63" i="22" s="1"/>
  <c r="K180" i="21"/>
  <c r="K37" i="31" s="1"/>
  <c r="G49" i="14"/>
  <c r="I49" i="12"/>
  <c r="I42" i="12"/>
  <c r="F68" i="37"/>
  <c r="F69" i="37"/>
  <c r="F70" i="37" s="1"/>
  <c r="J66" i="39"/>
  <c r="E66" i="39"/>
  <c r="F66" i="39"/>
  <c r="K66" i="39"/>
  <c r="H66" i="39"/>
  <c r="H67" i="39" s="1"/>
  <c r="L64" i="39"/>
  <c r="L65" i="39"/>
  <c r="L74" i="39"/>
  <c r="I64" i="39"/>
  <c r="L51" i="42"/>
  <c r="L52" i="42" s="1"/>
  <c r="L42" i="42"/>
  <c r="E68" i="42"/>
  <c r="H65" i="42"/>
  <c r="H66" i="42"/>
  <c r="H67" i="42" s="1"/>
  <c r="K68" i="42"/>
  <c r="N65" i="42"/>
  <c r="N66" i="42"/>
  <c r="N67" i="42" s="1"/>
  <c r="F65" i="42"/>
  <c r="F66" i="42" s="1"/>
  <c r="M65" i="42"/>
  <c r="M66" i="42" s="1"/>
  <c r="J68" i="42"/>
  <c r="E65" i="42"/>
  <c r="E66" i="42"/>
  <c r="I68" i="42"/>
  <c r="L65" i="42"/>
  <c r="L66" i="42"/>
  <c r="O68" i="42"/>
  <c r="G68" i="42"/>
  <c r="J65" i="42"/>
  <c r="J66" i="42" s="1"/>
  <c r="H68" i="42"/>
  <c r="F68" i="42"/>
  <c r="G65" i="42"/>
  <c r="G66" i="42" s="1"/>
  <c r="G78" i="42" s="1"/>
  <c r="O65" i="42"/>
  <c r="O66" i="42" s="1"/>
  <c r="O78" i="42" s="1"/>
  <c r="K65" i="42"/>
  <c r="K66" i="42" s="1"/>
  <c r="K78" i="42" s="1"/>
  <c r="L68" i="42"/>
  <c r="N68" i="42"/>
  <c r="I65" i="42"/>
  <c r="I66" i="42" s="1"/>
  <c r="I78" i="42" s="1"/>
  <c r="O51" i="42"/>
  <c r="O52" i="42"/>
  <c r="O42" i="42"/>
  <c r="K42" i="42"/>
  <c r="K51" i="42"/>
  <c r="K52" i="42"/>
  <c r="N42" i="42"/>
  <c r="N51" i="42"/>
  <c r="N52" i="42"/>
  <c r="H85" i="21"/>
  <c r="E30" i="18"/>
  <c r="D10" i="21"/>
  <c r="N83" i="36"/>
  <c r="N64" i="40"/>
  <c r="J65" i="39"/>
  <c r="J74" i="39"/>
  <c r="J71" i="39"/>
  <c r="J68" i="37"/>
  <c r="J69" i="37" s="1"/>
  <c r="J70" i="37" s="1"/>
  <c r="H65" i="39"/>
  <c r="H74" i="39" s="1"/>
  <c r="H71" i="39"/>
  <c r="M38" i="22"/>
  <c r="F65" i="37"/>
  <c r="F74" i="37"/>
  <c r="F65" i="39"/>
  <c r="F74" i="39" s="1"/>
  <c r="F71" i="39"/>
  <c r="K65" i="39"/>
  <c r="K74" i="39" s="1"/>
  <c r="K71" i="39"/>
  <c r="K68" i="37"/>
  <c r="K69" i="37"/>
  <c r="K70" i="37" s="1"/>
  <c r="L71" i="39"/>
  <c r="E68" i="37"/>
  <c r="E69" i="37" s="1"/>
  <c r="E70" i="37" s="1"/>
  <c r="I65" i="39"/>
  <c r="I74" i="39" s="1"/>
  <c r="I71" i="39"/>
  <c r="I65" i="37"/>
  <c r="E65" i="39"/>
  <c r="E74" i="39"/>
  <c r="E71" i="39"/>
  <c r="E50" i="14"/>
  <c r="D91" i="21"/>
  <c r="H66" i="38"/>
  <c r="H68" i="38"/>
  <c r="K63" i="38"/>
  <c r="K64" i="38"/>
  <c r="K75" i="38" s="1"/>
  <c r="F66" i="38"/>
  <c r="F68" i="38"/>
  <c r="I63" i="38"/>
  <c r="I64" i="38" s="1"/>
  <c r="I75" i="38" s="1"/>
  <c r="L66" i="38"/>
  <c r="L68" i="38"/>
  <c r="G63" i="38"/>
  <c r="G64" i="38" s="1"/>
  <c r="G75" i="38" s="1"/>
  <c r="J66" i="38"/>
  <c r="J68" i="38"/>
  <c r="J69" i="38" s="1"/>
  <c r="E63" i="38"/>
  <c r="E64" i="38" s="1"/>
  <c r="E75" i="38" s="1"/>
  <c r="I66" i="38"/>
  <c r="I68" i="38"/>
  <c r="L63" i="38"/>
  <c r="L64" i="38"/>
  <c r="L75" i="38"/>
  <c r="O66" i="38"/>
  <c r="O68" i="38" s="1"/>
  <c r="J63" i="38"/>
  <c r="J64" i="38" s="1"/>
  <c r="J75" i="38" s="1"/>
  <c r="H63" i="38"/>
  <c r="H64" i="38"/>
  <c r="H75" i="38"/>
  <c r="H77" i="38" s="1"/>
  <c r="K66" i="38"/>
  <c r="K68" i="38" s="1"/>
  <c r="F63" i="38"/>
  <c r="F64" i="38" s="1"/>
  <c r="F75" i="38" s="1"/>
  <c r="G66" i="38"/>
  <c r="G68" i="38"/>
  <c r="E66" i="38"/>
  <c r="J65" i="37"/>
  <c r="J74" i="37" s="1"/>
  <c r="I68" i="37"/>
  <c r="I69" i="37"/>
  <c r="I70" i="37" s="1"/>
  <c r="G65" i="37"/>
  <c r="G74" i="37"/>
  <c r="G68" i="37"/>
  <c r="G69" i="37" s="1"/>
  <c r="G70" i="37" s="1"/>
  <c r="J38" i="22"/>
  <c r="L65" i="37"/>
  <c r="L74" i="37"/>
  <c r="O68" i="37"/>
  <c r="O69" i="37"/>
  <c r="O70" i="37" s="1"/>
  <c r="E65" i="37"/>
  <c r="E66" i="37" s="1"/>
  <c r="E67" i="37" s="1"/>
  <c r="L68" i="37"/>
  <c r="L69" i="37" s="1"/>
  <c r="L70" i="37" s="1"/>
  <c r="K65" i="37"/>
  <c r="K74" i="37"/>
  <c r="H65" i="37"/>
  <c r="H66" i="37"/>
  <c r="H38" i="22"/>
  <c r="N38" i="22"/>
  <c r="M85" i="21"/>
  <c r="I52" i="9"/>
  <c r="H89" i="21" s="1"/>
  <c r="E10" i="21"/>
  <c r="I85" i="21"/>
  <c r="F21" i="18"/>
  <c r="F46" i="17"/>
  <c r="E82" i="21" s="1"/>
  <c r="F52" i="18"/>
  <c r="E94" i="21" s="1"/>
  <c r="F50" i="14"/>
  <c r="E91" i="21"/>
  <c r="J52" i="9"/>
  <c r="I89" i="21" s="1"/>
  <c r="I46" i="17"/>
  <c r="H82" i="21"/>
  <c r="G52" i="18"/>
  <c r="F94" i="21"/>
  <c r="D85" i="21"/>
  <c r="E38" i="22"/>
  <c r="E45" i="22"/>
  <c r="M41" i="18"/>
  <c r="L41" i="18"/>
  <c r="K41" i="18"/>
  <c r="O41" i="18"/>
  <c r="N41" i="18"/>
  <c r="K41" i="12"/>
  <c r="G50" i="14"/>
  <c r="F91" i="21"/>
  <c r="E46" i="17"/>
  <c r="G68" i="18"/>
  <c r="G69" i="18" s="1"/>
  <c r="N68" i="18"/>
  <c r="K65" i="18"/>
  <c r="H68" i="18"/>
  <c r="L65" i="18"/>
  <c r="I68" i="18"/>
  <c r="J68" i="18"/>
  <c r="O65" i="18"/>
  <c r="F65" i="18"/>
  <c r="K68" i="18"/>
  <c r="G65" i="18"/>
  <c r="L68" i="18"/>
  <c r="E65" i="18"/>
  <c r="H65" i="18"/>
  <c r="E68" i="18"/>
  <c r="M65" i="18"/>
  <c r="O68" i="18"/>
  <c r="I65" i="18"/>
  <c r="N65" i="18"/>
  <c r="J65" i="18"/>
  <c r="I77" i="31" s="1"/>
  <c r="F68" i="18"/>
  <c r="I66" i="14"/>
  <c r="I67" i="14"/>
  <c r="H63" i="14"/>
  <c r="H66" i="14"/>
  <c r="H67" i="14" s="1"/>
  <c r="H68" i="14" s="1"/>
  <c r="E63" i="14"/>
  <c r="N66" i="14"/>
  <c r="N67" i="14" s="1"/>
  <c r="K63" i="14"/>
  <c r="F66" i="14"/>
  <c r="F67" i="14" s="1"/>
  <c r="L66" i="14"/>
  <c r="E66" i="14"/>
  <c r="O66" i="14"/>
  <c r="O67" i="14" s="1"/>
  <c r="O68" i="14" s="1"/>
  <c r="O63" i="14"/>
  <c r="I63" i="14"/>
  <c r="L63" i="14"/>
  <c r="G66" i="14"/>
  <c r="K66" i="14"/>
  <c r="K67" i="14"/>
  <c r="K68" i="14" s="1"/>
  <c r="F63" i="14"/>
  <c r="N63" i="14"/>
  <c r="J66" i="14"/>
  <c r="J67" i="14"/>
  <c r="J63" i="14"/>
  <c r="M63" i="14"/>
  <c r="G63" i="14"/>
  <c r="I50" i="14"/>
  <c r="H91" i="21"/>
  <c r="J66" i="17"/>
  <c r="F64" i="17"/>
  <c r="K66" i="17"/>
  <c r="G64" i="17"/>
  <c r="L66" i="17"/>
  <c r="H64" i="17"/>
  <c r="E66" i="17"/>
  <c r="I64" i="17"/>
  <c r="F66" i="17"/>
  <c r="O66" i="17"/>
  <c r="J64" i="17"/>
  <c r="G66" i="17"/>
  <c r="K64" i="17"/>
  <c r="H66" i="17"/>
  <c r="E64" i="17"/>
  <c r="L64" i="17"/>
  <c r="I66" i="17"/>
  <c r="M64" i="17"/>
  <c r="O64" i="17"/>
  <c r="N64" i="17"/>
  <c r="G212" i="21"/>
  <c r="H211" i="21"/>
  <c r="I210" i="21"/>
  <c r="J207" i="21"/>
  <c r="K207" i="21"/>
  <c r="M212" i="21"/>
  <c r="H212" i="21"/>
  <c r="I211" i="21"/>
  <c r="J210" i="21"/>
  <c r="K210" i="21"/>
  <c r="E13" i="29"/>
  <c r="E15" i="29"/>
  <c r="D207" i="21"/>
  <c r="I212" i="21"/>
  <c r="J211" i="21"/>
  <c r="K211" i="21"/>
  <c r="L207" i="21"/>
  <c r="D210" i="21"/>
  <c r="E207" i="21"/>
  <c r="J212" i="21"/>
  <c r="K212" i="21"/>
  <c r="L210" i="21"/>
  <c r="D211" i="21"/>
  <c r="E210" i="21"/>
  <c r="F207" i="21"/>
  <c r="L211" i="21"/>
  <c r="G12" i="33"/>
  <c r="D212" i="21"/>
  <c r="E211" i="21"/>
  <c r="F210" i="21"/>
  <c r="G207" i="21"/>
  <c r="L212" i="21"/>
  <c r="M207" i="21"/>
  <c r="E212" i="21"/>
  <c r="F211" i="21"/>
  <c r="G210" i="21"/>
  <c r="H207" i="21"/>
  <c r="M210" i="21"/>
  <c r="F212" i="21"/>
  <c r="M211" i="21"/>
  <c r="I207" i="21"/>
  <c r="G211" i="21"/>
  <c r="H210" i="21"/>
  <c r="N206" i="21"/>
  <c r="I206" i="21"/>
  <c r="E206" i="21"/>
  <c r="D206" i="21"/>
  <c r="G206" i="21"/>
  <c r="H206" i="21"/>
  <c r="F206" i="21"/>
  <c r="N64" i="35"/>
  <c r="N64" i="4"/>
  <c r="D167" i="2"/>
  <c r="F167" i="2" s="1"/>
  <c r="I52" i="18"/>
  <c r="H94" i="21"/>
  <c r="K65" i="9"/>
  <c r="G68" i="9"/>
  <c r="G69" i="9" s="1"/>
  <c r="G70" i="9" s="1"/>
  <c r="H68" i="9"/>
  <c r="H69" i="9" s="1"/>
  <c r="H70" i="9" s="1"/>
  <c r="E68" i="9"/>
  <c r="F65" i="9"/>
  <c r="J65" i="9"/>
  <c r="F68" i="9"/>
  <c r="F69" i="9"/>
  <c r="F70" i="9" s="1"/>
  <c r="O68" i="9"/>
  <c r="O69" i="9"/>
  <c r="O70" i="9" s="1"/>
  <c r="K68" i="9"/>
  <c r="K69" i="9"/>
  <c r="K70" i="9"/>
  <c r="I68" i="9"/>
  <c r="H65" i="9"/>
  <c r="H74" i="9" s="1"/>
  <c r="J68" i="9"/>
  <c r="J69" i="9" s="1"/>
  <c r="J70" i="9" s="1"/>
  <c r="E65" i="9"/>
  <c r="L68" i="9"/>
  <c r="L69" i="9" s="1"/>
  <c r="L70" i="9" s="1"/>
  <c r="G65" i="9"/>
  <c r="F70" i="31" s="1"/>
  <c r="L65" i="9"/>
  <c r="I65" i="9"/>
  <c r="E66" i="12"/>
  <c r="G64" i="12"/>
  <c r="G71" i="12" s="1"/>
  <c r="F66" i="12"/>
  <c r="H64" i="12"/>
  <c r="G66" i="12"/>
  <c r="I64" i="12"/>
  <c r="I71" i="12" s="1"/>
  <c r="H66" i="12"/>
  <c r="L67" i="12" s="1"/>
  <c r="J64" i="12"/>
  <c r="I66" i="12"/>
  <c r="K64" i="12"/>
  <c r="J66" i="12"/>
  <c r="E64" i="12"/>
  <c r="L64" i="12"/>
  <c r="K66" i="12"/>
  <c r="L66" i="12"/>
  <c r="F64" i="12"/>
  <c r="E85" i="21"/>
  <c r="F38" i="22"/>
  <c r="F45" i="22"/>
  <c r="L38" i="22"/>
  <c r="K85" i="21"/>
  <c r="L45" i="22"/>
  <c r="E52" i="22"/>
  <c r="F52" i="22"/>
  <c r="G52" i="22"/>
  <c r="H52" i="22"/>
  <c r="I52" i="22"/>
  <c r="J52" i="22"/>
  <c r="K52" i="22"/>
  <c r="L52" i="22"/>
  <c r="L54" i="22" s="1"/>
  <c r="N52" i="22"/>
  <c r="O52" i="22"/>
  <c r="M52" i="22"/>
  <c r="J50" i="14"/>
  <c r="I91" i="21"/>
  <c r="G52" i="9"/>
  <c r="F89" i="21"/>
  <c r="J18" i="18"/>
  <c r="J20" i="18" s="1"/>
  <c r="J21" i="18" s="1"/>
  <c r="J17" i="18"/>
  <c r="J19" i="18"/>
  <c r="F85" i="21"/>
  <c r="G38" i="22"/>
  <c r="I18" i="18"/>
  <c r="I19" i="18"/>
  <c r="I17" i="18"/>
  <c r="K64" i="25"/>
  <c r="E61" i="25"/>
  <c r="J61" i="25"/>
  <c r="L64" i="25"/>
  <c r="K61" i="25"/>
  <c r="E64" i="25"/>
  <c r="L61" i="25"/>
  <c r="F64" i="25"/>
  <c r="G65" i="25" s="1"/>
  <c r="G64" i="25"/>
  <c r="F61" i="25"/>
  <c r="H64" i="25"/>
  <c r="G61" i="25"/>
  <c r="I64" i="25"/>
  <c r="H61" i="25"/>
  <c r="J64" i="25"/>
  <c r="L65" i="25" s="1"/>
  <c r="L73" i="25" s="1"/>
  <c r="I61" i="25"/>
  <c r="O64" i="25"/>
  <c r="O61" i="25"/>
  <c r="M61" i="25"/>
  <c r="M62" i="25" s="1"/>
  <c r="N61" i="25"/>
  <c r="N85" i="21"/>
  <c r="O45" i="22"/>
  <c r="O38" i="22"/>
  <c r="F52" i="9"/>
  <c r="E89" i="21" s="1"/>
  <c r="G46" i="17"/>
  <c r="J85" i="21"/>
  <c r="K45" i="22"/>
  <c r="K38" i="22"/>
  <c r="J66" i="20"/>
  <c r="J68" i="20" s="1"/>
  <c r="L63" i="20"/>
  <c r="K66" i="20"/>
  <c r="K68" i="20"/>
  <c r="L66" i="20"/>
  <c r="L68" i="20"/>
  <c r="F63" i="20"/>
  <c r="F64" i="20" s="1"/>
  <c r="E66" i="20"/>
  <c r="G63" i="20"/>
  <c r="F66" i="20"/>
  <c r="F68" i="20"/>
  <c r="F69" i="20" s="1"/>
  <c r="E63" i="20"/>
  <c r="E64" i="20" s="1"/>
  <c r="E75" i="20" s="1"/>
  <c r="H63" i="20"/>
  <c r="O66" i="20"/>
  <c r="O68" i="20"/>
  <c r="G66" i="20"/>
  <c r="G68" i="20" s="1"/>
  <c r="I63" i="20"/>
  <c r="H66" i="20"/>
  <c r="J63" i="20"/>
  <c r="I66" i="20"/>
  <c r="I68" i="20"/>
  <c r="K63" i="20"/>
  <c r="E52" i="18"/>
  <c r="D94" i="21"/>
  <c r="H50" i="14"/>
  <c r="G91" i="21" s="1"/>
  <c r="E52" i="9"/>
  <c r="D89" i="21" s="1"/>
  <c r="L66" i="37"/>
  <c r="F67" i="39"/>
  <c r="G67" i="39"/>
  <c r="E67" i="39"/>
  <c r="O67" i="42"/>
  <c r="E69" i="42"/>
  <c r="G67" i="42"/>
  <c r="M67" i="42"/>
  <c r="I67" i="42"/>
  <c r="J78" i="42"/>
  <c r="J67" i="42"/>
  <c r="N78" i="42"/>
  <c r="L78" i="42"/>
  <c r="L67" i="42"/>
  <c r="H78" i="42"/>
  <c r="E74" i="37"/>
  <c r="K66" i="37"/>
  <c r="E71" i="37"/>
  <c r="I47" i="17"/>
  <c r="F66" i="37"/>
  <c r="F67" i="37" s="1"/>
  <c r="J66" i="37"/>
  <c r="J67" i="37" s="1"/>
  <c r="I68" i="14"/>
  <c r="F68" i="14"/>
  <c r="F89" i="14"/>
  <c r="G66" i="37"/>
  <c r="G67" i="37"/>
  <c r="H74" i="37"/>
  <c r="H71" i="37"/>
  <c r="H78" i="37"/>
  <c r="F47" i="17"/>
  <c r="F75" i="39"/>
  <c r="F76" i="39"/>
  <c r="G71" i="37"/>
  <c r="G78" i="37" s="1"/>
  <c r="E75" i="39"/>
  <c r="E68" i="39"/>
  <c r="E70" i="39" s="1"/>
  <c r="H68" i="39"/>
  <c r="H70" i="39"/>
  <c r="K71" i="38"/>
  <c r="K69" i="38"/>
  <c r="J71" i="38"/>
  <c r="H69" i="38"/>
  <c r="H71" i="38"/>
  <c r="H73" i="38" s="1"/>
  <c r="L71" i="37"/>
  <c r="L78" i="37" s="1"/>
  <c r="O69" i="38"/>
  <c r="O71" i="38"/>
  <c r="E67" i="38"/>
  <c r="K67" i="38"/>
  <c r="I67" i="38"/>
  <c r="F67" i="38"/>
  <c r="F76" i="38" s="1"/>
  <c r="E68" i="38"/>
  <c r="H67" i="38"/>
  <c r="F57" i="17"/>
  <c r="G69" i="38"/>
  <c r="G71" i="38"/>
  <c r="I71" i="38"/>
  <c r="I69" i="38"/>
  <c r="K67" i="37"/>
  <c r="K77" i="37"/>
  <c r="J77" i="37"/>
  <c r="E77" i="37"/>
  <c r="E79" i="37" s="1"/>
  <c r="K30" i="18"/>
  <c r="L67" i="37"/>
  <c r="L77" i="37"/>
  <c r="E78" i="37"/>
  <c r="I20" i="18"/>
  <c r="I21" i="18" s="1"/>
  <c r="H64" i="20"/>
  <c r="H75" i="20" s="1"/>
  <c r="G71" i="31"/>
  <c r="E71" i="9"/>
  <c r="H71" i="9"/>
  <c r="G71" i="9"/>
  <c r="F71" i="9"/>
  <c r="O72" i="14"/>
  <c r="O64" i="14"/>
  <c r="K64" i="20"/>
  <c r="K75" i="20" s="1"/>
  <c r="H62" i="25"/>
  <c r="G66" i="31" s="1"/>
  <c r="H63" i="25"/>
  <c r="H72" i="25" s="1"/>
  <c r="G78" i="31"/>
  <c r="E65" i="25"/>
  <c r="I65" i="25"/>
  <c r="H65" i="25"/>
  <c r="N55" i="22"/>
  <c r="N56" i="22"/>
  <c r="N59" i="22"/>
  <c r="N60" i="22" s="1"/>
  <c r="M169" i="21" s="1"/>
  <c r="N54" i="22"/>
  <c r="N57" i="22" s="1"/>
  <c r="N65" i="22" s="1"/>
  <c r="M80" i="31"/>
  <c r="E55" i="22"/>
  <c r="E59" i="22"/>
  <c r="E60" i="22"/>
  <c r="D169" i="21"/>
  <c r="E54" i="22"/>
  <c r="E56" i="22"/>
  <c r="D80" i="31"/>
  <c r="E67" i="12"/>
  <c r="G67" i="12"/>
  <c r="F67" i="12"/>
  <c r="I74" i="9"/>
  <c r="I66" i="9"/>
  <c r="H71" i="17"/>
  <c r="H65" i="17"/>
  <c r="H74" i="17" s="1"/>
  <c r="G75" i="31"/>
  <c r="H72" i="14"/>
  <c r="H64" i="14"/>
  <c r="G62" i="31" s="1"/>
  <c r="G72" i="31"/>
  <c r="E69" i="18"/>
  <c r="H69" i="18"/>
  <c r="F69" i="18"/>
  <c r="L69" i="18"/>
  <c r="I69" i="18"/>
  <c r="J69" i="18"/>
  <c r="J79" i="18" s="1"/>
  <c r="J80" i="18" s="1"/>
  <c r="I167" i="21" s="1"/>
  <c r="O51" i="18"/>
  <c r="O52" i="18" s="1"/>
  <c r="N94" i="21" s="1"/>
  <c r="O42" i="18"/>
  <c r="E67" i="17"/>
  <c r="M66" i="18"/>
  <c r="L77" i="31"/>
  <c r="N42" i="18"/>
  <c r="N51" i="18"/>
  <c r="N52" i="18" s="1"/>
  <c r="M94" i="21" s="1"/>
  <c r="I71" i="20"/>
  <c r="I69" i="20"/>
  <c r="K62" i="25"/>
  <c r="J66" i="31" s="1"/>
  <c r="K63" i="25"/>
  <c r="K72" i="25" s="1"/>
  <c r="J78" i="31"/>
  <c r="L55" i="22"/>
  <c r="L57" i="22" s="1"/>
  <c r="L56" i="22"/>
  <c r="L59" i="22"/>
  <c r="L60" i="22" s="1"/>
  <c r="K169" i="21" s="1"/>
  <c r="K80" i="31"/>
  <c r="F71" i="12"/>
  <c r="F65" i="12"/>
  <c r="F74" i="12"/>
  <c r="E74" i="31"/>
  <c r="J71" i="12"/>
  <c r="J65" i="12"/>
  <c r="J74" i="12"/>
  <c r="L74" i="9"/>
  <c r="L66" i="9"/>
  <c r="K65" i="17"/>
  <c r="K74" i="17"/>
  <c r="K71" i="17"/>
  <c r="N64" i="14"/>
  <c r="N72" i="14"/>
  <c r="E67" i="14"/>
  <c r="E68" i="14"/>
  <c r="E69" i="14"/>
  <c r="J69" i="14"/>
  <c r="I69" i="14"/>
  <c r="F69" i="14"/>
  <c r="H66" i="18"/>
  <c r="G77" i="31"/>
  <c r="D82" i="21"/>
  <c r="E57" i="17"/>
  <c r="E47" i="17"/>
  <c r="K42" i="12"/>
  <c r="K49" i="12"/>
  <c r="K50" i="12" s="1"/>
  <c r="J92" i="21" s="1"/>
  <c r="K42" i="18"/>
  <c r="K51" i="18"/>
  <c r="K52" i="18" s="1"/>
  <c r="J94" i="21" s="1"/>
  <c r="L64" i="20"/>
  <c r="L75" i="20"/>
  <c r="O56" i="22"/>
  <c r="O54" i="22"/>
  <c r="O55" i="22"/>
  <c r="O59" i="22"/>
  <c r="O60" i="22" s="1"/>
  <c r="N80" i="31"/>
  <c r="J64" i="14"/>
  <c r="J72" i="14"/>
  <c r="J64" i="20"/>
  <c r="J75" i="20"/>
  <c r="G64" i="20"/>
  <c r="G75" i="20" s="1"/>
  <c r="F71" i="31"/>
  <c r="G47" i="17"/>
  <c r="F82" i="21"/>
  <c r="N63" i="25"/>
  <c r="N62" i="25"/>
  <c r="M66" i="31" s="1"/>
  <c r="M78" i="31"/>
  <c r="G62" i="25"/>
  <c r="F66" i="31"/>
  <c r="G63" i="25"/>
  <c r="G72" i="25"/>
  <c r="G74" i="25" s="1"/>
  <c r="F168" i="21" s="1"/>
  <c r="F78" i="31"/>
  <c r="K59" i="22"/>
  <c r="K60" i="22" s="1"/>
  <c r="J169" i="21" s="1"/>
  <c r="K55" i="22"/>
  <c r="J80" i="31"/>
  <c r="F64" i="14"/>
  <c r="F72" i="14"/>
  <c r="E72" i="31"/>
  <c r="E66" i="18"/>
  <c r="D77" i="31"/>
  <c r="L66" i="18"/>
  <c r="K77" i="31"/>
  <c r="L42" i="18"/>
  <c r="L51" i="18"/>
  <c r="L52" i="18"/>
  <c r="K94" i="21" s="1"/>
  <c r="F55" i="22"/>
  <c r="F59" i="22"/>
  <c r="F60" i="22"/>
  <c r="E169" i="21" s="1"/>
  <c r="F56" i="22"/>
  <c r="F54" i="22"/>
  <c r="E80" i="31"/>
  <c r="F74" i="31"/>
  <c r="G67" i="20"/>
  <c r="E67" i="20"/>
  <c r="E76" i="20" s="1"/>
  <c r="F67" i="20"/>
  <c r="F76" i="20" s="1"/>
  <c r="E68" i="20"/>
  <c r="M63" i="25"/>
  <c r="L66" i="31"/>
  <c r="L78" i="31"/>
  <c r="J63" i="25"/>
  <c r="J72" i="25" s="1"/>
  <c r="J62" i="25"/>
  <c r="J56" i="22"/>
  <c r="J59" i="22"/>
  <c r="J60" i="22"/>
  <c r="I169" i="21"/>
  <c r="J55" i="22"/>
  <c r="J54" i="22"/>
  <c r="I80" i="31"/>
  <c r="I65" i="12"/>
  <c r="I74" i="12"/>
  <c r="G74" i="9"/>
  <c r="G66" i="9"/>
  <c r="F60" i="31" s="1"/>
  <c r="K74" i="9"/>
  <c r="K66" i="9"/>
  <c r="O65" i="17"/>
  <c r="O74" i="17"/>
  <c r="O71" i="17"/>
  <c r="J71" i="17"/>
  <c r="J65" i="17"/>
  <c r="J74" i="17" s="1"/>
  <c r="J66" i="18"/>
  <c r="M42" i="18"/>
  <c r="M51" i="18"/>
  <c r="M52" i="18"/>
  <c r="L94" i="21" s="1"/>
  <c r="E71" i="17"/>
  <c r="E65" i="17"/>
  <c r="E74" i="17"/>
  <c r="D75" i="31"/>
  <c r="O66" i="18"/>
  <c r="N77" i="31"/>
  <c r="I64" i="20"/>
  <c r="I75" i="20"/>
  <c r="F75" i="20"/>
  <c r="F77" i="20" s="1"/>
  <c r="E163" i="21" s="1"/>
  <c r="E71" i="31"/>
  <c r="O63" i="25"/>
  <c r="O72" i="25" s="1"/>
  <c r="O62" i="25"/>
  <c r="S12" i="25"/>
  <c r="N78" i="31"/>
  <c r="F62" i="25"/>
  <c r="E66" i="31" s="1"/>
  <c r="F63" i="25"/>
  <c r="F72" i="25"/>
  <c r="E78" i="31"/>
  <c r="E62" i="25"/>
  <c r="D66" i="31"/>
  <c r="E63" i="25"/>
  <c r="E72" i="25" s="1"/>
  <c r="E74" i="25" s="1"/>
  <c r="D78" i="31"/>
  <c r="I54" i="22"/>
  <c r="I59" i="22"/>
  <c r="I60" i="22" s="1"/>
  <c r="H169" i="21"/>
  <c r="I55" i="22"/>
  <c r="I56" i="22"/>
  <c r="H80" i="31"/>
  <c r="L71" i="12"/>
  <c r="L65" i="12"/>
  <c r="L74" i="12"/>
  <c r="D50" i="31"/>
  <c r="M65" i="17"/>
  <c r="M71" i="17"/>
  <c r="F71" i="17"/>
  <c r="F65" i="17"/>
  <c r="F74" i="17" s="1"/>
  <c r="E75" i="31"/>
  <c r="K64" i="14"/>
  <c r="K72" i="14"/>
  <c r="N66" i="18"/>
  <c r="M77" i="31"/>
  <c r="G66" i="18"/>
  <c r="F77" i="31"/>
  <c r="K66" i="18"/>
  <c r="J77" i="31"/>
  <c r="K65" i="12"/>
  <c r="K74" i="12" s="1"/>
  <c r="K71" i="12"/>
  <c r="H66" i="9"/>
  <c r="H67" i="9" s="1"/>
  <c r="G70" i="31"/>
  <c r="G69" i="20"/>
  <c r="G71" i="20"/>
  <c r="G72" i="20" s="1"/>
  <c r="L71" i="20"/>
  <c r="L73" i="20" s="1"/>
  <c r="L72" i="20"/>
  <c r="L69" i="20"/>
  <c r="H59" i="22"/>
  <c r="H60" i="22" s="1"/>
  <c r="G169" i="21" s="1"/>
  <c r="H55" i="22"/>
  <c r="H56" i="22"/>
  <c r="H54" i="22"/>
  <c r="G80" i="31"/>
  <c r="E71" i="12"/>
  <c r="E65" i="12"/>
  <c r="D74" i="31"/>
  <c r="H71" i="12"/>
  <c r="H65" i="12"/>
  <c r="H74" i="12"/>
  <c r="G74" i="31"/>
  <c r="E66" i="9"/>
  <c r="E74" i="9"/>
  <c r="D70" i="31"/>
  <c r="J66" i="9"/>
  <c r="J74" i="9"/>
  <c r="G72" i="14"/>
  <c r="G64" i="14"/>
  <c r="F72" i="31"/>
  <c r="L64" i="14"/>
  <c r="L72" i="14"/>
  <c r="I66" i="18"/>
  <c r="H77" i="31"/>
  <c r="O69" i="20"/>
  <c r="O71" i="20"/>
  <c r="K71" i="20"/>
  <c r="K69" i="20"/>
  <c r="I63" i="25"/>
  <c r="I72" i="25"/>
  <c r="I62" i="25"/>
  <c r="M54" i="22"/>
  <c r="M56" i="22"/>
  <c r="M59" i="22"/>
  <c r="M60" i="22"/>
  <c r="L169" i="21"/>
  <c r="M55" i="22"/>
  <c r="L80" i="31"/>
  <c r="G55" i="22"/>
  <c r="G54" i="22"/>
  <c r="G59" i="22"/>
  <c r="G60" i="22" s="1"/>
  <c r="F169" i="21" s="1"/>
  <c r="G56" i="22"/>
  <c r="F80" i="31"/>
  <c r="F66" i="9"/>
  <c r="E60" i="31" s="1"/>
  <c r="F74" i="9"/>
  <c r="E70" i="31"/>
  <c r="L71" i="17"/>
  <c r="L65" i="17"/>
  <c r="L74" i="17"/>
  <c r="I71" i="17"/>
  <c r="I65" i="17"/>
  <c r="I74" i="17" s="1"/>
  <c r="M64" i="14"/>
  <c r="M72" i="14"/>
  <c r="I64" i="14"/>
  <c r="I72" i="14"/>
  <c r="E72" i="14"/>
  <c r="E64" i="14"/>
  <c r="D62" i="31" s="1"/>
  <c r="D72" i="31"/>
  <c r="F66" i="18"/>
  <c r="E77" i="31"/>
  <c r="E70" i="42"/>
  <c r="E72" i="42" s="1"/>
  <c r="E75" i="42" s="1"/>
  <c r="E79" i="42"/>
  <c r="G77" i="37"/>
  <c r="F86" i="14"/>
  <c r="E76" i="38"/>
  <c r="E77" i="38" s="1"/>
  <c r="E65" i="38"/>
  <c r="G72" i="38"/>
  <c r="G73" i="38"/>
  <c r="E69" i="38"/>
  <c r="E71" i="38"/>
  <c r="H72" i="38"/>
  <c r="K72" i="38"/>
  <c r="K73" i="38"/>
  <c r="F77" i="38"/>
  <c r="F65" i="38"/>
  <c r="O72" i="38"/>
  <c r="O73" i="38"/>
  <c r="O74" i="38" s="1"/>
  <c r="J72" i="38"/>
  <c r="J73" i="38"/>
  <c r="I10" i="21"/>
  <c r="J30" i="18"/>
  <c r="G79" i="37"/>
  <c r="H76" i="38"/>
  <c r="H65" i="38"/>
  <c r="I76" i="38"/>
  <c r="I77" i="38" s="1"/>
  <c r="I65" i="38"/>
  <c r="K76" i="38"/>
  <c r="K77" i="38" s="1"/>
  <c r="K65" i="38"/>
  <c r="H10" i="21"/>
  <c r="L79" i="37"/>
  <c r="I30" i="18"/>
  <c r="M158" i="21"/>
  <c r="H57" i="22"/>
  <c r="H65" i="22" s="1"/>
  <c r="I57" i="22"/>
  <c r="J57" i="22"/>
  <c r="F65" i="20"/>
  <c r="E61" i="31"/>
  <c r="F57" i="22"/>
  <c r="F65" i="14"/>
  <c r="F85" i="14"/>
  <c r="F75" i="14"/>
  <c r="E62" i="31"/>
  <c r="J65" i="14"/>
  <c r="J75" i="14"/>
  <c r="L70" i="18"/>
  <c r="K65" i="31" s="1"/>
  <c r="L72" i="18"/>
  <c r="L73" i="18" s="1"/>
  <c r="L79" i="18"/>
  <c r="I73" i="25"/>
  <c r="I74" i="25"/>
  <c r="H168" i="21"/>
  <c r="M74" i="17"/>
  <c r="M72" i="25"/>
  <c r="I70" i="18"/>
  <c r="I79" i="18"/>
  <c r="E75" i="12"/>
  <c r="M65" i="14"/>
  <c r="M75" i="14"/>
  <c r="L65" i="14"/>
  <c r="L75" i="14"/>
  <c r="G81" i="31"/>
  <c r="K65" i="14"/>
  <c r="K75" i="14"/>
  <c r="G77" i="9"/>
  <c r="G67" i="9"/>
  <c r="E65" i="20"/>
  <c r="D61" i="31" s="1"/>
  <c r="G70" i="18"/>
  <c r="G79" i="18"/>
  <c r="H65" i="14"/>
  <c r="H85" i="14" s="1"/>
  <c r="H75" i="14"/>
  <c r="O72" i="20"/>
  <c r="O73" i="20"/>
  <c r="K67" i="18"/>
  <c r="K78" i="18"/>
  <c r="O67" i="18"/>
  <c r="O65" i="43" s="1"/>
  <c r="O78" i="18"/>
  <c r="J76" i="14"/>
  <c r="I72" i="20"/>
  <c r="I73" i="20"/>
  <c r="E75" i="17"/>
  <c r="E76" i="17"/>
  <c r="D166" i="21"/>
  <c r="E68" i="17"/>
  <c r="E70" i="17" s="1"/>
  <c r="F70" i="18"/>
  <c r="F79" i="18"/>
  <c r="I67" i="9"/>
  <c r="I77" i="9"/>
  <c r="E57" i="22"/>
  <c r="F78" i="9"/>
  <c r="E67" i="9"/>
  <c r="E77" i="9"/>
  <c r="D60" i="31"/>
  <c r="I76" i="14"/>
  <c r="H77" i="9"/>
  <c r="H79" i="9" s="1"/>
  <c r="G162" i="21" s="1"/>
  <c r="J78" i="18"/>
  <c r="J67" i="18"/>
  <c r="G65" i="20"/>
  <c r="F61" i="31" s="1"/>
  <c r="G76" i="20"/>
  <c r="G77" i="20" s="1"/>
  <c r="F163" i="21" s="1"/>
  <c r="L78" i="18"/>
  <c r="L67" i="18"/>
  <c r="N72" i="25"/>
  <c r="E76" i="14"/>
  <c r="L67" i="9"/>
  <c r="L77" i="9"/>
  <c r="G73" i="25"/>
  <c r="I58" i="22"/>
  <c r="H158" i="21"/>
  <c r="F67" i="18"/>
  <c r="F78" i="18"/>
  <c r="E65" i="14"/>
  <c r="E75" i="14"/>
  <c r="E81" i="31"/>
  <c r="J77" i="9"/>
  <c r="J67" i="9"/>
  <c r="G78" i="18"/>
  <c r="G67" i="18"/>
  <c r="E168" i="2"/>
  <c r="F168" i="2"/>
  <c r="N66" i="31"/>
  <c r="O71" i="43" s="1"/>
  <c r="F76" i="14"/>
  <c r="H79" i="18"/>
  <c r="H70" i="18"/>
  <c r="E73" i="25"/>
  <c r="D168" i="21"/>
  <c r="O75" i="14"/>
  <c r="O65" i="14"/>
  <c r="G78" i="9"/>
  <c r="M57" i="22"/>
  <c r="M65" i="22" s="1"/>
  <c r="G57" i="22"/>
  <c r="O57" i="22"/>
  <c r="E70" i="18"/>
  <c r="E72" i="18" s="1"/>
  <c r="E79" i="18"/>
  <c r="F75" i="12"/>
  <c r="F76" i="12"/>
  <c r="E165" i="21"/>
  <c r="F68" i="12"/>
  <c r="H78" i="9"/>
  <c r="N65" i="14"/>
  <c r="N75" i="14"/>
  <c r="I75" i="14"/>
  <c r="I65" i="14"/>
  <c r="F77" i="9"/>
  <c r="F79" i="9" s="1"/>
  <c r="E162" i="21" s="1"/>
  <c r="I67" i="18"/>
  <c r="I78" i="18"/>
  <c r="N67" i="18"/>
  <c r="N78" i="18"/>
  <c r="K77" i="9"/>
  <c r="K67" i="9"/>
  <c r="E69" i="20"/>
  <c r="E71" i="20"/>
  <c r="E72" i="20"/>
  <c r="E73" i="20"/>
  <c r="E74" i="20" s="1"/>
  <c r="J70" i="18"/>
  <c r="G75" i="12"/>
  <c r="E74" i="42"/>
  <c r="E73" i="42"/>
  <c r="E76" i="42" s="1"/>
  <c r="J77" i="14"/>
  <c r="I164" i="21" s="1"/>
  <c r="E166" i="2"/>
  <c r="O83" i="36"/>
  <c r="O64" i="40"/>
  <c r="O88" i="36"/>
  <c r="O69" i="40"/>
  <c r="J74" i="38"/>
  <c r="O80" i="38"/>
  <c r="E72" i="38"/>
  <c r="E73" i="38" s="1"/>
  <c r="K74" i="38"/>
  <c r="G74" i="38"/>
  <c r="H58" i="22"/>
  <c r="F80" i="18"/>
  <c r="E167" i="21"/>
  <c r="O80" i="20"/>
  <c r="O81" i="20" s="1"/>
  <c r="N174" i="21" s="1"/>
  <c r="O74" i="20"/>
  <c r="N152" i="21"/>
  <c r="H72" i="18"/>
  <c r="H75" i="18" s="1"/>
  <c r="O64" i="4"/>
  <c r="O64" i="35"/>
  <c r="F158" i="21"/>
  <c r="F20" i="31" s="1"/>
  <c r="F77" i="14"/>
  <c r="E164" i="21" s="1"/>
  <c r="O69" i="35"/>
  <c r="O69" i="4"/>
  <c r="G79" i="9"/>
  <c r="F162" i="21" s="1"/>
  <c r="E158" i="21"/>
  <c r="E20" i="31"/>
  <c r="F58" i="22"/>
  <c r="G80" i="18"/>
  <c r="F167" i="21" s="1"/>
  <c r="J72" i="18"/>
  <c r="J73" i="18" s="1"/>
  <c r="I65" i="31"/>
  <c r="D65" i="31"/>
  <c r="N158" i="21"/>
  <c r="O58" i="22"/>
  <c r="H152" i="21"/>
  <c r="I74" i="20"/>
  <c r="G72" i="18"/>
  <c r="G73" i="18" s="1"/>
  <c r="D158" i="21"/>
  <c r="D20" i="31" s="1"/>
  <c r="E58" i="22"/>
  <c r="E65" i="22"/>
  <c r="L80" i="18"/>
  <c r="K167" i="21" s="1"/>
  <c r="D152" i="21"/>
  <c r="E77" i="14"/>
  <c r="D164" i="21"/>
  <c r="I80" i="18"/>
  <c r="H167" i="21"/>
  <c r="L74" i="18"/>
  <c r="L76" i="18" s="1"/>
  <c r="L75" i="18"/>
  <c r="L158" i="21"/>
  <c r="F72" i="18"/>
  <c r="E65" i="31"/>
  <c r="I72" i="18"/>
  <c r="H65" i="31"/>
  <c r="J65" i="22"/>
  <c r="I158" i="21"/>
  <c r="J58" i="22"/>
  <c r="E73" i="18"/>
  <c r="E76" i="18" s="1"/>
  <c r="E75" i="18"/>
  <c r="E74" i="18"/>
  <c r="I73" i="18"/>
  <c r="I74" i="18"/>
  <c r="I75" i="18"/>
  <c r="J74" i="18"/>
  <c r="J75" i="18"/>
  <c r="J76" i="18" s="1"/>
  <c r="F75" i="18"/>
  <c r="F74" i="18"/>
  <c r="F73" i="18"/>
  <c r="F76" i="18"/>
  <c r="F86" i="18" s="1"/>
  <c r="B18" i="2"/>
  <c r="AF18" i="2" s="1"/>
  <c r="AC18" i="2"/>
  <c r="E41" i="43" s="1"/>
  <c r="E41" i="4"/>
  <c r="H17" i="2"/>
  <c r="B17" i="2" s="1"/>
  <c r="AF17" i="2" s="1"/>
  <c r="AL18" i="2"/>
  <c r="E60" i="36"/>
  <c r="E41" i="40"/>
  <c r="E41" i="35"/>
  <c r="Q119" i="31"/>
  <c r="E77" i="18" l="1"/>
  <c r="D156" i="21"/>
  <c r="J77" i="18"/>
  <c r="J86" i="18"/>
  <c r="I156" i="21"/>
  <c r="L77" i="18"/>
  <c r="K156" i="21"/>
  <c r="L86" i="18"/>
  <c r="N169" i="21"/>
  <c r="O65" i="22"/>
  <c r="E77" i="42"/>
  <c r="E156" i="21"/>
  <c r="E74" i="38"/>
  <c r="L75" i="12"/>
  <c r="L76" i="12" s="1"/>
  <c r="K165" i="21" s="1"/>
  <c r="L68" i="12"/>
  <c r="F77" i="18"/>
  <c r="I76" i="18"/>
  <c r="G65" i="22"/>
  <c r="G58" i="22"/>
  <c r="L65" i="22"/>
  <c r="K158" i="21"/>
  <c r="L58" i="22"/>
  <c r="K72" i="20"/>
  <c r="K73" i="20" s="1"/>
  <c r="L74" i="20"/>
  <c r="K152" i="21"/>
  <c r="M68" i="18"/>
  <c r="M67" i="18"/>
  <c r="M78" i="18"/>
  <c r="E78" i="9"/>
  <c r="E79" i="9" s="1"/>
  <c r="D162" i="21" s="1"/>
  <c r="I72" i="38"/>
  <c r="I73" i="38" s="1"/>
  <c r="L67" i="14"/>
  <c r="L69" i="14"/>
  <c r="G75" i="14"/>
  <c r="G65" i="14"/>
  <c r="G85" i="14" s="1"/>
  <c r="H74" i="18"/>
  <c r="I65" i="22"/>
  <c r="E78" i="18"/>
  <c r="E80" i="18" s="1"/>
  <c r="D167" i="21" s="1"/>
  <c r="E67" i="18"/>
  <c r="G75" i="39"/>
  <c r="H73" i="18"/>
  <c r="H76" i="18" s="1"/>
  <c r="G74" i="18"/>
  <c r="M58" i="22"/>
  <c r="I77" i="14"/>
  <c r="H164" i="21" s="1"/>
  <c r="F62" i="31"/>
  <c r="N65" i="17"/>
  <c r="N71" i="17"/>
  <c r="H67" i="17"/>
  <c r="I67" i="17"/>
  <c r="L67" i="17"/>
  <c r="K67" i="17"/>
  <c r="J67" i="17"/>
  <c r="F75" i="31"/>
  <c r="F81" i="31" s="1"/>
  <c r="G71" i="17"/>
  <c r="G65" i="17"/>
  <c r="G74" i="17" s="1"/>
  <c r="G75" i="18"/>
  <c r="N58" i="22"/>
  <c r="H73" i="25"/>
  <c r="H74" i="25" s="1"/>
  <c r="G168" i="21" s="1"/>
  <c r="E77" i="20"/>
  <c r="H74" i="38"/>
  <c r="I69" i="9"/>
  <c r="I70" i="9" s="1"/>
  <c r="I71" i="9"/>
  <c r="L71" i="9"/>
  <c r="K71" i="9"/>
  <c r="F65" i="22"/>
  <c r="E68" i="12"/>
  <c r="E74" i="12"/>
  <c r="E76" i="12" s="1"/>
  <c r="D165" i="21" s="1"/>
  <c r="H78" i="18"/>
  <c r="H80" i="18" s="1"/>
  <c r="G167" i="21" s="1"/>
  <c r="H67" i="18"/>
  <c r="I67" i="20"/>
  <c r="H67" i="20"/>
  <c r="J67" i="20"/>
  <c r="K67" i="20"/>
  <c r="H68" i="20"/>
  <c r="L67" i="20"/>
  <c r="L62" i="25"/>
  <c r="L63" i="25"/>
  <c r="L72" i="25" s="1"/>
  <c r="L74" i="25" s="1"/>
  <c r="K168" i="21" s="1"/>
  <c r="I67" i="12"/>
  <c r="K67" i="12"/>
  <c r="J67" i="12"/>
  <c r="H67" i="12"/>
  <c r="E76" i="39"/>
  <c r="G69" i="42"/>
  <c r="L96" i="21"/>
  <c r="M45" i="22"/>
  <c r="H67" i="37"/>
  <c r="H77" i="37"/>
  <c r="H79" i="37" s="1"/>
  <c r="H47" i="17"/>
  <c r="H57" i="17"/>
  <c r="G82" i="21"/>
  <c r="J69" i="42"/>
  <c r="K69" i="42"/>
  <c r="H69" i="42"/>
  <c r="I69" i="42"/>
  <c r="F69" i="42"/>
  <c r="E78" i="42"/>
  <c r="E80" i="42" s="1"/>
  <c r="E67" i="42"/>
  <c r="L40" i="12"/>
  <c r="L48" i="12"/>
  <c r="F77" i="37"/>
  <c r="F71" i="20"/>
  <c r="F65" i="25"/>
  <c r="D71" i="31"/>
  <c r="D81" i="31" s="1"/>
  <c r="O89" i="14"/>
  <c r="F68" i="39"/>
  <c r="F70" i="39" s="1"/>
  <c r="J71" i="20"/>
  <c r="J69" i="20"/>
  <c r="J65" i="25"/>
  <c r="L71" i="38"/>
  <c r="L69" i="38"/>
  <c r="E69" i="9"/>
  <c r="E70" i="9" s="1"/>
  <c r="J71" i="9"/>
  <c r="K69" i="14"/>
  <c r="G67" i="14"/>
  <c r="G69" i="14"/>
  <c r="L67" i="38"/>
  <c r="J67" i="38"/>
  <c r="G67" i="38"/>
  <c r="H75" i="39"/>
  <c r="H76" i="39" s="1"/>
  <c r="F67" i="9"/>
  <c r="G60" i="31"/>
  <c r="H89" i="14"/>
  <c r="K54" i="22"/>
  <c r="K57" i="22" s="1"/>
  <c r="K56" i="22"/>
  <c r="F67" i="17"/>
  <c r="G67" i="17"/>
  <c r="N68" i="14"/>
  <c r="N89" i="14"/>
  <c r="I74" i="37"/>
  <c r="I66" i="37"/>
  <c r="M78" i="42"/>
  <c r="K21" i="18"/>
  <c r="J10" i="21"/>
  <c r="G158" i="21"/>
  <c r="G20" i="31" s="1"/>
  <c r="G73" i="20"/>
  <c r="G65" i="12"/>
  <c r="H69" i="14"/>
  <c r="K69" i="18"/>
  <c r="J68" i="14"/>
  <c r="J89" i="14"/>
  <c r="F71" i="38"/>
  <c r="F69" i="38"/>
  <c r="F67" i="42"/>
  <c r="F78" i="42"/>
  <c r="J39" i="18"/>
  <c r="J50" i="18"/>
  <c r="J52" i="18" s="1"/>
  <c r="I94" i="21" s="1"/>
  <c r="L69" i="42"/>
  <c r="F96" i="21"/>
  <c r="G45" i="22"/>
  <c r="K71" i="37"/>
  <c r="G65" i="39"/>
  <c r="G74" i="39" s="1"/>
  <c r="G76" i="39" s="1"/>
  <c r="L46" i="25"/>
  <c r="K65" i="25"/>
  <c r="J71" i="37"/>
  <c r="I71" i="37"/>
  <c r="G50" i="17"/>
  <c r="E38" i="38"/>
  <c r="E49" i="38"/>
  <c r="E50" i="38" s="1"/>
  <c r="H38" i="20"/>
  <c r="H49" i="20"/>
  <c r="H50" i="20" s="1"/>
  <c r="G90" i="21" s="1"/>
  <c r="F71" i="37"/>
  <c r="L67" i="39"/>
  <c r="I50" i="12"/>
  <c r="H92" i="21" s="1"/>
  <c r="H97" i="21" s="1"/>
  <c r="N19" i="18"/>
  <c r="N18" i="18"/>
  <c r="N20" i="18" s="1"/>
  <c r="J42" i="17"/>
  <c r="J44" i="17" s="1"/>
  <c r="J43" i="17"/>
  <c r="J46" i="17" s="1"/>
  <c r="M96" i="21"/>
  <c r="N45" i="22"/>
  <c r="M18" i="18"/>
  <c r="M20" i="18" s="1"/>
  <c r="M19" i="18"/>
  <c r="J50" i="20"/>
  <c r="I90" i="21" s="1"/>
  <c r="I97" i="21" s="1"/>
  <c r="H50" i="18"/>
  <c r="H52" i="18" s="1"/>
  <c r="G94" i="21" s="1"/>
  <c r="H39" i="18"/>
  <c r="K67" i="42"/>
  <c r="L19" i="18"/>
  <c r="L17" i="18"/>
  <c r="L18" i="18"/>
  <c r="F50" i="12"/>
  <c r="E92" i="21" s="1"/>
  <c r="E97" i="21" s="1"/>
  <c r="E42" i="42"/>
  <c r="E51" i="42"/>
  <c r="E52" i="42" s="1"/>
  <c r="J45" i="22"/>
  <c r="O17" i="18"/>
  <c r="O18" i="18"/>
  <c r="I51" i="37"/>
  <c r="I52" i="37" s="1"/>
  <c r="H60" i="38"/>
  <c r="M183" i="21"/>
  <c r="M39" i="31" s="1"/>
  <c r="L183" i="21"/>
  <c r="L39" i="31" s="1"/>
  <c r="I42" i="38"/>
  <c r="E41" i="12"/>
  <c r="I66" i="39"/>
  <c r="H62" i="42"/>
  <c r="H11" i="37"/>
  <c r="H21" i="37"/>
  <c r="H23" i="37" s="1"/>
  <c r="E42" i="37"/>
  <c r="E43" i="37" s="1"/>
  <c r="E44" i="37"/>
  <c r="E15" i="20"/>
  <c r="M15" i="20"/>
  <c r="F93" i="33"/>
  <c r="F19" i="33"/>
  <c r="G13" i="25"/>
  <c r="H13" i="25"/>
  <c r="H13" i="12"/>
  <c r="G13" i="12"/>
  <c r="K15" i="20"/>
  <c r="F56" i="33"/>
  <c r="G56" i="33" s="1"/>
  <c r="H56" i="33" s="1"/>
  <c r="H23" i="20"/>
  <c r="G17" i="21" s="1"/>
  <c r="H22" i="37"/>
  <c r="G13" i="18"/>
  <c r="H13" i="18"/>
  <c r="I53" i="17"/>
  <c r="G53" i="17"/>
  <c r="G52" i="17" s="1"/>
  <c r="G55" i="17" s="1"/>
  <c r="F104" i="21" s="1"/>
  <c r="E18" i="9"/>
  <c r="L53" i="17"/>
  <c r="L52" i="17" s="1"/>
  <c r="L55" i="17" s="1"/>
  <c r="K104" i="21" s="1"/>
  <c r="N16" i="22"/>
  <c r="N17" i="22" s="1"/>
  <c r="M23" i="21" s="1"/>
  <c r="N11" i="22"/>
  <c r="N13" i="22"/>
  <c r="O15" i="20"/>
  <c r="N22" i="18"/>
  <c r="N24" i="18" s="1"/>
  <c r="M21" i="21" s="1"/>
  <c r="N11" i="18"/>
  <c r="N15" i="38"/>
  <c r="G15" i="38"/>
  <c r="E17" i="12"/>
  <c r="E11" i="12"/>
  <c r="F50" i="25"/>
  <c r="F52" i="25" s="1"/>
  <c r="E106" i="21" s="1"/>
  <c r="L13" i="22"/>
  <c r="L11" i="22"/>
  <c r="H22" i="39"/>
  <c r="M13" i="22"/>
  <c r="M11" i="22"/>
  <c r="M16" i="22"/>
  <c r="M17" i="22" s="1"/>
  <c r="L23" i="21" s="1"/>
  <c r="K15" i="38"/>
  <c r="D36" i="22"/>
  <c r="D13" i="22"/>
  <c r="L9" i="25"/>
  <c r="C100" i="2"/>
  <c r="G24" i="25"/>
  <c r="G26" i="25" s="1"/>
  <c r="F33" i="21" s="1"/>
  <c r="F34" i="31" s="1"/>
  <c r="AF21" i="2"/>
  <c r="J9" i="25"/>
  <c r="I9" i="25"/>
  <c r="F24" i="25"/>
  <c r="F26" i="25" s="1"/>
  <c r="E33" i="21" s="1"/>
  <c r="H24" i="25"/>
  <c r="H26" i="25" s="1"/>
  <c r="G33" i="21" s="1"/>
  <c r="G34" i="31" s="1"/>
  <c r="D44" i="24"/>
  <c r="AG12" i="2"/>
  <c r="O17" i="6"/>
  <c r="D71" i="14"/>
  <c r="Y36" i="32"/>
  <c r="X36" i="32"/>
  <c r="D92" i="33"/>
  <c r="E92" i="33" s="1"/>
  <c r="I92" i="33" s="1"/>
  <c r="J92" i="33" s="1"/>
  <c r="K92" i="33" s="1"/>
  <c r="L92" i="33" s="1"/>
  <c r="C93" i="33"/>
  <c r="AN7" i="1"/>
  <c r="AO7" i="1" s="1"/>
  <c r="AP7" i="1" s="1"/>
  <c r="D67" i="25"/>
  <c r="H67" i="25" s="1"/>
  <c r="D15" i="25"/>
  <c r="D41" i="25"/>
  <c r="Y37" i="32"/>
  <c r="X37" i="32"/>
  <c r="D80" i="17"/>
  <c r="D79" i="17"/>
  <c r="D69" i="17"/>
  <c r="E69" i="17" s="1"/>
  <c r="E72" i="17" s="1"/>
  <c r="O38" i="32"/>
  <c r="K110" i="31"/>
  <c r="N110" i="31" s="1"/>
  <c r="D80" i="14"/>
  <c r="D79" i="14"/>
  <c r="N79" i="14" s="1"/>
  <c r="N81" i="14" s="1"/>
  <c r="M175" i="21" s="1"/>
  <c r="M66" i="40"/>
  <c r="M67" i="43"/>
  <c r="AJ17" i="2"/>
  <c r="N64" i="43"/>
  <c r="N63" i="40"/>
  <c r="L26" i="40"/>
  <c r="M26" i="40" s="1"/>
  <c r="N26" i="40" s="1"/>
  <c r="O26" i="40" s="1"/>
  <c r="O25" i="40"/>
  <c r="B16" i="2"/>
  <c r="AK16" i="2"/>
  <c r="N82" i="36"/>
  <c r="F25" i="37"/>
  <c r="Y38" i="32"/>
  <c r="Y12" i="2"/>
  <c r="AE12" i="2" s="1"/>
  <c r="F16" i="12"/>
  <c r="O72" i="43"/>
  <c r="K34" i="12"/>
  <c r="D97" i="2"/>
  <c r="M25" i="2"/>
  <c r="D12" i="25"/>
  <c r="D38" i="25"/>
  <c r="K38" i="25" s="1"/>
  <c r="D64" i="25"/>
  <c r="U11" i="2"/>
  <c r="U17" i="2"/>
  <c r="C17" i="2" s="1"/>
  <c r="AH17" i="2" s="1"/>
  <c r="E42" i="35"/>
  <c r="E42" i="43"/>
  <c r="E42" i="40"/>
  <c r="E61" i="36"/>
  <c r="D54" i="39"/>
  <c r="D53" i="39"/>
  <c r="D43" i="39"/>
  <c r="D66" i="17"/>
  <c r="M66" i="17" s="1"/>
  <c r="D40" i="17"/>
  <c r="O13" i="2"/>
  <c r="O14" i="2"/>
  <c r="H16" i="25"/>
  <c r="F16" i="25"/>
  <c r="O16" i="25"/>
  <c r="E16" i="25"/>
  <c r="O25" i="43"/>
  <c r="L26" i="43"/>
  <c r="M26" i="43" s="1"/>
  <c r="N26" i="43" s="1"/>
  <c r="O26" i="43" s="1"/>
  <c r="K21" i="22"/>
  <c r="K23" i="22" s="1"/>
  <c r="J34" i="21" s="1"/>
  <c r="J37" i="31" s="1"/>
  <c r="N63" i="4"/>
  <c r="N65" i="40"/>
  <c r="N66" i="43"/>
  <c r="D16" i="42"/>
  <c r="G16" i="42" s="1"/>
  <c r="D26" i="42"/>
  <c r="D27" i="42"/>
  <c r="D41" i="37"/>
  <c r="D12" i="37"/>
  <c r="D68" i="37"/>
  <c r="N23" i="6"/>
  <c r="X25" i="2"/>
  <c r="D66" i="14"/>
  <c r="M66" i="14" s="1"/>
  <c r="M67" i="14" s="1"/>
  <c r="D12" i="14"/>
  <c r="D39" i="14"/>
  <c r="AG20" i="2"/>
  <c r="AH20" i="2" s="1"/>
  <c r="AK20" i="2"/>
  <c r="AL20" i="2" s="1"/>
  <c r="AC20" i="2"/>
  <c r="E70" i="12"/>
  <c r="F70" i="12"/>
  <c r="L70" i="12"/>
  <c r="N66" i="40"/>
  <c r="N67" i="43"/>
  <c r="AG14" i="2"/>
  <c r="O67" i="43"/>
  <c r="O66" i="40"/>
  <c r="O66" i="35"/>
  <c r="AM9" i="1"/>
  <c r="AN9" i="1" s="1"/>
  <c r="D66" i="38"/>
  <c r="D12" i="20"/>
  <c r="D39" i="20"/>
  <c r="D39" i="38"/>
  <c r="D12" i="38"/>
  <c r="H8" i="6"/>
  <c r="AK22" i="2"/>
  <c r="D12" i="9"/>
  <c r="AK14" i="2"/>
  <c r="B15" i="2"/>
  <c r="AC16" i="2"/>
  <c r="AM8" i="1"/>
  <c r="AN8" i="1" s="1"/>
  <c r="AC22" i="2"/>
  <c r="J12" i="2"/>
  <c r="D12" i="2" s="1"/>
  <c r="D13" i="2"/>
  <c r="F25" i="2"/>
  <c r="F13" i="2"/>
  <c r="F14" i="2"/>
  <c r="O66" i="43"/>
  <c r="O65" i="40"/>
  <c r="E98" i="2"/>
  <c r="F44" i="12"/>
  <c r="H44" i="12"/>
  <c r="K44" i="12"/>
  <c r="G44" i="12"/>
  <c r="I44" i="12"/>
  <c r="J44" i="12"/>
  <c r="I9" i="12"/>
  <c r="I9" i="39"/>
  <c r="S8" i="8"/>
  <c r="AC21" i="2"/>
  <c r="K15" i="2"/>
  <c r="K25" i="2" s="1"/>
  <c r="K4" i="6"/>
  <c r="L26" i="35"/>
  <c r="M26" i="35" s="1"/>
  <c r="N26" i="35" s="1"/>
  <c r="O26" i="35" s="1"/>
  <c r="D68" i="42"/>
  <c r="M68" i="42" s="1"/>
  <c r="H41" i="32"/>
  <c r="D12" i="42"/>
  <c r="I12" i="42" s="1"/>
  <c r="D66" i="39"/>
  <c r="D40" i="39"/>
  <c r="O24" i="35"/>
  <c r="H86" i="18" l="1"/>
  <c r="G156" i="21"/>
  <c r="H77" i="18"/>
  <c r="K74" i="20"/>
  <c r="J152" i="21"/>
  <c r="I74" i="38"/>
  <c r="N13" i="42"/>
  <c r="J13" i="42"/>
  <c r="I13" i="42"/>
  <c r="L13" i="42"/>
  <c r="O13" i="42"/>
  <c r="M13" i="42"/>
  <c r="K13" i="42"/>
  <c r="M69" i="42"/>
  <c r="O69" i="42"/>
  <c r="N69" i="42"/>
  <c r="H69" i="25"/>
  <c r="H70" i="25" s="1"/>
  <c r="L40" i="39"/>
  <c r="L86" i="39" s="1"/>
  <c r="K40" i="39"/>
  <c r="M40" i="39"/>
  <c r="H25" i="12"/>
  <c r="H25" i="39"/>
  <c r="M67" i="17"/>
  <c r="AC15" i="2"/>
  <c r="AE25" i="2"/>
  <c r="E15" i="25"/>
  <c r="F15" i="25"/>
  <c r="D15" i="2"/>
  <c r="E20" i="12"/>
  <c r="E22" i="12" s="1"/>
  <c r="D19" i="21" s="1"/>
  <c r="D24" i="21" s="1"/>
  <c r="E14" i="12"/>
  <c r="E16" i="12" s="1"/>
  <c r="G14" i="18"/>
  <c r="G23" i="18"/>
  <c r="G24" i="18" s="1"/>
  <c r="F21" i="21" s="1"/>
  <c r="G93" i="33"/>
  <c r="H93" i="33" s="1"/>
  <c r="F94" i="33"/>
  <c r="F93" i="21"/>
  <c r="F97" i="21" s="1"/>
  <c r="G57" i="17"/>
  <c r="K79" i="18"/>
  <c r="K80" i="18" s="1"/>
  <c r="J167" i="21" s="1"/>
  <c r="K70" i="18"/>
  <c r="K65" i="22"/>
  <c r="K58" i="22"/>
  <c r="J158" i="21"/>
  <c r="G79" i="42"/>
  <c r="G80" i="42" s="1"/>
  <c r="G70" i="42"/>
  <c r="G72" i="42" s="1"/>
  <c r="I78" i="9"/>
  <c r="I79" i="9" s="1"/>
  <c r="H162" i="21" s="1"/>
  <c r="J69" i="17"/>
  <c r="J68" i="17"/>
  <c r="J70" i="17" s="1"/>
  <c r="J75" i="17"/>
  <c r="J76" i="17" s="1"/>
  <c r="I166" i="21" s="1"/>
  <c r="K21" i="32"/>
  <c r="Q21" i="32" s="1"/>
  <c r="Y21" i="32" s="1"/>
  <c r="K19" i="32"/>
  <c r="Q19" i="32" s="1"/>
  <c r="X19" i="32" s="1"/>
  <c r="K10" i="32"/>
  <c r="Q10" i="32" s="1"/>
  <c r="X10" i="32" s="1"/>
  <c r="K32" i="32"/>
  <c r="Q32" i="32" s="1"/>
  <c r="Y32" i="32" s="1"/>
  <c r="K12" i="32"/>
  <c r="Q12" i="32" s="1"/>
  <c r="X12" i="32" s="1"/>
  <c r="K11" i="32"/>
  <c r="Q11" i="32" s="1"/>
  <c r="X11" i="32" s="1"/>
  <c r="K23" i="32"/>
  <c r="Q23" i="32" s="1"/>
  <c r="X23" i="32" s="1"/>
  <c r="K17" i="32"/>
  <c r="Q17" i="32" s="1"/>
  <c r="K9" i="32"/>
  <c r="Q9" i="32" s="1"/>
  <c r="J9" i="39"/>
  <c r="J26" i="42"/>
  <c r="J28" i="42" s="1"/>
  <c r="O26" i="42"/>
  <c r="H26" i="42"/>
  <c r="H28" i="42" s="1"/>
  <c r="G26" i="42"/>
  <c r="G28" i="42" s="1"/>
  <c r="M26" i="42"/>
  <c r="M28" i="42" s="1"/>
  <c r="K26" i="42"/>
  <c r="K28" i="42" s="1"/>
  <c r="L26" i="42"/>
  <c r="L28" i="42" s="1"/>
  <c r="N26" i="42"/>
  <c r="N28" i="42" s="1"/>
  <c r="E26" i="42"/>
  <c r="E28" i="42" s="1"/>
  <c r="I26" i="42"/>
  <c r="I28" i="42" s="1"/>
  <c r="F26" i="42"/>
  <c r="F28" i="42" s="1"/>
  <c r="I67" i="25"/>
  <c r="E67" i="25"/>
  <c r="L67" i="25"/>
  <c r="G67" i="25"/>
  <c r="E71" i="14"/>
  <c r="E73" i="14" s="1"/>
  <c r="J71" i="14"/>
  <c r="J73" i="14" s="1"/>
  <c r="I71" i="14"/>
  <c r="I73" i="14" s="1"/>
  <c r="F71" i="14"/>
  <c r="F73" i="14" s="1"/>
  <c r="E34" i="31"/>
  <c r="E93" i="31" s="1"/>
  <c r="D56" i="22"/>
  <c r="J13" i="22"/>
  <c r="J14" i="22" s="1"/>
  <c r="K13" i="22"/>
  <c r="K14" i="22" s="1"/>
  <c r="O13" i="22"/>
  <c r="O14" i="22" s="1"/>
  <c r="I13" i="22"/>
  <c r="I14" i="22" s="1"/>
  <c r="M14" i="22"/>
  <c r="F16" i="42"/>
  <c r="K67" i="39"/>
  <c r="J67" i="39"/>
  <c r="G79" i="38"/>
  <c r="G81" i="38" s="1"/>
  <c r="M79" i="38"/>
  <c r="M81" i="38" s="1"/>
  <c r="O79" i="38"/>
  <c r="O81" i="38" s="1"/>
  <c r="H79" i="38"/>
  <c r="H81" i="38" s="1"/>
  <c r="H83" i="38" s="1"/>
  <c r="N79" i="38"/>
  <c r="N81" i="38" s="1"/>
  <c r="K79" i="38"/>
  <c r="K81" i="38" s="1"/>
  <c r="K83" i="38" s="1"/>
  <c r="I79" i="38"/>
  <c r="I81" i="38" s="1"/>
  <c r="I83" i="38" s="1"/>
  <c r="J79" i="38"/>
  <c r="J81" i="38" s="1"/>
  <c r="E79" i="38"/>
  <c r="E81" i="38" s="1"/>
  <c r="E83" i="38" s="1"/>
  <c r="F79" i="38"/>
  <c r="F81" i="38" s="1"/>
  <c r="L79" i="38"/>
  <c r="L81" i="38" s="1"/>
  <c r="F78" i="37"/>
  <c r="K78" i="37"/>
  <c r="K79" i="37" s="1"/>
  <c r="I67" i="39"/>
  <c r="H76" i="14"/>
  <c r="H77" i="14" s="1"/>
  <c r="G164" i="21" s="1"/>
  <c r="H71" i="14"/>
  <c r="H73" i="14" s="1"/>
  <c r="I67" i="37"/>
  <c r="I77" i="37"/>
  <c r="G76" i="38"/>
  <c r="G77" i="38" s="1"/>
  <c r="G83" i="38" s="1"/>
  <c r="G65" i="38"/>
  <c r="F79" i="42"/>
  <c r="F70" i="42"/>
  <c r="F72" i="42" s="1"/>
  <c r="L65" i="20"/>
  <c r="L76" i="20"/>
  <c r="L77" i="20" s="1"/>
  <c r="K69" i="17"/>
  <c r="K72" i="17" s="1"/>
  <c r="K68" i="17"/>
  <c r="K70" i="17" s="1"/>
  <c r="K75" i="17"/>
  <c r="K76" i="17" s="1"/>
  <c r="J166" i="21" s="1"/>
  <c r="G68" i="39"/>
  <c r="G70" i="39" s="1"/>
  <c r="E86" i="18"/>
  <c r="J9" i="12"/>
  <c r="B14" i="2"/>
  <c r="M63" i="40"/>
  <c r="M64" i="43"/>
  <c r="O10" i="39"/>
  <c r="C97" i="2"/>
  <c r="M10" i="39"/>
  <c r="B25" i="2"/>
  <c r="M63" i="4"/>
  <c r="I10" i="39"/>
  <c r="I17" i="39" s="1"/>
  <c r="L10" i="39"/>
  <c r="K10" i="39"/>
  <c r="M82" i="36"/>
  <c r="N10" i="39"/>
  <c r="J10" i="39"/>
  <c r="M63" i="35"/>
  <c r="J10" i="12"/>
  <c r="I74" i="31" s="1"/>
  <c r="O10" i="12"/>
  <c r="K10" i="12"/>
  <c r="J74" i="31" s="1"/>
  <c r="L10" i="12"/>
  <c r="K74" i="31" s="1"/>
  <c r="N10" i="12"/>
  <c r="M10" i="12"/>
  <c r="I10" i="12"/>
  <c r="H74" i="31" s="1"/>
  <c r="H10" i="6"/>
  <c r="J10" i="6" s="1"/>
  <c r="L10" i="6" s="1"/>
  <c r="H9" i="6"/>
  <c r="J9" i="6" s="1"/>
  <c r="H11" i="6"/>
  <c r="J11" i="6" s="1"/>
  <c r="M11" i="6" s="1"/>
  <c r="M68" i="14"/>
  <c r="M89" i="14"/>
  <c r="G18" i="42"/>
  <c r="G19" i="42"/>
  <c r="G17" i="42"/>
  <c r="G20" i="42" s="1"/>
  <c r="E43" i="39"/>
  <c r="E46" i="39" s="1"/>
  <c r="G43" i="39"/>
  <c r="G46" i="39" s="1"/>
  <c r="F43" i="39"/>
  <c r="F46" i="39" s="1"/>
  <c r="I43" i="39"/>
  <c r="I46" i="39" s="1"/>
  <c r="J43" i="39"/>
  <c r="J46" i="39" s="1"/>
  <c r="H43" i="39"/>
  <c r="H46" i="39" s="1"/>
  <c r="U13" i="2"/>
  <c r="U25" i="2"/>
  <c r="U14" i="2"/>
  <c r="AC14" i="2" s="1"/>
  <c r="U12" i="2"/>
  <c r="C11" i="2"/>
  <c r="AC11" i="2"/>
  <c r="D54" i="12"/>
  <c r="D53" i="12"/>
  <c r="D43" i="12"/>
  <c r="E43" i="12" s="1"/>
  <c r="E46" i="12" s="1"/>
  <c r="D155" i="21"/>
  <c r="E73" i="17"/>
  <c r="I11" i="25"/>
  <c r="I10" i="25"/>
  <c r="H66" i="31" s="1"/>
  <c r="H78" i="31"/>
  <c r="G21" i="12"/>
  <c r="G22" i="12" s="1"/>
  <c r="F19" i="21" s="1"/>
  <c r="G14" i="12"/>
  <c r="G16" i="12" s="1"/>
  <c r="E49" i="12"/>
  <c r="E50" i="12" s="1"/>
  <c r="D92" i="21" s="1"/>
  <c r="D97" i="21" s="1"/>
  <c r="E42" i="12"/>
  <c r="E44" i="12" s="1"/>
  <c r="I82" i="21"/>
  <c r="J47" i="17"/>
  <c r="G97" i="21"/>
  <c r="I78" i="37"/>
  <c r="F80" i="42"/>
  <c r="G74" i="12"/>
  <c r="G76" i="12" s="1"/>
  <c r="F165" i="21" s="1"/>
  <c r="G68" i="12"/>
  <c r="G70" i="12" s="1"/>
  <c r="J65" i="38"/>
  <c r="J76" i="38"/>
  <c r="J77" i="38" s="1"/>
  <c r="J83" i="38" s="1"/>
  <c r="L73" i="38"/>
  <c r="L72" i="38"/>
  <c r="F67" i="25"/>
  <c r="F73" i="25"/>
  <c r="F74" i="25" s="1"/>
  <c r="E168" i="21" s="1"/>
  <c r="H69" i="20"/>
  <c r="H71" i="20"/>
  <c r="L69" i="17"/>
  <c r="L72" i="17" s="1"/>
  <c r="L75" i="17"/>
  <c r="L76" i="17" s="1"/>
  <c r="K166" i="21" s="1"/>
  <c r="L68" i="17"/>
  <c r="L70" i="17" s="1"/>
  <c r="L71" i="14"/>
  <c r="L73" i="14" s="1"/>
  <c r="L76" i="14"/>
  <c r="L77" i="14" s="1"/>
  <c r="K164" i="21" s="1"/>
  <c r="AC13" i="2"/>
  <c r="F12" i="2"/>
  <c r="B13" i="2"/>
  <c r="H53" i="39"/>
  <c r="H52" i="39" s="1"/>
  <c r="H55" i="39" s="1"/>
  <c r="K53" i="39"/>
  <c r="K52" i="39" s="1"/>
  <c r="K55" i="39" s="1"/>
  <c r="M53" i="39"/>
  <c r="M52" i="39" s="1"/>
  <c r="M55" i="39" s="1"/>
  <c r="J53" i="39"/>
  <c r="J52" i="39" s="1"/>
  <c r="J55" i="39" s="1"/>
  <c r="L53" i="39"/>
  <c r="L52" i="39" s="1"/>
  <c r="L55" i="39" s="1"/>
  <c r="F53" i="39"/>
  <c r="F52" i="39" s="1"/>
  <c r="F55" i="39" s="1"/>
  <c r="I53" i="39"/>
  <c r="I52" i="39" s="1"/>
  <c r="I55" i="39" s="1"/>
  <c r="N53" i="39"/>
  <c r="N52" i="39" s="1"/>
  <c r="N55" i="39" s="1"/>
  <c r="G53" i="39"/>
  <c r="G52" i="39" s="1"/>
  <c r="G55" i="39" s="1"/>
  <c r="E53" i="39"/>
  <c r="E52" i="39" s="1"/>
  <c r="E55" i="39" s="1"/>
  <c r="N64" i="25"/>
  <c r="M64" i="25"/>
  <c r="F79" i="17"/>
  <c r="F78" i="17" s="1"/>
  <c r="F81" i="17" s="1"/>
  <c r="E177" i="21" s="1"/>
  <c r="N79" i="17"/>
  <c r="N78" i="17" s="1"/>
  <c r="N81" i="17" s="1"/>
  <c r="M177" i="21" s="1"/>
  <c r="O79" i="17"/>
  <c r="O78" i="17" s="1"/>
  <c r="G79" i="17"/>
  <c r="G78" i="17" s="1"/>
  <c r="G81" i="17" s="1"/>
  <c r="F177" i="21" s="1"/>
  <c r="I79" i="17"/>
  <c r="I78" i="17" s="1"/>
  <c r="I81" i="17" s="1"/>
  <c r="H177" i="21" s="1"/>
  <c r="H79" i="17"/>
  <c r="H78" i="17" s="1"/>
  <c r="H81" i="17" s="1"/>
  <c r="G177" i="21" s="1"/>
  <c r="L79" i="17"/>
  <c r="M79" i="17"/>
  <c r="M78" i="17" s="1"/>
  <c r="M81" i="17" s="1"/>
  <c r="L177" i="21" s="1"/>
  <c r="J79" i="17"/>
  <c r="J78" i="17" s="1"/>
  <c r="J81" i="17" s="1"/>
  <c r="I177" i="21" s="1"/>
  <c r="E79" i="17"/>
  <c r="E78" i="17" s="1"/>
  <c r="E81" i="17" s="1"/>
  <c r="D177" i="21" s="1"/>
  <c r="K79" i="17"/>
  <c r="AF15" i="2"/>
  <c r="AG25" i="2"/>
  <c r="J10" i="25"/>
  <c r="I66" i="31" s="1"/>
  <c r="J11" i="25"/>
  <c r="I78" i="31"/>
  <c r="H14" i="12"/>
  <c r="H16" i="12" s="1"/>
  <c r="H21" i="12"/>
  <c r="H22" i="12" s="1"/>
  <c r="G19" i="21" s="1"/>
  <c r="G61" i="31"/>
  <c r="J78" i="37"/>
  <c r="J79" i="37" s="1"/>
  <c r="G83" i="20"/>
  <c r="G74" i="20"/>
  <c r="F152" i="21"/>
  <c r="L65" i="38"/>
  <c r="L76" i="38"/>
  <c r="L77" i="38" s="1"/>
  <c r="J73" i="25"/>
  <c r="J74" i="25" s="1"/>
  <c r="I168" i="21" s="1"/>
  <c r="J67" i="25"/>
  <c r="F72" i="20"/>
  <c r="F73" i="20" s="1"/>
  <c r="I70" i="42"/>
  <c r="I72" i="42" s="1"/>
  <c r="I79" i="42"/>
  <c r="I80" i="42" s="1"/>
  <c r="H75" i="12"/>
  <c r="H76" i="12" s="1"/>
  <c r="G165" i="21" s="1"/>
  <c r="H68" i="12"/>
  <c r="H70" i="12" s="1"/>
  <c r="K65" i="20"/>
  <c r="K76" i="20"/>
  <c r="K77" i="20" s="1"/>
  <c r="J163" i="21" s="1"/>
  <c r="N69" i="14"/>
  <c r="I69" i="17"/>
  <c r="I68" i="17"/>
  <c r="I70" i="17" s="1"/>
  <c r="I75" i="17"/>
  <c r="I76" i="17" s="1"/>
  <c r="H166" i="21" s="1"/>
  <c r="G76" i="18"/>
  <c r="M69" i="14"/>
  <c r="AC17" i="2"/>
  <c r="K39" i="25"/>
  <c r="G79" i="14"/>
  <c r="G81" i="14" s="1"/>
  <c r="F175" i="21" s="1"/>
  <c r="E79" i="14"/>
  <c r="E81" i="14" s="1"/>
  <c r="D175" i="21" s="1"/>
  <c r="O79" i="14"/>
  <c r="J79" i="14"/>
  <c r="J81" i="14" s="1"/>
  <c r="I175" i="21" s="1"/>
  <c r="H79" i="14"/>
  <c r="H81" i="14" s="1"/>
  <c r="G175" i="21" s="1"/>
  <c r="M79" i="14"/>
  <c r="M81" i="14" s="1"/>
  <c r="L175" i="21" s="1"/>
  <c r="I79" i="14"/>
  <c r="I81" i="14" s="1"/>
  <c r="H175" i="21" s="1"/>
  <c r="K79" i="14"/>
  <c r="K81" i="14" s="1"/>
  <c r="J175" i="21" s="1"/>
  <c r="L79" i="14"/>
  <c r="L81" i="14" s="1"/>
  <c r="K175" i="21" s="1"/>
  <c r="C94" i="33"/>
  <c r="D93" i="33"/>
  <c r="E93" i="33" s="1"/>
  <c r="AK12" i="2"/>
  <c r="H16" i="42"/>
  <c r="F79" i="14"/>
  <c r="F81" i="14" s="1"/>
  <c r="E175" i="21" s="1"/>
  <c r="N21" i="18"/>
  <c r="N30" i="18"/>
  <c r="M10" i="21"/>
  <c r="K67" i="25"/>
  <c r="K73" i="25"/>
  <c r="K74" i="25" s="1"/>
  <c r="J168" i="21" s="1"/>
  <c r="G76" i="14"/>
  <c r="G77" i="14" s="1"/>
  <c r="F164" i="21" s="1"/>
  <c r="F170" i="21" s="1"/>
  <c r="G71" i="14"/>
  <c r="G73" i="14" s="1"/>
  <c r="F79" i="37"/>
  <c r="H79" i="42"/>
  <c r="H80" i="42" s="1"/>
  <c r="H70" i="42"/>
  <c r="H72" i="42" s="1"/>
  <c r="J68" i="12"/>
  <c r="J70" i="12" s="1"/>
  <c r="J75" i="12"/>
  <c r="J76" i="12" s="1"/>
  <c r="I165" i="21" s="1"/>
  <c r="J65" i="20"/>
  <c r="J76" i="20"/>
  <c r="J77" i="20" s="1"/>
  <c r="I163" i="21" s="1"/>
  <c r="O69" i="14"/>
  <c r="H75" i="17"/>
  <c r="H76" i="17" s="1"/>
  <c r="G166" i="21" s="1"/>
  <c r="H69" i="17"/>
  <c r="H68" i="17"/>
  <c r="H70" i="17" s="1"/>
  <c r="L68" i="14"/>
  <c r="L89" i="14"/>
  <c r="O69" i="18"/>
  <c r="M69" i="18"/>
  <c r="N69" i="18"/>
  <c r="N4" i="6"/>
  <c r="AJ13" i="2"/>
  <c r="K79" i="20"/>
  <c r="K81" i="20" s="1"/>
  <c r="J174" i="21" s="1"/>
  <c r="N63" i="38"/>
  <c r="N64" i="38" s="1"/>
  <c r="N63" i="20"/>
  <c r="N64" i="20" s="1"/>
  <c r="M63" i="20"/>
  <c r="M64" i="20" s="1"/>
  <c r="O63" i="38"/>
  <c r="O64" i="38" s="1"/>
  <c r="O75" i="38" s="1"/>
  <c r="M63" i="38"/>
  <c r="M64" i="38" s="1"/>
  <c r="L79" i="20"/>
  <c r="L81" i="20" s="1"/>
  <c r="K174" i="21" s="1"/>
  <c r="O63" i="20"/>
  <c r="O64" i="20" s="1"/>
  <c r="O75" i="20" s="1"/>
  <c r="C47" i="43"/>
  <c r="C49" i="43" s="1"/>
  <c r="C51" i="43" s="1"/>
  <c r="C47" i="40"/>
  <c r="C49" i="40" s="1"/>
  <c r="C51" i="40" s="1"/>
  <c r="C47" i="35"/>
  <c r="C49" i="35" s="1"/>
  <c r="C51" i="35" s="1"/>
  <c r="C66" i="36"/>
  <c r="C68" i="36" s="1"/>
  <c r="C70" i="36" s="1"/>
  <c r="C47" i="4"/>
  <c r="C49" i="4" s="1"/>
  <c r="C51" i="4" s="1"/>
  <c r="C14" i="2"/>
  <c r="AL16" i="2"/>
  <c r="L14" i="22"/>
  <c r="N14" i="22"/>
  <c r="H21" i="25"/>
  <c r="H22" i="25" s="1"/>
  <c r="G22" i="21" s="1"/>
  <c r="H15" i="25"/>
  <c r="E16" i="42"/>
  <c r="O20" i="18"/>
  <c r="F72" i="38"/>
  <c r="F73" i="38"/>
  <c r="G75" i="17"/>
  <c r="G69" i="17"/>
  <c r="G72" i="17" s="1"/>
  <c r="G68" i="17"/>
  <c r="G70" i="17" s="1"/>
  <c r="G89" i="14"/>
  <c r="G68" i="14"/>
  <c r="J72" i="20"/>
  <c r="J73" i="20"/>
  <c r="K79" i="42"/>
  <c r="K80" i="42" s="1"/>
  <c r="K70" i="42"/>
  <c r="K72" i="42" s="1"/>
  <c r="K68" i="12"/>
  <c r="K70" i="12" s="1"/>
  <c r="K75" i="12"/>
  <c r="K76" i="12" s="1"/>
  <c r="J165" i="21" s="1"/>
  <c r="H65" i="20"/>
  <c r="H76" i="20"/>
  <c r="H77" i="20" s="1"/>
  <c r="G163" i="21" s="1"/>
  <c r="D163" i="21"/>
  <c r="D170" i="21" s="1"/>
  <c r="E83" i="20"/>
  <c r="G76" i="17"/>
  <c r="F166" i="21" s="1"/>
  <c r="AJ12" i="2"/>
  <c r="O65" i="9"/>
  <c r="M65" i="37"/>
  <c r="N65" i="9"/>
  <c r="M65" i="9"/>
  <c r="O65" i="37"/>
  <c r="N65" i="37"/>
  <c r="O12" i="2"/>
  <c r="C12" i="2" s="1"/>
  <c r="C13" i="2"/>
  <c r="M66" i="43"/>
  <c r="M65" i="40"/>
  <c r="C98" i="2"/>
  <c r="M65" i="35"/>
  <c r="M84" i="36"/>
  <c r="M65" i="4"/>
  <c r="M10" i="17"/>
  <c r="J10" i="17"/>
  <c r="O10" i="17"/>
  <c r="K10" i="17"/>
  <c r="I10" i="17"/>
  <c r="L10" i="17"/>
  <c r="N10" i="17"/>
  <c r="F100" i="2"/>
  <c r="O53" i="39"/>
  <c r="O52" i="39" s="1"/>
  <c r="G15" i="25"/>
  <c r="G21" i="25"/>
  <c r="G22" i="25" s="1"/>
  <c r="F22" i="21" s="1"/>
  <c r="E51" i="37"/>
  <c r="E52" i="37" s="1"/>
  <c r="F57" i="33"/>
  <c r="M21" i="18"/>
  <c r="L10" i="21"/>
  <c r="M30" i="18"/>
  <c r="L38" i="25"/>
  <c r="O39" i="25" s="1"/>
  <c r="L70" i="42"/>
  <c r="L72" i="42" s="1"/>
  <c r="L79" i="42"/>
  <c r="L80" i="42" s="1"/>
  <c r="F69" i="17"/>
  <c r="F72" i="17" s="1"/>
  <c r="F68" i="17"/>
  <c r="F70" i="17" s="1"/>
  <c r="F75" i="17"/>
  <c r="F76" i="17" s="1"/>
  <c r="E166" i="21" s="1"/>
  <c r="E170" i="21" s="1"/>
  <c r="K71" i="14"/>
  <c r="K73" i="14" s="1"/>
  <c r="K76" i="14"/>
  <c r="K77" i="14" s="1"/>
  <c r="J164" i="21" s="1"/>
  <c r="L41" i="12"/>
  <c r="O41" i="12"/>
  <c r="N41" i="12"/>
  <c r="M41" i="12"/>
  <c r="J70" i="42"/>
  <c r="J72" i="42" s="1"/>
  <c r="J79" i="42"/>
  <c r="J80" i="42" s="1"/>
  <c r="I75" i="12"/>
  <c r="I76" i="12" s="1"/>
  <c r="H165" i="21" s="1"/>
  <c r="I68" i="12"/>
  <c r="I70" i="12" s="1"/>
  <c r="K78" i="9"/>
  <c r="K79" i="9" s="1"/>
  <c r="J162" i="21" s="1"/>
  <c r="J170" i="21" s="1"/>
  <c r="N66" i="17"/>
  <c r="O67" i="17" s="1"/>
  <c r="N74" i="17"/>
  <c r="K33" i="42"/>
  <c r="K33" i="18"/>
  <c r="K40" i="17"/>
  <c r="L40" i="17"/>
  <c r="I52" i="17" s="1"/>
  <c r="I55" i="17" s="1"/>
  <c r="I41" i="25"/>
  <c r="G41" i="25"/>
  <c r="F41" i="25"/>
  <c r="E41" i="25"/>
  <c r="H41" i="25"/>
  <c r="J41" i="25"/>
  <c r="AF16" i="2"/>
  <c r="K5" i="17" s="1"/>
  <c r="L11" i="25"/>
  <c r="L20" i="25" s="1"/>
  <c r="L10" i="25"/>
  <c r="K66" i="31" s="1"/>
  <c r="K78" i="31"/>
  <c r="H23" i="18"/>
  <c r="H24" i="18" s="1"/>
  <c r="G21" i="21" s="1"/>
  <c r="G24" i="21" s="1"/>
  <c r="H14" i="18"/>
  <c r="G19" i="33"/>
  <c r="H19" i="33" s="1"/>
  <c r="F20" i="33"/>
  <c r="G20" i="33" s="1"/>
  <c r="H20" i="33" s="1"/>
  <c r="G82" i="42"/>
  <c r="G84" i="42" s="1"/>
  <c r="M82" i="42"/>
  <c r="M84" i="42" s="1"/>
  <c r="K82" i="42"/>
  <c r="K84" i="42" s="1"/>
  <c r="H82" i="42"/>
  <c r="H84" i="42" s="1"/>
  <c r="L82" i="42"/>
  <c r="L84" i="42" s="1"/>
  <c r="N82" i="42"/>
  <c r="N84" i="42" s="1"/>
  <c r="E82" i="42"/>
  <c r="E84" i="42" s="1"/>
  <c r="E86" i="42" s="1"/>
  <c r="I82" i="42"/>
  <c r="I84" i="42" s="1"/>
  <c r="O82" i="42"/>
  <c r="F82" i="42"/>
  <c r="F84" i="42" s="1"/>
  <c r="J82" i="42"/>
  <c r="J84" i="42" s="1"/>
  <c r="L20" i="18"/>
  <c r="L68" i="39"/>
  <c r="L70" i="39" s="1"/>
  <c r="L75" i="39"/>
  <c r="L76" i="39" s="1"/>
  <c r="J78" i="9"/>
  <c r="J79" i="9" s="1"/>
  <c r="I162" i="21" s="1"/>
  <c r="I170" i="21" s="1"/>
  <c r="I76" i="20"/>
  <c r="I77" i="20" s="1"/>
  <c r="I65" i="20"/>
  <c r="L78" i="9"/>
  <c r="L79" i="9" s="1"/>
  <c r="K162" i="21" s="1"/>
  <c r="I77" i="18"/>
  <c r="H156" i="21"/>
  <c r="I86" i="18"/>
  <c r="O41" i="25" l="1"/>
  <c r="O47" i="25"/>
  <c r="O48" i="25" s="1"/>
  <c r="N95" i="21" s="1"/>
  <c r="G26" i="43"/>
  <c r="H26" i="43" s="1"/>
  <c r="G26" i="40"/>
  <c r="H26" i="40" s="1"/>
  <c r="F26" i="43"/>
  <c r="AM14" i="2"/>
  <c r="G24" i="36"/>
  <c r="G26" i="35"/>
  <c r="H26" i="35" s="1"/>
  <c r="G26" i="4"/>
  <c r="H26" i="4" s="1"/>
  <c r="AL14" i="2"/>
  <c r="H104" i="21"/>
  <c r="I57" i="17"/>
  <c r="G21" i="42"/>
  <c r="G30" i="42"/>
  <c r="O69" i="17"/>
  <c r="O75" i="17"/>
  <c r="O76" i="17" s="1"/>
  <c r="N166" i="21" s="1"/>
  <c r="O68" i="17"/>
  <c r="O70" i="17" s="1"/>
  <c r="E47" i="12"/>
  <c r="D81" i="21"/>
  <c r="F83" i="20"/>
  <c r="F74" i="20"/>
  <c r="E152" i="21"/>
  <c r="G157" i="21"/>
  <c r="H71" i="25"/>
  <c r="H80" i="25"/>
  <c r="M49" i="12"/>
  <c r="M50" i="12" s="1"/>
  <c r="L92" i="21" s="1"/>
  <c r="M43" i="12"/>
  <c r="M42" i="12"/>
  <c r="M44" i="12" s="1"/>
  <c r="F83" i="17"/>
  <c r="E155" i="21"/>
  <c r="F73" i="17"/>
  <c r="M38" i="37"/>
  <c r="K38" i="37"/>
  <c r="N38" i="37"/>
  <c r="L38" i="37"/>
  <c r="N38" i="9"/>
  <c r="M38" i="9"/>
  <c r="L38" i="9"/>
  <c r="O38" i="9"/>
  <c r="K38" i="9"/>
  <c r="O38" i="37"/>
  <c r="K61" i="37"/>
  <c r="K61" i="9"/>
  <c r="G86" i="14"/>
  <c r="H86" i="14"/>
  <c r="O27" i="18"/>
  <c r="O28" i="18" s="1"/>
  <c r="N32" i="21" s="1"/>
  <c r="N10" i="21"/>
  <c r="O21" i="18"/>
  <c r="N75" i="38"/>
  <c r="N66" i="38"/>
  <c r="N68" i="38" s="1"/>
  <c r="AK25" i="2"/>
  <c r="M39" i="25"/>
  <c r="L78" i="17"/>
  <c r="L81" i="17" s="1"/>
  <c r="K177" i="21" s="1"/>
  <c r="F24" i="21"/>
  <c r="F53" i="12"/>
  <c r="F52" i="12" s="1"/>
  <c r="F55" i="12" s="1"/>
  <c r="E103" i="21" s="1"/>
  <c r="G53" i="12"/>
  <c r="G52" i="12" s="1"/>
  <c r="G55" i="12" s="1"/>
  <c r="F103" i="21" s="1"/>
  <c r="O53" i="12"/>
  <c r="O52" i="12" s="1"/>
  <c r="L53" i="12"/>
  <c r="L52" i="12" s="1"/>
  <c r="L55" i="12" s="1"/>
  <c r="K103" i="21" s="1"/>
  <c r="I53" i="12"/>
  <c r="I52" i="12" s="1"/>
  <c r="I55" i="12" s="1"/>
  <c r="H103" i="21" s="1"/>
  <c r="K53" i="12"/>
  <c r="K52" i="12" s="1"/>
  <c r="K55" i="12" s="1"/>
  <c r="J103" i="21" s="1"/>
  <c r="N53" i="12"/>
  <c r="N52" i="12" s="1"/>
  <c r="N55" i="12" s="1"/>
  <c r="M103" i="21" s="1"/>
  <c r="J53" i="12"/>
  <c r="J52" i="12" s="1"/>
  <c r="J55" i="12" s="1"/>
  <c r="I103" i="21" s="1"/>
  <c r="M53" i="12"/>
  <c r="M52" i="12" s="1"/>
  <c r="M55" i="12" s="1"/>
  <c r="L103" i="21" s="1"/>
  <c r="H53" i="12"/>
  <c r="H52" i="12" s="1"/>
  <c r="H55" i="12" s="1"/>
  <c r="G103" i="21" s="1"/>
  <c r="E53" i="12"/>
  <c r="E52" i="12" s="1"/>
  <c r="E55" i="12" s="1"/>
  <c r="D103" i="21" s="1"/>
  <c r="H47" i="39"/>
  <c r="H57" i="39"/>
  <c r="L74" i="31"/>
  <c r="C102" i="2"/>
  <c r="G97" i="2"/>
  <c r="I17" i="12"/>
  <c r="I79" i="37"/>
  <c r="K75" i="39"/>
  <c r="K76" i="39" s="1"/>
  <c r="K68" i="39"/>
  <c r="K70" i="39" s="1"/>
  <c r="E69" i="25"/>
  <c r="E70" i="25" s="1"/>
  <c r="I11" i="39"/>
  <c r="AE26" i="2"/>
  <c r="K14" i="42"/>
  <c r="K16" i="42" s="1"/>
  <c r="K23" i="42"/>
  <c r="K24" i="42" s="1"/>
  <c r="F43" i="25"/>
  <c r="F44" i="25"/>
  <c r="N42" i="12"/>
  <c r="N44" i="12" s="1"/>
  <c r="N49" i="12"/>
  <c r="N50" i="12" s="1"/>
  <c r="M92" i="21" s="1"/>
  <c r="N43" i="12"/>
  <c r="N17" i="17"/>
  <c r="N11" i="17"/>
  <c r="N20" i="17" s="1"/>
  <c r="M75" i="31"/>
  <c r="E19" i="42"/>
  <c r="E18" i="42"/>
  <c r="E17" i="42"/>
  <c r="E20" i="42" s="1"/>
  <c r="K36" i="14"/>
  <c r="O36" i="14"/>
  <c r="N36" i="14"/>
  <c r="M36" i="14"/>
  <c r="L36" i="14"/>
  <c r="AH14" i="2"/>
  <c r="K32" i="14" s="1"/>
  <c r="K69" i="25"/>
  <c r="K70" i="25" s="1"/>
  <c r="E40" i="43"/>
  <c r="E40" i="35"/>
  <c r="AL17" i="2"/>
  <c r="E40" i="40"/>
  <c r="E59" i="36"/>
  <c r="E40" i="4"/>
  <c r="J69" i="25"/>
  <c r="J70" i="25"/>
  <c r="AH12" i="2"/>
  <c r="AF13" i="2"/>
  <c r="N9" i="38"/>
  <c r="N10" i="38" s="1"/>
  <c r="N21" i="38" s="1"/>
  <c r="O9" i="20"/>
  <c r="K9" i="20"/>
  <c r="I9" i="38"/>
  <c r="I10" i="38" s="1"/>
  <c r="O9" i="38"/>
  <c r="O10" i="38" s="1"/>
  <c r="O21" i="38" s="1"/>
  <c r="M9" i="38"/>
  <c r="M10" i="38" s="1"/>
  <c r="M21" i="38" s="1"/>
  <c r="I9" i="20"/>
  <c r="M9" i="20"/>
  <c r="K9" i="38"/>
  <c r="K10" i="38" s="1"/>
  <c r="K21" i="38" s="1"/>
  <c r="L9" i="20"/>
  <c r="N9" i="20"/>
  <c r="J9" i="38"/>
  <c r="J10" i="38" s="1"/>
  <c r="L9" i="38"/>
  <c r="L10" i="38" s="1"/>
  <c r="L21" i="38" s="1"/>
  <c r="J9" i="20"/>
  <c r="L83" i="17"/>
  <c r="K155" i="21"/>
  <c r="L73" i="17"/>
  <c r="J57" i="39"/>
  <c r="J47" i="39"/>
  <c r="K9" i="12"/>
  <c r="J17" i="12"/>
  <c r="J11" i="12"/>
  <c r="J155" i="21"/>
  <c r="K73" i="17"/>
  <c r="I69" i="25"/>
  <c r="I70" i="25" s="1"/>
  <c r="K9" i="39"/>
  <c r="J11" i="39"/>
  <c r="J17" i="39"/>
  <c r="G75" i="42"/>
  <c r="G73" i="42"/>
  <c r="G76" i="42" s="1"/>
  <c r="G74" i="42"/>
  <c r="O63" i="40"/>
  <c r="O64" i="43"/>
  <c r="O63" i="35"/>
  <c r="AJ15" i="2"/>
  <c r="O82" i="36"/>
  <c r="D25" i="2"/>
  <c r="E97" i="2"/>
  <c r="O63" i="4"/>
  <c r="O64" i="39"/>
  <c r="N64" i="39"/>
  <c r="M64" i="12"/>
  <c r="M64" i="39"/>
  <c r="N64" i="12"/>
  <c r="M74" i="31" s="1"/>
  <c r="O64" i="12"/>
  <c r="AL15" i="2"/>
  <c r="AM15" i="2"/>
  <c r="L41" i="39"/>
  <c r="K41" i="39"/>
  <c r="O41" i="39"/>
  <c r="N41" i="39"/>
  <c r="M41" i="39"/>
  <c r="M23" i="42"/>
  <c r="M24" i="42" s="1"/>
  <c r="M14" i="42"/>
  <c r="M16" i="42" s="1"/>
  <c r="E43" i="25"/>
  <c r="E44" i="25" s="1"/>
  <c r="G43" i="25"/>
  <c r="G44" i="25"/>
  <c r="N66" i="37"/>
  <c r="N74" i="37"/>
  <c r="K74" i="42"/>
  <c r="K75" i="42"/>
  <c r="K73" i="42"/>
  <c r="K76" i="42" s="1"/>
  <c r="F155" i="21"/>
  <c r="G73" i="17"/>
  <c r="G83" i="17"/>
  <c r="H17" i="25"/>
  <c r="H18" i="25" s="1"/>
  <c r="D94" i="33"/>
  <c r="E94" i="33" s="1"/>
  <c r="C95" i="33"/>
  <c r="M71" i="14"/>
  <c r="M73" i="14" s="1"/>
  <c r="M76" i="14"/>
  <c r="M77" i="14" s="1"/>
  <c r="L164" i="21" s="1"/>
  <c r="AG26" i="2"/>
  <c r="O65" i="25"/>
  <c r="M65" i="25"/>
  <c r="N65" i="25"/>
  <c r="B12" i="2"/>
  <c r="AC12" i="2"/>
  <c r="F28" i="40" s="1"/>
  <c r="H72" i="20"/>
  <c r="H73" i="20" s="1"/>
  <c r="AC26" i="2"/>
  <c r="AL11" i="2"/>
  <c r="I47" i="39"/>
  <c r="I57" i="39"/>
  <c r="K163" i="21"/>
  <c r="L83" i="20"/>
  <c r="H74" i="14"/>
  <c r="G153" i="21"/>
  <c r="H83" i="14"/>
  <c r="F19" i="42"/>
  <c r="F17" i="42"/>
  <c r="F20" i="42" s="1"/>
  <c r="F18" i="42"/>
  <c r="F74" i="14"/>
  <c r="E153" i="21"/>
  <c r="F83" i="14"/>
  <c r="X9" i="32"/>
  <c r="C45" i="32"/>
  <c r="F17" i="25"/>
  <c r="F18" i="25" s="1"/>
  <c r="O23" i="42"/>
  <c r="O24" i="42" s="1"/>
  <c r="O14" i="42"/>
  <c r="O16" i="42" s="1"/>
  <c r="K83" i="20"/>
  <c r="O49" i="12"/>
  <c r="O50" i="12" s="1"/>
  <c r="N92" i="21" s="1"/>
  <c r="O42" i="12"/>
  <c r="O44" i="12" s="1"/>
  <c r="O43" i="12"/>
  <c r="O46" i="12" s="1"/>
  <c r="I43" i="25"/>
  <c r="I44" i="25" s="1"/>
  <c r="L43" i="12"/>
  <c r="L42" i="12"/>
  <c r="L44" i="12" s="1"/>
  <c r="L49" i="12"/>
  <c r="L50" i="12" s="1"/>
  <c r="K92" i="21" s="1"/>
  <c r="G17" i="25"/>
  <c r="G18" i="25"/>
  <c r="I17" i="17"/>
  <c r="I11" i="17"/>
  <c r="H75" i="31"/>
  <c r="F98" i="2"/>
  <c r="G98" i="2"/>
  <c r="O66" i="37"/>
  <c r="O74" i="37"/>
  <c r="H72" i="17"/>
  <c r="H76" i="42"/>
  <c r="H74" i="42"/>
  <c r="H73" i="42"/>
  <c r="H75" i="42"/>
  <c r="G86" i="18"/>
  <c r="G77" i="18"/>
  <c r="F156" i="21"/>
  <c r="K5" i="39"/>
  <c r="K5" i="12"/>
  <c r="G28" i="43"/>
  <c r="H28" i="43" s="1"/>
  <c r="G28" i="40"/>
  <c r="H28" i="40" s="1"/>
  <c r="AM13" i="2"/>
  <c r="AD13" i="2"/>
  <c r="G28" i="4"/>
  <c r="H28" i="4" s="1"/>
  <c r="AL13" i="2"/>
  <c r="F28" i="35"/>
  <c r="G26" i="36"/>
  <c r="G28" i="35"/>
  <c r="H28" i="35" s="1"/>
  <c r="F26" i="36"/>
  <c r="I12" i="25"/>
  <c r="I20" i="25"/>
  <c r="D96" i="2"/>
  <c r="AH11" i="2"/>
  <c r="C25" i="2"/>
  <c r="C26" i="2" s="1"/>
  <c r="F47" i="39"/>
  <c r="F57" i="39"/>
  <c r="M25" i="22"/>
  <c r="L12" i="21"/>
  <c r="L20" i="31" s="1"/>
  <c r="M15" i="22"/>
  <c r="I74" i="14"/>
  <c r="I83" i="14"/>
  <c r="H153" i="21"/>
  <c r="Y17" i="32"/>
  <c r="Y40" i="32" s="1"/>
  <c r="C11" i="33" s="1"/>
  <c r="C55" i="33" s="1"/>
  <c r="C46" i="32"/>
  <c r="G94" i="33"/>
  <c r="H94" i="33" s="1"/>
  <c r="I94" i="33" s="1"/>
  <c r="J94" i="33" s="1"/>
  <c r="K94" i="33" s="1"/>
  <c r="L94" i="33" s="1"/>
  <c r="F95" i="33"/>
  <c r="E17" i="25"/>
  <c r="E18" i="25" s="1"/>
  <c r="N67" i="17"/>
  <c r="L23" i="42"/>
  <c r="L24" i="42" s="1"/>
  <c r="L14" i="42"/>
  <c r="L16" i="42" s="1"/>
  <c r="K11" i="17"/>
  <c r="K20" i="17" s="1"/>
  <c r="K17" i="17"/>
  <c r="J75" i="31"/>
  <c r="M66" i="9"/>
  <c r="M74" i="9"/>
  <c r="M12" i="21"/>
  <c r="M20" i="31" s="1"/>
  <c r="N15" i="22"/>
  <c r="N25" i="22"/>
  <c r="M66" i="38"/>
  <c r="M75" i="38"/>
  <c r="K41" i="25"/>
  <c r="K47" i="25"/>
  <c r="K48" i="25" s="1"/>
  <c r="J95" i="21" s="1"/>
  <c r="K78" i="17"/>
  <c r="K81" i="17" s="1"/>
  <c r="J177" i="21" s="1"/>
  <c r="E83" i="17"/>
  <c r="G57" i="39"/>
  <c r="G47" i="39"/>
  <c r="N11" i="6"/>
  <c r="M25" i="6"/>
  <c r="N74" i="31"/>
  <c r="F75" i="42"/>
  <c r="F74" i="42"/>
  <c r="F73" i="42"/>
  <c r="F76" i="42" s="1"/>
  <c r="I75" i="39"/>
  <c r="I76" i="39" s="1"/>
  <c r="I68" i="39"/>
  <c r="I70" i="39" s="1"/>
  <c r="I15" i="22"/>
  <c r="H12" i="21"/>
  <c r="H20" i="31" s="1"/>
  <c r="I25" i="22"/>
  <c r="J74" i="14"/>
  <c r="J83" i="14"/>
  <c r="I153" i="21"/>
  <c r="I93" i="33"/>
  <c r="J93" i="33" s="1"/>
  <c r="K93" i="33" s="1"/>
  <c r="L93" i="33" s="1"/>
  <c r="M75" i="17"/>
  <c r="M76" i="17" s="1"/>
  <c r="L166" i="21" s="1"/>
  <c r="M68" i="17"/>
  <c r="M70" i="17" s="1"/>
  <c r="M69" i="17"/>
  <c r="M72" i="17" s="1"/>
  <c r="I14" i="42"/>
  <c r="I16" i="42" s="1"/>
  <c r="I23" i="42"/>
  <c r="I24" i="42" s="1"/>
  <c r="L11" i="17"/>
  <c r="L20" i="17" s="1"/>
  <c r="L17" i="17"/>
  <c r="K75" i="31"/>
  <c r="D28" i="17"/>
  <c r="D27" i="17"/>
  <c r="K74" i="14"/>
  <c r="K83" i="14"/>
  <c r="J153" i="21"/>
  <c r="O17" i="17"/>
  <c r="O11" i="17"/>
  <c r="O20" i="17" s="1"/>
  <c r="N75" i="31"/>
  <c r="N74" i="9"/>
  <c r="N66" i="9"/>
  <c r="G170" i="21"/>
  <c r="I152" i="21"/>
  <c r="J74" i="20"/>
  <c r="J83" i="20"/>
  <c r="F83" i="38"/>
  <c r="F74" i="38"/>
  <c r="L25" i="22"/>
  <c r="L15" i="22"/>
  <c r="K12" i="21"/>
  <c r="K20" i="31" s="1"/>
  <c r="N79" i="18"/>
  <c r="N80" i="18" s="1"/>
  <c r="M167" i="21" s="1"/>
  <c r="N70" i="18"/>
  <c r="O76" i="14"/>
  <c r="O77" i="14" s="1"/>
  <c r="N164" i="21" s="1"/>
  <c r="O71" i="14"/>
  <c r="O73" i="14" s="1"/>
  <c r="L39" i="25"/>
  <c r="F69" i="25"/>
  <c r="F70" i="25" s="1"/>
  <c r="E57" i="39"/>
  <c r="E47" i="39"/>
  <c r="J25" i="6"/>
  <c r="K9" i="6"/>
  <c r="C100" i="31"/>
  <c r="D104" i="31" s="1"/>
  <c r="AF14" i="2"/>
  <c r="K5" i="14" s="1"/>
  <c r="N9" i="14"/>
  <c r="I9" i="14"/>
  <c r="M9" i="14"/>
  <c r="J9" i="14"/>
  <c r="L9" i="14"/>
  <c r="O9" i="14"/>
  <c r="K9" i="14"/>
  <c r="N12" i="21"/>
  <c r="N20" i="31" s="1"/>
  <c r="O25" i="22"/>
  <c r="O15" i="22"/>
  <c r="E74" i="14"/>
  <c r="D153" i="21"/>
  <c r="E83" i="14"/>
  <c r="N79" i="42"/>
  <c r="N80" i="42" s="1"/>
  <c r="N70" i="42"/>
  <c r="N72" i="42" s="1"/>
  <c r="J23" i="42"/>
  <c r="J24" i="42" s="1"/>
  <c r="J14" i="42"/>
  <c r="J16" i="42" s="1"/>
  <c r="H16" i="18"/>
  <c r="G65" i="31"/>
  <c r="D55" i="42"/>
  <c r="D54" i="42"/>
  <c r="D44" i="42"/>
  <c r="L75" i="42"/>
  <c r="L74" i="42"/>
  <c r="L73" i="42"/>
  <c r="L76" i="42" s="1"/>
  <c r="I83" i="20"/>
  <c r="H163" i="21"/>
  <c r="H170" i="21" s="1"/>
  <c r="J43" i="25"/>
  <c r="J44" i="25" s="1"/>
  <c r="M41" i="17"/>
  <c r="L41" i="17"/>
  <c r="O41" i="17"/>
  <c r="K41" i="17"/>
  <c r="N41" i="17"/>
  <c r="J52" i="17"/>
  <c r="J55" i="17" s="1"/>
  <c r="J17" i="17"/>
  <c r="J11" i="17"/>
  <c r="I75" i="31"/>
  <c r="M66" i="37"/>
  <c r="M74" i="37"/>
  <c r="M66" i="20"/>
  <c r="M75" i="20"/>
  <c r="M79" i="18"/>
  <c r="M80" i="18" s="1"/>
  <c r="L167" i="21" s="1"/>
  <c r="M70" i="18"/>
  <c r="F153" i="21"/>
  <c r="G74" i="14"/>
  <c r="G83" i="14"/>
  <c r="H18" i="42"/>
  <c r="H17" i="42"/>
  <c r="H20" i="42" s="1"/>
  <c r="H19" i="42"/>
  <c r="N39" i="25"/>
  <c r="I72" i="17"/>
  <c r="I75" i="42"/>
  <c r="I74" i="42"/>
  <c r="I73" i="42"/>
  <c r="I76" i="42" s="1"/>
  <c r="K153" i="21"/>
  <c r="L74" i="14"/>
  <c r="L83" i="14"/>
  <c r="N10" i="6"/>
  <c r="L25" i="6"/>
  <c r="B26" i="2"/>
  <c r="J68" i="39"/>
  <c r="J70" i="39" s="1"/>
  <c r="J75" i="39"/>
  <c r="J76" i="39" s="1"/>
  <c r="K15" i="22"/>
  <c r="J12" i="21"/>
  <c r="J20" i="31" s="1"/>
  <c r="K25" i="22"/>
  <c r="G69" i="25"/>
  <c r="G70" i="25" s="1"/>
  <c r="J72" i="17"/>
  <c r="G16" i="18"/>
  <c r="F65" i="31"/>
  <c r="O70" i="42"/>
  <c r="O72" i="42" s="1"/>
  <c r="O79" i="42"/>
  <c r="O80" i="42" s="1"/>
  <c r="N23" i="42"/>
  <c r="N24" i="42" s="1"/>
  <c r="N14" i="42"/>
  <c r="N16" i="42" s="1"/>
  <c r="K170" i="21"/>
  <c r="L21" i="18"/>
  <c r="K10" i="21"/>
  <c r="L30" i="18"/>
  <c r="H43" i="25"/>
  <c r="H44" i="25"/>
  <c r="D55" i="18"/>
  <c r="D44" i="18"/>
  <c r="D54" i="18"/>
  <c r="J74" i="42"/>
  <c r="J75" i="42"/>
  <c r="J73" i="42"/>
  <c r="J76" i="42" s="1"/>
  <c r="F58" i="33"/>
  <c r="G57" i="33"/>
  <c r="H57" i="33" s="1"/>
  <c r="M17" i="17"/>
  <c r="M11" i="17"/>
  <c r="M20" i="17" s="1"/>
  <c r="L75" i="31"/>
  <c r="K36" i="38"/>
  <c r="K37" i="38" s="1"/>
  <c r="O36" i="20"/>
  <c r="O37" i="20" s="1"/>
  <c r="O48" i="20" s="1"/>
  <c r="K36" i="20"/>
  <c r="K37" i="20" s="1"/>
  <c r="O36" i="38"/>
  <c r="O37" i="38" s="1"/>
  <c r="O48" i="38" s="1"/>
  <c r="N36" i="38"/>
  <c r="N37" i="38" s="1"/>
  <c r="N48" i="38" s="1"/>
  <c r="M36" i="38"/>
  <c r="M37" i="38" s="1"/>
  <c r="M48" i="38" s="1"/>
  <c r="M36" i="20"/>
  <c r="M37" i="20" s="1"/>
  <c r="M48" i="20" s="1"/>
  <c r="N36" i="20"/>
  <c r="N37" i="20" s="1"/>
  <c r="N48" i="20" s="1"/>
  <c r="L36" i="38"/>
  <c r="L37" i="38" s="1"/>
  <c r="L36" i="20"/>
  <c r="L37" i="20" s="1"/>
  <c r="AH13" i="2"/>
  <c r="O74" i="9"/>
  <c r="O66" i="9"/>
  <c r="N66" i="20"/>
  <c r="N68" i="20" s="1"/>
  <c r="N75" i="20"/>
  <c r="O79" i="18"/>
  <c r="O80" i="18" s="1"/>
  <c r="N167" i="21" s="1"/>
  <c r="O70" i="18"/>
  <c r="N71" i="14"/>
  <c r="N73" i="14" s="1"/>
  <c r="N76" i="14"/>
  <c r="N77" i="14" s="1"/>
  <c r="M164" i="21" s="1"/>
  <c r="J12" i="25"/>
  <c r="J20" i="25"/>
  <c r="L74" i="38"/>
  <c r="L83" i="38"/>
  <c r="J43" i="12"/>
  <c r="J46" i="12" s="1"/>
  <c r="H43" i="12"/>
  <c r="H46" i="12" s="1"/>
  <c r="G43" i="12"/>
  <c r="G46" i="12" s="1"/>
  <c r="F43" i="12"/>
  <c r="F46" i="12" s="1"/>
  <c r="I43" i="12"/>
  <c r="I46" i="12" s="1"/>
  <c r="K43" i="12"/>
  <c r="K46" i="12" s="1"/>
  <c r="I11" i="12"/>
  <c r="I12" i="21"/>
  <c r="I20" i="31" s="1"/>
  <c r="J25" i="22"/>
  <c r="J15" i="22"/>
  <c r="L69" i="25"/>
  <c r="L70" i="25" s="1"/>
  <c r="K72" i="18"/>
  <c r="J65" i="31"/>
  <c r="M70" i="42"/>
  <c r="M72" i="42" s="1"/>
  <c r="M79" i="42"/>
  <c r="M80" i="42" s="1"/>
  <c r="L86" i="42" l="1"/>
  <c r="L77" i="42"/>
  <c r="E157" i="21"/>
  <c r="F71" i="25"/>
  <c r="F80" i="25"/>
  <c r="I54" i="25"/>
  <c r="H84" i="21"/>
  <c r="I45" i="25"/>
  <c r="D84" i="21"/>
  <c r="E45" i="25"/>
  <c r="E54" i="25"/>
  <c r="I71" i="25"/>
  <c r="H157" i="21"/>
  <c r="I80" i="25"/>
  <c r="H21" i="42"/>
  <c r="H30" i="42"/>
  <c r="K86" i="42"/>
  <c r="K77" i="42"/>
  <c r="E30" i="42"/>
  <c r="E21" i="42"/>
  <c r="D157" i="21"/>
  <c r="E71" i="25"/>
  <c r="E80" i="25"/>
  <c r="F157" i="21"/>
  <c r="G80" i="25"/>
  <c r="G71" i="25"/>
  <c r="E11" i="21"/>
  <c r="F28" i="25"/>
  <c r="F19" i="25"/>
  <c r="L80" i="25"/>
  <c r="K157" i="21"/>
  <c r="L71" i="25"/>
  <c r="F86" i="42"/>
  <c r="F77" i="42"/>
  <c r="G152" i="21"/>
  <c r="H74" i="20"/>
  <c r="H83" i="20"/>
  <c r="G77" i="42"/>
  <c r="G86" i="42"/>
  <c r="J157" i="21"/>
  <c r="K71" i="25"/>
  <c r="K80" i="25"/>
  <c r="I86" i="42"/>
  <c r="I77" i="42"/>
  <c r="J77" i="42"/>
  <c r="J86" i="42"/>
  <c r="H19" i="25"/>
  <c r="G11" i="21"/>
  <c r="H28" i="25"/>
  <c r="I84" i="21"/>
  <c r="J54" i="25"/>
  <c r="J45" i="25"/>
  <c r="D11" i="21"/>
  <c r="D14" i="31" s="1"/>
  <c r="E19" i="25"/>
  <c r="E28" i="25"/>
  <c r="F21" i="42"/>
  <c r="F30" i="42"/>
  <c r="K39" i="20"/>
  <c r="K48" i="20"/>
  <c r="L114" i="31"/>
  <c r="AD121" i="31" s="1"/>
  <c r="H110" i="21"/>
  <c r="H39" i="31" s="1"/>
  <c r="I110" i="21"/>
  <c r="I39" i="31" s="1"/>
  <c r="L42" i="17"/>
  <c r="L44" i="17" s="1"/>
  <c r="L49" i="17"/>
  <c r="L50" i="17" s="1"/>
  <c r="K93" i="21" s="1"/>
  <c r="L43" i="17"/>
  <c r="N9" i="6"/>
  <c r="K25" i="6"/>
  <c r="M73" i="25"/>
  <c r="M74" i="25" s="1"/>
  <c r="L168" i="21" s="1"/>
  <c r="M67" i="25"/>
  <c r="J12" i="39"/>
  <c r="J86" i="39" s="1"/>
  <c r="J20" i="39"/>
  <c r="O45" i="14"/>
  <c r="O37" i="14"/>
  <c r="I20" i="12"/>
  <c r="I12" i="12"/>
  <c r="N74" i="14"/>
  <c r="N83" i="14"/>
  <c r="M153" i="21"/>
  <c r="I73" i="17"/>
  <c r="I83" i="17"/>
  <c r="H155" i="21"/>
  <c r="J12" i="17"/>
  <c r="J20" i="17"/>
  <c r="M42" i="17"/>
  <c r="M44" i="17" s="1"/>
  <c r="M43" i="17"/>
  <c r="M46" i="17" s="1"/>
  <c r="M49" i="17"/>
  <c r="M50" i="17" s="1"/>
  <c r="L93" i="21" s="1"/>
  <c r="H17" i="18"/>
  <c r="H19" i="18"/>
  <c r="H18" i="18"/>
  <c r="H20" i="18" s="1"/>
  <c r="L10" i="14"/>
  <c r="L18" i="14"/>
  <c r="K72" i="31"/>
  <c r="M65" i="31"/>
  <c r="N72" i="18"/>
  <c r="L18" i="42"/>
  <c r="L17" i="42"/>
  <c r="L20" i="42" s="1"/>
  <c r="L19" i="42"/>
  <c r="C56" i="33"/>
  <c r="D55" i="33"/>
  <c r="E55" i="33" s="1"/>
  <c r="I55" i="33" s="1"/>
  <c r="J55" i="33" s="1"/>
  <c r="K55" i="33" s="1"/>
  <c r="L55" i="33" s="1"/>
  <c r="O18" i="42"/>
  <c r="O19" i="42"/>
  <c r="O17" i="42"/>
  <c r="O20" i="42"/>
  <c r="AB13" i="43"/>
  <c r="AB13" i="40"/>
  <c r="AB14" i="43"/>
  <c r="AB14" i="40"/>
  <c r="AB13" i="35"/>
  <c r="AB14" i="4"/>
  <c r="AD23" i="2"/>
  <c r="AB16" i="36"/>
  <c r="AB15" i="36"/>
  <c r="AB13" i="4"/>
  <c r="AB14" i="35"/>
  <c r="AD19" i="2"/>
  <c r="AD18" i="2"/>
  <c r="AD16" i="2"/>
  <c r="AM21" i="2"/>
  <c r="AD21" i="2"/>
  <c r="AD22" i="2"/>
  <c r="AD20" i="2"/>
  <c r="AM20" i="2"/>
  <c r="AM22" i="2"/>
  <c r="O73" i="25"/>
  <c r="O74" i="25" s="1"/>
  <c r="N168" i="21" s="1"/>
  <c r="O67" i="25"/>
  <c r="M17" i="42"/>
  <c r="M20" i="42" s="1"/>
  <c r="M19" i="42"/>
  <c r="M18" i="42"/>
  <c r="L9" i="39"/>
  <c r="K17" i="39"/>
  <c r="K11" i="39"/>
  <c r="L9" i="12"/>
  <c r="K17" i="12"/>
  <c r="K11" i="12"/>
  <c r="K45" i="14"/>
  <c r="K37" i="14"/>
  <c r="K19" i="42"/>
  <c r="K17" i="42"/>
  <c r="K20" i="42" s="1"/>
  <c r="K18" i="42"/>
  <c r="AI26" i="2"/>
  <c r="AL25" i="2"/>
  <c r="N39" i="9"/>
  <c r="N47" i="9"/>
  <c r="F26" i="4"/>
  <c r="L100" i="31"/>
  <c r="L108" i="31" s="1"/>
  <c r="H113" i="21"/>
  <c r="H112" i="21"/>
  <c r="J10" i="20"/>
  <c r="I71" i="31"/>
  <c r="E43" i="43"/>
  <c r="F40" i="43"/>
  <c r="G40" i="43" s="1"/>
  <c r="M41" i="25"/>
  <c r="M47" i="25"/>
  <c r="M48" i="25" s="1"/>
  <c r="L95" i="21" s="1"/>
  <c r="L48" i="20"/>
  <c r="L39" i="20"/>
  <c r="L41" i="20" s="1"/>
  <c r="J81" i="21"/>
  <c r="K47" i="12"/>
  <c r="K57" i="12"/>
  <c r="N65" i="31"/>
  <c r="O72" i="18"/>
  <c r="L48" i="38"/>
  <c r="L39" i="38"/>
  <c r="L41" i="38" s="1"/>
  <c r="K48" i="38"/>
  <c r="K39" i="38"/>
  <c r="O73" i="42"/>
  <c r="O76" i="42" s="1"/>
  <c r="O75" i="42"/>
  <c r="O74" i="42"/>
  <c r="N41" i="25"/>
  <c r="N47" i="25"/>
  <c r="N48" i="25" s="1"/>
  <c r="M95" i="21" s="1"/>
  <c r="M72" i="18"/>
  <c r="L65" i="31"/>
  <c r="J17" i="42"/>
  <c r="J20" i="42" s="1"/>
  <c r="J18" i="42"/>
  <c r="J19" i="42"/>
  <c r="J18" i="14"/>
  <c r="J10" i="14"/>
  <c r="I72" i="31"/>
  <c r="F28" i="43"/>
  <c r="L46" i="12"/>
  <c r="AM11" i="2"/>
  <c r="AD15" i="2"/>
  <c r="E102" i="2"/>
  <c r="J21" i="38"/>
  <c r="J12" i="38"/>
  <c r="J14" i="38" s="1"/>
  <c r="I12" i="38"/>
  <c r="I21" i="38"/>
  <c r="E43" i="4"/>
  <c r="F40" i="4"/>
  <c r="G40" i="4" s="1"/>
  <c r="AL12" i="2"/>
  <c r="D81" i="9"/>
  <c r="D82" i="9"/>
  <c r="D73" i="9"/>
  <c r="L39" i="37"/>
  <c r="L47" i="37"/>
  <c r="O72" i="17"/>
  <c r="F24" i="36"/>
  <c r="F26" i="40"/>
  <c r="K32" i="38"/>
  <c r="K32" i="20"/>
  <c r="O67" i="38"/>
  <c r="M68" i="38"/>
  <c r="N67" i="38"/>
  <c r="M67" i="38"/>
  <c r="O65" i="39"/>
  <c r="O71" i="39"/>
  <c r="K74" i="18"/>
  <c r="K75" i="18"/>
  <c r="K73" i="18"/>
  <c r="K76" i="18" s="1"/>
  <c r="H81" i="21"/>
  <c r="I47" i="12"/>
  <c r="I57" i="12"/>
  <c r="M18" i="14"/>
  <c r="M10" i="14"/>
  <c r="L72" i="31"/>
  <c r="N69" i="17"/>
  <c r="N72" i="17" s="1"/>
  <c r="N68" i="17"/>
  <c r="N70" i="17" s="1"/>
  <c r="N75" i="17"/>
  <c r="N76" i="17" s="1"/>
  <c r="M166" i="21" s="1"/>
  <c r="M43" i="39"/>
  <c r="M49" i="39"/>
  <c r="M50" i="39" s="1"/>
  <c r="M42" i="39"/>
  <c r="M44" i="39" s="1"/>
  <c r="O65" i="12"/>
  <c r="O71" i="12"/>
  <c r="D26" i="2"/>
  <c r="N10" i="20"/>
  <c r="N21" i="20" s="1"/>
  <c r="M71" i="31"/>
  <c r="K10" i="20"/>
  <c r="K21" i="20" s="1"/>
  <c r="J71" i="31"/>
  <c r="E62" i="36"/>
  <c r="N46" i="12"/>
  <c r="N71" i="38"/>
  <c r="N69" i="38"/>
  <c r="D81" i="37"/>
  <c r="D82" i="37"/>
  <c r="D73" i="37"/>
  <c r="N47" i="37"/>
  <c r="N39" i="37"/>
  <c r="O67" i="37"/>
  <c r="R13" i="37" s="1"/>
  <c r="O77" i="37"/>
  <c r="I157" i="21"/>
  <c r="J71" i="25"/>
  <c r="J80" i="25"/>
  <c r="M47" i="9"/>
  <c r="M39" i="9"/>
  <c r="E81" i="21"/>
  <c r="F47" i="12"/>
  <c r="F57" i="12"/>
  <c r="I104" i="21"/>
  <c r="J57" i="17"/>
  <c r="N73" i="42"/>
  <c r="N76" i="42" s="1"/>
  <c r="N75" i="42"/>
  <c r="N74" i="42"/>
  <c r="I10" i="14"/>
  <c r="I18" i="14"/>
  <c r="H72" i="31"/>
  <c r="I18" i="42"/>
  <c r="I19" i="42"/>
  <c r="I17" i="42"/>
  <c r="I20" i="42" s="1"/>
  <c r="D102" i="2"/>
  <c r="H96" i="2" s="1"/>
  <c r="F96" i="2"/>
  <c r="D28" i="12"/>
  <c r="D27" i="12"/>
  <c r="D15" i="12"/>
  <c r="H86" i="42"/>
  <c r="H77" i="42"/>
  <c r="I20" i="17"/>
  <c r="I12" i="17"/>
  <c r="L153" i="21"/>
  <c r="M74" i="14"/>
  <c r="M83" i="14"/>
  <c r="D83" i="14" s="1"/>
  <c r="N67" i="37"/>
  <c r="N77" i="37"/>
  <c r="N68" i="37"/>
  <c r="N69" i="37" s="1"/>
  <c r="N70" i="37" s="1"/>
  <c r="N49" i="39"/>
  <c r="N50" i="39" s="1"/>
  <c r="N42" i="39"/>
  <c r="N44" i="39" s="1"/>
  <c r="N43" i="39"/>
  <c r="N65" i="12"/>
  <c r="N71" i="12"/>
  <c r="K83" i="17"/>
  <c r="L10" i="20"/>
  <c r="L21" i="20" s="1"/>
  <c r="K71" i="31"/>
  <c r="O10" i="20"/>
  <c r="O21" i="20" s="1"/>
  <c r="N71" i="31"/>
  <c r="E43" i="40"/>
  <c r="F40" i="40" s="1"/>
  <c r="G40" i="40" s="1"/>
  <c r="D52" i="14"/>
  <c r="D53" i="14"/>
  <c r="D44" i="14"/>
  <c r="O47" i="37"/>
  <c r="O39" i="37"/>
  <c r="K39" i="37"/>
  <c r="K47" i="37"/>
  <c r="M46" i="12"/>
  <c r="G84" i="21"/>
  <c r="H45" i="25"/>
  <c r="H54" i="25"/>
  <c r="O18" i="14"/>
  <c r="O10" i="14"/>
  <c r="N72" i="31"/>
  <c r="G47" i="12"/>
  <c r="G57" i="12"/>
  <c r="F81" i="21"/>
  <c r="N69" i="20"/>
  <c r="N71" i="20"/>
  <c r="F54" i="18"/>
  <c r="F56" i="18" s="1"/>
  <c r="E105" i="21" s="1"/>
  <c r="E33" i="31" s="1"/>
  <c r="O54" i="18"/>
  <c r="H54" i="18"/>
  <c r="H56" i="18" s="1"/>
  <c r="G105" i="21" s="1"/>
  <c r="G33" i="31" s="1"/>
  <c r="G54" i="18"/>
  <c r="G56" i="18" s="1"/>
  <c r="F105" i="21" s="1"/>
  <c r="F33" i="31" s="1"/>
  <c r="I54" i="18"/>
  <c r="I56" i="18" s="1"/>
  <c r="H105" i="21" s="1"/>
  <c r="H33" i="31" s="1"/>
  <c r="N54" i="18"/>
  <c r="N56" i="18" s="1"/>
  <c r="M105" i="21" s="1"/>
  <c r="M33" i="31" s="1"/>
  <c r="J54" i="18"/>
  <c r="J56" i="18" s="1"/>
  <c r="I105" i="21" s="1"/>
  <c r="I33" i="31" s="1"/>
  <c r="E54" i="18"/>
  <c r="E56" i="18" s="1"/>
  <c r="D105" i="21" s="1"/>
  <c r="D33" i="31" s="1"/>
  <c r="M54" i="18"/>
  <c r="M56" i="18" s="1"/>
  <c r="L105" i="21" s="1"/>
  <c r="L33" i="31" s="1"/>
  <c r="L54" i="18"/>
  <c r="L56" i="18" s="1"/>
  <c r="K105" i="21" s="1"/>
  <c r="K33" i="31" s="1"/>
  <c r="K54" i="18"/>
  <c r="K56" i="18" s="1"/>
  <c r="J105" i="21" s="1"/>
  <c r="J33" i="31" s="1"/>
  <c r="G17" i="18"/>
  <c r="G20" i="18" s="1"/>
  <c r="G19" i="18"/>
  <c r="G18" i="18"/>
  <c r="M68" i="20"/>
  <c r="O67" i="20"/>
  <c r="M67" i="20"/>
  <c r="N67" i="20"/>
  <c r="N43" i="17"/>
  <c r="N42" i="17"/>
  <c r="N44" i="17" s="1"/>
  <c r="N49" i="17"/>
  <c r="N50" i="17" s="1"/>
  <c r="M93" i="21" s="1"/>
  <c r="M44" i="42"/>
  <c r="G44" i="42"/>
  <c r="J44" i="42"/>
  <c r="F44" i="42"/>
  <c r="H44" i="42"/>
  <c r="K44" i="42"/>
  <c r="N44" i="42"/>
  <c r="L44" i="42"/>
  <c r="I44" i="42"/>
  <c r="O44" i="42"/>
  <c r="E44" i="42"/>
  <c r="N10" i="14"/>
  <c r="N18" i="14"/>
  <c r="M72" i="31"/>
  <c r="N67" i="9"/>
  <c r="N77" i="9"/>
  <c r="N68" i="9"/>
  <c r="N69" i="9" s="1"/>
  <c r="N70" i="9" s="1"/>
  <c r="L155" i="21"/>
  <c r="M83" i="17"/>
  <c r="M73" i="17"/>
  <c r="D25" i="22"/>
  <c r="M114" i="31"/>
  <c r="AE121" i="31" s="1"/>
  <c r="J183" i="21"/>
  <c r="J39" i="31" s="1"/>
  <c r="K183" i="21"/>
  <c r="K39" i="31" s="1"/>
  <c r="K44" i="25"/>
  <c r="K43" i="25"/>
  <c r="M77" i="9"/>
  <c r="M68" i="9"/>
  <c r="M67" i="9"/>
  <c r="D28" i="39"/>
  <c r="D15" i="39"/>
  <c r="D27" i="39"/>
  <c r="G155" i="21"/>
  <c r="H73" i="17"/>
  <c r="H83" i="17"/>
  <c r="O47" i="12"/>
  <c r="O54" i="12"/>
  <c r="O55" i="12" s="1"/>
  <c r="N81" i="21"/>
  <c r="E39" i="21"/>
  <c r="C48" i="32"/>
  <c r="E48" i="32" s="1"/>
  <c r="E40" i="21"/>
  <c r="K100" i="31"/>
  <c r="F25" i="43"/>
  <c r="G25" i="40"/>
  <c r="H25" i="40" s="1"/>
  <c r="H29" i="40" s="1"/>
  <c r="F25" i="40"/>
  <c r="G25" i="43"/>
  <c r="H25" i="43" s="1"/>
  <c r="H29" i="43" s="1"/>
  <c r="AD12" i="2"/>
  <c r="F25" i="4"/>
  <c r="F23" i="36"/>
  <c r="F28" i="36" s="1"/>
  <c r="AM12" i="2"/>
  <c r="G25" i="35"/>
  <c r="H25" i="35" s="1"/>
  <c r="H29" i="35" s="1"/>
  <c r="G25" i="4"/>
  <c r="H25" i="4" s="1"/>
  <c r="H29" i="4" s="1"/>
  <c r="G23" i="36"/>
  <c r="H23" i="36" s="1"/>
  <c r="F25" i="35"/>
  <c r="G54" i="25"/>
  <c r="F84" i="21"/>
  <c r="G45" i="25"/>
  <c r="O43" i="39"/>
  <c r="O49" i="39"/>
  <c r="O50" i="39" s="1"/>
  <c r="O42" i="39"/>
  <c r="O44" i="39" s="1"/>
  <c r="M65" i="39"/>
  <c r="M71" i="39"/>
  <c r="K60" i="39"/>
  <c r="K60" i="12"/>
  <c r="AD17" i="2"/>
  <c r="L45" i="14"/>
  <c r="L37" i="14"/>
  <c r="I20" i="39"/>
  <c r="I12" i="39"/>
  <c r="K39" i="9"/>
  <c r="K47" i="9"/>
  <c r="M39" i="37"/>
  <c r="M47" i="37"/>
  <c r="E57" i="12"/>
  <c r="F26" i="35"/>
  <c r="M74" i="42"/>
  <c r="M73" i="42"/>
  <c r="M75" i="42"/>
  <c r="M76" i="42"/>
  <c r="I44" i="18"/>
  <c r="F44" i="18"/>
  <c r="G44" i="18"/>
  <c r="H44" i="18"/>
  <c r="E44" i="18"/>
  <c r="N44" i="18"/>
  <c r="L44" i="18"/>
  <c r="K44" i="18"/>
  <c r="M44" i="18"/>
  <c r="O44" i="18"/>
  <c r="J44" i="18"/>
  <c r="J83" i="17"/>
  <c r="I155" i="21"/>
  <c r="J73" i="17"/>
  <c r="K49" i="17"/>
  <c r="K50" i="17" s="1"/>
  <c r="J93" i="21" s="1"/>
  <c r="K43" i="17"/>
  <c r="K42" i="17"/>
  <c r="K44" i="17" s="1"/>
  <c r="I54" i="42"/>
  <c r="I56" i="42" s="1"/>
  <c r="M54" i="42"/>
  <c r="M56" i="42" s="1"/>
  <c r="J54" i="42"/>
  <c r="J56" i="42" s="1"/>
  <c r="E54" i="42"/>
  <c r="E56" i="42" s="1"/>
  <c r="K54" i="42"/>
  <c r="K56" i="42" s="1"/>
  <c r="G54" i="42"/>
  <c r="G56" i="42" s="1"/>
  <c r="L54" i="42"/>
  <c r="L56" i="42" s="1"/>
  <c r="F54" i="42"/>
  <c r="F56" i="42" s="1"/>
  <c r="H54" i="42"/>
  <c r="H56" i="42" s="1"/>
  <c r="O54" i="42"/>
  <c r="N54" i="42"/>
  <c r="N56" i="42" s="1"/>
  <c r="D25" i="14"/>
  <c r="D17" i="14"/>
  <c r="D26" i="14"/>
  <c r="L41" i="25"/>
  <c r="L47" i="25"/>
  <c r="L48" i="25" s="1"/>
  <c r="K95" i="21" s="1"/>
  <c r="N27" i="17"/>
  <c r="N26" i="17" s="1"/>
  <c r="N29" i="17" s="1"/>
  <c r="M31" i="21" s="1"/>
  <c r="M32" i="31" s="1"/>
  <c r="L27" i="17"/>
  <c r="L26" i="17" s="1"/>
  <c r="L29" i="17" s="1"/>
  <c r="K31" i="21" s="1"/>
  <c r="K32" i="31" s="1"/>
  <c r="E27" i="17"/>
  <c r="E26" i="17" s="1"/>
  <c r="E29" i="17" s="1"/>
  <c r="D31" i="21" s="1"/>
  <c r="D32" i="31" s="1"/>
  <c r="M27" i="17"/>
  <c r="M26" i="17" s="1"/>
  <c r="M29" i="17" s="1"/>
  <c r="L31" i="21" s="1"/>
  <c r="L32" i="31" s="1"/>
  <c r="I27" i="17"/>
  <c r="I26" i="17" s="1"/>
  <c r="I29" i="17" s="1"/>
  <c r="H31" i="21" s="1"/>
  <c r="H32" i="31" s="1"/>
  <c r="F27" i="17"/>
  <c r="F26" i="17" s="1"/>
  <c r="F29" i="17" s="1"/>
  <c r="E31" i="21" s="1"/>
  <c r="E32" i="31" s="1"/>
  <c r="E91" i="31" s="1"/>
  <c r="K27" i="17"/>
  <c r="K26" i="17" s="1"/>
  <c r="K29" i="17" s="1"/>
  <c r="J31" i="21" s="1"/>
  <c r="J32" i="31" s="1"/>
  <c r="J27" i="17"/>
  <c r="J26" i="17" s="1"/>
  <c r="J29" i="17" s="1"/>
  <c r="I31" i="21" s="1"/>
  <c r="I32" i="31" s="1"/>
  <c r="G27" i="17"/>
  <c r="G26" i="17" s="1"/>
  <c r="G29" i="17" s="1"/>
  <c r="F31" i="21" s="1"/>
  <c r="F32" i="31" s="1"/>
  <c r="O27" i="17"/>
  <c r="O26" i="17" s="1"/>
  <c r="H27" i="17"/>
  <c r="H26" i="17" s="1"/>
  <c r="H29" i="17" s="1"/>
  <c r="G31" i="21" s="1"/>
  <c r="G32" i="31" s="1"/>
  <c r="F96" i="33"/>
  <c r="G95" i="33"/>
  <c r="H95" i="33" s="1"/>
  <c r="J13" i="25"/>
  <c r="O13" i="25"/>
  <c r="L13" i="25"/>
  <c r="N13" i="25"/>
  <c r="K13" i="25"/>
  <c r="I13" i="25"/>
  <c r="M13" i="25"/>
  <c r="AA9" i="4"/>
  <c r="AB9" i="4" s="1"/>
  <c r="AA9" i="36"/>
  <c r="AB9" i="36" s="1"/>
  <c r="AA9" i="35"/>
  <c r="AB9" i="35" s="1"/>
  <c r="AA9" i="40"/>
  <c r="AB9" i="40" s="1"/>
  <c r="AA9" i="43"/>
  <c r="AB9" i="43" s="1"/>
  <c r="F11" i="21"/>
  <c r="F14" i="31" s="1"/>
  <c r="G28" i="25"/>
  <c r="G19" i="25"/>
  <c r="I9" i="37"/>
  <c r="N9" i="37"/>
  <c r="K9" i="37"/>
  <c r="J9" i="9"/>
  <c r="M9" i="37"/>
  <c r="J9" i="37"/>
  <c r="L9" i="37"/>
  <c r="L9" i="9"/>
  <c r="K9" i="9"/>
  <c r="I9" i="9"/>
  <c r="N9" i="9"/>
  <c r="O9" i="9"/>
  <c r="M9" i="9"/>
  <c r="D10" i="2"/>
  <c r="O9" i="37"/>
  <c r="AF12" i="2"/>
  <c r="D95" i="33"/>
  <c r="E95" i="33" s="1"/>
  <c r="C96" i="33"/>
  <c r="K42" i="39"/>
  <c r="K44" i="39" s="1"/>
  <c r="K49" i="39"/>
  <c r="K50" i="39" s="1"/>
  <c r="K43" i="39"/>
  <c r="M71" i="12"/>
  <c r="M65" i="12"/>
  <c r="M10" i="20"/>
  <c r="M21" i="20" s="1"/>
  <c r="L71" i="31"/>
  <c r="K5" i="38"/>
  <c r="K5" i="20"/>
  <c r="M37" i="14"/>
  <c r="M45" i="14"/>
  <c r="F45" i="25"/>
  <c r="F54" i="25"/>
  <c r="E84" i="21"/>
  <c r="F97" i="2"/>
  <c r="O39" i="9"/>
  <c r="O47" i="9"/>
  <c r="H57" i="12"/>
  <c r="G81" i="21"/>
  <c r="H47" i="12"/>
  <c r="O77" i="9"/>
  <c r="O67" i="9"/>
  <c r="E164" i="2" s="1"/>
  <c r="I81" i="21"/>
  <c r="J47" i="12"/>
  <c r="J57" i="12"/>
  <c r="F59" i="33"/>
  <c r="G59" i="33" s="1"/>
  <c r="H59" i="33" s="1"/>
  <c r="G58" i="33"/>
  <c r="H58" i="33" s="1"/>
  <c r="N18" i="42"/>
  <c r="N20" i="42" s="1"/>
  <c r="N19" i="42"/>
  <c r="N17" i="42"/>
  <c r="M68" i="37"/>
  <c r="M77" i="37"/>
  <c r="M67" i="37"/>
  <c r="O49" i="17"/>
  <c r="O50" i="17" s="1"/>
  <c r="N93" i="21" s="1"/>
  <c r="O42" i="17"/>
  <c r="O44" i="17" s="1"/>
  <c r="O43" i="17"/>
  <c r="K18" i="14"/>
  <c r="K10" i="14"/>
  <c r="J72" i="31"/>
  <c r="N153" i="21"/>
  <c r="O83" i="14"/>
  <c r="O74" i="14"/>
  <c r="O80" i="14"/>
  <c r="O81" i="14" s="1"/>
  <c r="N175" i="21" s="1"/>
  <c r="F28" i="4"/>
  <c r="AD11" i="2"/>
  <c r="N73" i="25"/>
  <c r="N74" i="25" s="1"/>
  <c r="M168" i="21" s="1"/>
  <c r="N67" i="25"/>
  <c r="L49" i="39"/>
  <c r="L50" i="39" s="1"/>
  <c r="L42" i="39"/>
  <c r="L44" i="39" s="1"/>
  <c r="L43" i="39"/>
  <c r="N65" i="39"/>
  <c r="N71" i="39"/>
  <c r="J12" i="12"/>
  <c r="J20" i="12"/>
  <c r="I10" i="20"/>
  <c r="H71" i="31"/>
  <c r="K34" i="37"/>
  <c r="K34" i="9"/>
  <c r="E43" i="35"/>
  <c r="F40" i="35"/>
  <c r="G40" i="35" s="1"/>
  <c r="N45" i="14"/>
  <c r="N37" i="14"/>
  <c r="G99" i="2"/>
  <c r="G96" i="2"/>
  <c r="G101" i="2"/>
  <c r="G100" i="2"/>
  <c r="O30" i="18"/>
  <c r="L47" i="9"/>
  <c r="L39" i="9"/>
  <c r="AD14" i="2"/>
  <c r="O44" i="25"/>
  <c r="O43" i="25"/>
  <c r="K30" i="42" l="1"/>
  <c r="K21" i="42"/>
  <c r="N21" i="42"/>
  <c r="N30" i="42"/>
  <c r="G21" i="18"/>
  <c r="G30" i="18"/>
  <c r="D30" i="18" s="1"/>
  <c r="F10" i="21"/>
  <c r="I30" i="42"/>
  <c r="I21" i="42"/>
  <c r="N86" i="42"/>
  <c r="N77" i="42"/>
  <c r="J156" i="21"/>
  <c r="K77" i="18"/>
  <c r="K86" i="18"/>
  <c r="L30" i="42"/>
  <c r="L21" i="42"/>
  <c r="N103" i="21"/>
  <c r="O57" i="12"/>
  <c r="H30" i="18"/>
  <c r="G10" i="21"/>
  <c r="H21" i="18"/>
  <c r="M30" i="42"/>
  <c r="M21" i="42"/>
  <c r="O77" i="42"/>
  <c r="O83" i="42"/>
  <c r="O84" i="42" s="1"/>
  <c r="O86" i="42" s="1"/>
  <c r="D86" i="42" s="1"/>
  <c r="J30" i="42"/>
  <c r="J21" i="42"/>
  <c r="O51" i="25"/>
  <c r="O52" i="25" s="1"/>
  <c r="N106" i="21" s="1"/>
  <c r="N84" i="21"/>
  <c r="O45" i="25"/>
  <c r="C97" i="33"/>
  <c r="D96" i="33"/>
  <c r="E96" i="33" s="1"/>
  <c r="J17" i="38"/>
  <c r="J15" i="38"/>
  <c r="S21" i="38" s="1"/>
  <c r="AA8" i="4"/>
  <c r="AB8" i="4" s="1"/>
  <c r="AA8" i="36"/>
  <c r="AB8" i="36" s="1"/>
  <c r="AA8" i="35"/>
  <c r="AB8" i="35" s="1"/>
  <c r="AA8" i="40"/>
  <c r="AB8" i="40" s="1"/>
  <c r="AA8" i="43"/>
  <c r="AB8" i="43" s="1"/>
  <c r="N48" i="14"/>
  <c r="N38" i="14"/>
  <c r="K18" i="9"/>
  <c r="K10" i="9"/>
  <c r="J70" i="31"/>
  <c r="J81" i="31" s="1"/>
  <c r="I18" i="37"/>
  <c r="I10" i="37"/>
  <c r="O21" i="25"/>
  <c r="O22" i="25" s="1"/>
  <c r="N22" i="21" s="1"/>
  <c r="O15" i="25"/>
  <c r="L43" i="25"/>
  <c r="L44" i="25" s="1"/>
  <c r="K46" i="17"/>
  <c r="K45" i="18"/>
  <c r="K48" i="18" s="1"/>
  <c r="K46" i="18"/>
  <c r="K47" i="18"/>
  <c r="K46" i="42"/>
  <c r="K45" i="42"/>
  <c r="K47" i="42"/>
  <c r="K48" i="42" s="1"/>
  <c r="N46" i="17"/>
  <c r="M57" i="12"/>
  <c r="M47" i="12"/>
  <c r="L81" i="21"/>
  <c r="F15" i="12"/>
  <c r="F18" i="12" s="1"/>
  <c r="E15" i="12"/>
  <c r="E18" i="12" s="1"/>
  <c r="G15" i="12"/>
  <c r="G18" i="12" s="1"/>
  <c r="H15" i="12"/>
  <c r="H18" i="12" s="1"/>
  <c r="D53" i="20"/>
  <c r="D52" i="20"/>
  <c r="D44" i="20"/>
  <c r="K41" i="38"/>
  <c r="N40" i="38"/>
  <c r="M40" i="38"/>
  <c r="O40" i="38"/>
  <c r="L40" i="38"/>
  <c r="K40" i="38"/>
  <c r="J12" i="20"/>
  <c r="J14" i="20" s="1"/>
  <c r="J21" i="20"/>
  <c r="M9" i="39"/>
  <c r="L11" i="39"/>
  <c r="L20" i="39" s="1"/>
  <c r="L17" i="39"/>
  <c r="D56" i="33"/>
  <c r="E56" i="33" s="1"/>
  <c r="I56" i="33" s="1"/>
  <c r="J56" i="33" s="1"/>
  <c r="K56" i="33" s="1"/>
  <c r="L56" i="33" s="1"/>
  <c r="C57" i="33"/>
  <c r="N74" i="18"/>
  <c r="N75" i="18"/>
  <c r="N76" i="18"/>
  <c r="N73" i="18"/>
  <c r="O48" i="14"/>
  <c r="O38" i="14"/>
  <c r="D166" i="2" s="1"/>
  <c r="K40" i="20"/>
  <c r="M40" i="20"/>
  <c r="O40" i="20"/>
  <c r="K41" i="20"/>
  <c r="L40" i="20"/>
  <c r="N40" i="20"/>
  <c r="I21" i="20"/>
  <c r="I12" i="20"/>
  <c r="M47" i="18"/>
  <c r="M45" i="18"/>
  <c r="M48" i="18" s="1"/>
  <c r="M46" i="18"/>
  <c r="F37" i="21"/>
  <c r="F39" i="31" s="1"/>
  <c r="K114" i="31"/>
  <c r="N25" i="6"/>
  <c r="M27" i="6"/>
  <c r="G37" i="21"/>
  <c r="G39" i="31" s="1"/>
  <c r="E37" i="21"/>
  <c r="E39" i="31" s="1"/>
  <c r="L10" i="9"/>
  <c r="L18" i="9"/>
  <c r="K70" i="31"/>
  <c r="K81" i="31" s="1"/>
  <c r="J15" i="25"/>
  <c r="J21" i="25"/>
  <c r="J22" i="25" s="1"/>
  <c r="I22" i="21" s="1"/>
  <c r="L46" i="18"/>
  <c r="L47" i="18"/>
  <c r="L45" i="18"/>
  <c r="L48" i="18" s="1"/>
  <c r="M86" i="42"/>
  <c r="M77" i="42"/>
  <c r="F29" i="43"/>
  <c r="C29" i="43"/>
  <c r="H47" i="42"/>
  <c r="H45" i="42"/>
  <c r="H46" i="42"/>
  <c r="H48" i="42" s="1"/>
  <c r="N65" i="20"/>
  <c r="N76" i="20"/>
  <c r="N77" i="20" s="1"/>
  <c r="M163" i="21" s="1"/>
  <c r="F52" i="14"/>
  <c r="F54" i="14" s="1"/>
  <c r="E102" i="21" s="1"/>
  <c r="J52" i="14"/>
  <c r="J54" i="14" s="1"/>
  <c r="I102" i="21" s="1"/>
  <c r="N52" i="14"/>
  <c r="N54" i="14" s="1"/>
  <c r="M102" i="21" s="1"/>
  <c r="I52" i="14"/>
  <c r="I54" i="14" s="1"/>
  <c r="H102" i="21" s="1"/>
  <c r="L52" i="14"/>
  <c r="L54" i="14" s="1"/>
  <c r="K102" i="21" s="1"/>
  <c r="M52" i="14"/>
  <c r="M54" i="14" s="1"/>
  <c r="L102" i="21" s="1"/>
  <c r="G52" i="14"/>
  <c r="G54" i="14" s="1"/>
  <c r="F102" i="21" s="1"/>
  <c r="K52" i="14"/>
  <c r="K54" i="14" s="1"/>
  <c r="J102" i="21" s="1"/>
  <c r="H52" i="14"/>
  <c r="H54" i="14" s="1"/>
  <c r="G102" i="21" s="1"/>
  <c r="O52" i="14"/>
  <c r="E52" i="14"/>
  <c r="E54" i="14" s="1"/>
  <c r="D102" i="21" s="1"/>
  <c r="E27" i="12"/>
  <c r="E29" i="12" s="1"/>
  <c r="D30" i="21" s="1"/>
  <c r="M27" i="12"/>
  <c r="M26" i="12" s="1"/>
  <c r="M29" i="12" s="1"/>
  <c r="L30" i="21" s="1"/>
  <c r="I27" i="12"/>
  <c r="I26" i="12" s="1"/>
  <c r="I29" i="12" s="1"/>
  <c r="H30" i="21" s="1"/>
  <c r="J27" i="12"/>
  <c r="J26" i="12" s="1"/>
  <c r="J29" i="12" s="1"/>
  <c r="I30" i="21" s="1"/>
  <c r="O27" i="12"/>
  <c r="O26" i="12" s="1"/>
  <c r="G27" i="12"/>
  <c r="L27" i="12"/>
  <c r="L26" i="12" s="1"/>
  <c r="L29" i="12" s="1"/>
  <c r="K30" i="21" s="1"/>
  <c r="N27" i="12"/>
  <c r="N26" i="12" s="1"/>
  <c r="N29" i="12" s="1"/>
  <c r="M30" i="21" s="1"/>
  <c r="H27" i="12"/>
  <c r="K27" i="12"/>
  <c r="K26" i="12" s="1"/>
  <c r="K29" i="12" s="1"/>
  <c r="J30" i="21" s="1"/>
  <c r="F27" i="12"/>
  <c r="G81" i="37"/>
  <c r="G83" i="37" s="1"/>
  <c r="M81" i="37"/>
  <c r="M83" i="37" s="1"/>
  <c r="L81" i="37"/>
  <c r="L83" i="37" s="1"/>
  <c r="J81" i="37"/>
  <c r="J83" i="37" s="1"/>
  <c r="H81" i="37"/>
  <c r="H83" i="37" s="1"/>
  <c r="N81" i="37"/>
  <c r="N83" i="37" s="1"/>
  <c r="E81" i="37"/>
  <c r="E83" i="37" s="1"/>
  <c r="K81" i="37"/>
  <c r="K83" i="37" s="1"/>
  <c r="F81" i="37"/>
  <c r="F83" i="37" s="1"/>
  <c r="I81" i="37"/>
  <c r="I83" i="37" s="1"/>
  <c r="O81" i="37"/>
  <c r="M46" i="39"/>
  <c r="D53" i="38"/>
  <c r="D44" i="38"/>
  <c r="D52" i="38"/>
  <c r="O81" i="9"/>
  <c r="M81" i="9"/>
  <c r="M83" i="9" s="1"/>
  <c r="L173" i="21" s="1"/>
  <c r="I81" i="9"/>
  <c r="I83" i="9" s="1"/>
  <c r="H173" i="21" s="1"/>
  <c r="F81" i="9"/>
  <c r="F83" i="9" s="1"/>
  <c r="E173" i="21" s="1"/>
  <c r="K81" i="9"/>
  <c r="K83" i="9" s="1"/>
  <c r="J173" i="21" s="1"/>
  <c r="E81" i="9"/>
  <c r="E83" i="9" s="1"/>
  <c r="D173" i="21" s="1"/>
  <c r="G81" i="9"/>
  <c r="G83" i="9" s="1"/>
  <c r="F173" i="21" s="1"/>
  <c r="L81" i="9"/>
  <c r="L83" i="9" s="1"/>
  <c r="K173" i="21" s="1"/>
  <c r="H81" i="9"/>
  <c r="H83" i="9" s="1"/>
  <c r="G173" i="21" s="1"/>
  <c r="N81" i="9"/>
  <c r="N83" i="9" s="1"/>
  <c r="M173" i="21" s="1"/>
  <c r="J81" i="9"/>
  <c r="J83" i="9" s="1"/>
  <c r="I173" i="21" s="1"/>
  <c r="I101" i="2"/>
  <c r="I99" i="2"/>
  <c r="I100" i="2"/>
  <c r="I96" i="2"/>
  <c r="I98" i="2"/>
  <c r="M73" i="18"/>
  <c r="M74" i="18"/>
  <c r="M76" i="18" s="1"/>
  <c r="M75" i="18"/>
  <c r="L42" i="20"/>
  <c r="L44" i="20"/>
  <c r="AA12" i="40"/>
  <c r="AB12" i="40" s="1"/>
  <c r="AA12" i="35"/>
  <c r="AB12" i="35" s="1"/>
  <c r="AA12" i="4"/>
  <c r="AB12" i="4" s="1"/>
  <c r="AA14" i="36"/>
  <c r="AB14" i="36" s="1"/>
  <c r="AA12" i="43"/>
  <c r="AB12" i="43" s="1"/>
  <c r="L46" i="17"/>
  <c r="K11" i="14"/>
  <c r="K21" i="14"/>
  <c r="J62" i="31"/>
  <c r="M74" i="12"/>
  <c r="M66" i="12"/>
  <c r="O18" i="37"/>
  <c r="O10" i="37"/>
  <c r="L10" i="37"/>
  <c r="L18" i="37"/>
  <c r="I95" i="33"/>
  <c r="J95" i="33" s="1"/>
  <c r="K95" i="33" s="1"/>
  <c r="L95" i="33" s="1"/>
  <c r="F17" i="14"/>
  <c r="F19" i="14" s="1"/>
  <c r="G17" i="14"/>
  <c r="G19" i="14" s="1"/>
  <c r="E17" i="14"/>
  <c r="E19" i="14" s="1"/>
  <c r="H17" i="14"/>
  <c r="H19" i="14" s="1"/>
  <c r="N45" i="18"/>
  <c r="N48" i="18" s="1"/>
  <c r="N47" i="18"/>
  <c r="N46" i="18"/>
  <c r="M50" i="37"/>
  <c r="M40" i="37"/>
  <c r="O46" i="39"/>
  <c r="K108" i="31"/>
  <c r="N100" i="31"/>
  <c r="M69" i="9"/>
  <c r="M70" i="9" s="1"/>
  <c r="O71" i="9"/>
  <c r="M71" i="9"/>
  <c r="N71" i="9"/>
  <c r="N21" i="14"/>
  <c r="N11" i="14"/>
  <c r="N85" i="14" s="1"/>
  <c r="M62" i="31"/>
  <c r="F46" i="42"/>
  <c r="F47" i="42"/>
  <c r="F45" i="42"/>
  <c r="F48" i="42" s="1"/>
  <c r="M65" i="20"/>
  <c r="M76" i="20"/>
  <c r="M77" i="20" s="1"/>
  <c r="L163" i="21" s="1"/>
  <c r="K50" i="37"/>
  <c r="K41" i="37"/>
  <c r="K40" i="37"/>
  <c r="N74" i="12"/>
  <c r="N66" i="12"/>
  <c r="I97" i="2"/>
  <c r="J11" i="14"/>
  <c r="J85" i="14" s="1"/>
  <c r="J21" i="14"/>
  <c r="I62" i="31"/>
  <c r="L42" i="38"/>
  <c r="S23" i="38" s="1"/>
  <c r="L44" i="38"/>
  <c r="N18" i="37"/>
  <c r="N10" i="37"/>
  <c r="G73" i="9"/>
  <c r="G75" i="9" s="1"/>
  <c r="H73" i="9"/>
  <c r="H75" i="9" s="1"/>
  <c r="F73" i="9"/>
  <c r="F75" i="9" s="1"/>
  <c r="E73" i="9"/>
  <c r="E75" i="9" s="1"/>
  <c r="I73" i="9"/>
  <c r="I75" i="9" s="1"/>
  <c r="J73" i="9"/>
  <c r="J75" i="9" s="1"/>
  <c r="L73" i="9"/>
  <c r="L75" i="9" s="1"/>
  <c r="K73" i="9"/>
  <c r="K75" i="9" s="1"/>
  <c r="N40" i="9"/>
  <c r="N50" i="9"/>
  <c r="M69" i="37"/>
  <c r="M70" i="37" s="1"/>
  <c r="O71" i="37"/>
  <c r="M71" i="37"/>
  <c r="N71" i="37"/>
  <c r="K5" i="37"/>
  <c r="K5" i="9"/>
  <c r="F41" i="35"/>
  <c r="G41" i="35" s="1"/>
  <c r="G43" i="35" s="1"/>
  <c r="F42" i="35"/>
  <c r="G42" i="35" s="1"/>
  <c r="N74" i="39"/>
  <c r="N66" i="39"/>
  <c r="N86" i="39" s="1"/>
  <c r="M38" i="14"/>
  <c r="M48" i="14"/>
  <c r="J18" i="37"/>
  <c r="J10" i="37"/>
  <c r="M15" i="25"/>
  <c r="M21" i="25"/>
  <c r="M22" i="25" s="1"/>
  <c r="L22" i="21" s="1"/>
  <c r="G96" i="33"/>
  <c r="H96" i="33" s="1"/>
  <c r="I96" i="33" s="1"/>
  <c r="J96" i="33" s="1"/>
  <c r="K96" i="33" s="1"/>
  <c r="L96" i="33" s="1"/>
  <c r="F97" i="33"/>
  <c r="G25" i="14"/>
  <c r="G27" i="14" s="1"/>
  <c r="F29" i="21" s="1"/>
  <c r="F29" i="31" s="1"/>
  <c r="N25" i="14"/>
  <c r="N27" i="14" s="1"/>
  <c r="M29" i="21" s="1"/>
  <c r="M29" i="31" s="1"/>
  <c r="H25" i="14"/>
  <c r="H27" i="14" s="1"/>
  <c r="G29" i="21" s="1"/>
  <c r="G29" i="31" s="1"/>
  <c r="E25" i="14"/>
  <c r="E27" i="14" s="1"/>
  <c r="D29" i="21" s="1"/>
  <c r="L25" i="14"/>
  <c r="L27" i="14" s="1"/>
  <c r="K29" i="21" s="1"/>
  <c r="K29" i="31" s="1"/>
  <c r="M25" i="14"/>
  <c r="M27" i="14" s="1"/>
  <c r="L29" i="21" s="1"/>
  <c r="L29" i="31" s="1"/>
  <c r="O25" i="14"/>
  <c r="J25" i="14"/>
  <c r="J27" i="14" s="1"/>
  <c r="I29" i="21" s="1"/>
  <c r="I29" i="31" s="1"/>
  <c r="K25" i="14"/>
  <c r="K27" i="14" s="1"/>
  <c r="J29" i="21" s="1"/>
  <c r="J29" i="31" s="1"/>
  <c r="I25" i="14"/>
  <c r="I27" i="14" s="1"/>
  <c r="H29" i="21" s="1"/>
  <c r="F25" i="14"/>
  <c r="F27" i="14" s="1"/>
  <c r="E29" i="21" s="1"/>
  <c r="E29" i="31" s="1"/>
  <c r="E47" i="18"/>
  <c r="E46" i="18"/>
  <c r="E45" i="18"/>
  <c r="E48" i="18" s="1"/>
  <c r="E48" i="42"/>
  <c r="E47" i="42"/>
  <c r="E46" i="42"/>
  <c r="E45" i="42"/>
  <c r="J45" i="42"/>
  <c r="J47" i="42"/>
  <c r="J46" i="42"/>
  <c r="J48" i="42" s="1"/>
  <c r="O65" i="20"/>
  <c r="O76" i="20"/>
  <c r="O77" i="20" s="1"/>
  <c r="O21" i="14"/>
  <c r="O11" i="14"/>
  <c r="N62" i="31"/>
  <c r="O50" i="37"/>
  <c r="O40" i="37"/>
  <c r="R12" i="37" s="1"/>
  <c r="F41" i="40"/>
  <c r="G41" i="40" s="1"/>
  <c r="G43" i="40" s="1"/>
  <c r="F42" i="40"/>
  <c r="G42" i="40" s="1"/>
  <c r="N46" i="39"/>
  <c r="J96" i="2"/>
  <c r="F102" i="2"/>
  <c r="M40" i="9"/>
  <c r="M50" i="9"/>
  <c r="N72" i="38"/>
  <c r="N73" i="38" s="1"/>
  <c r="O74" i="39"/>
  <c r="O66" i="39"/>
  <c r="O86" i="39" s="1"/>
  <c r="AA10" i="43"/>
  <c r="AB10" i="43" s="1"/>
  <c r="AA10" i="35"/>
  <c r="AB10" i="35" s="1"/>
  <c r="AA10" i="4"/>
  <c r="AB10" i="4" s="1"/>
  <c r="AA10" i="36"/>
  <c r="AB10" i="36" s="1"/>
  <c r="AA10" i="40"/>
  <c r="AB10" i="40" s="1"/>
  <c r="N43" i="25"/>
  <c r="N44" i="25" s="1"/>
  <c r="AD119" i="31"/>
  <c r="K20" i="12"/>
  <c r="K12" i="12"/>
  <c r="AA17" i="36"/>
  <c r="AB17" i="36" s="1"/>
  <c r="AA15" i="35"/>
  <c r="AB15" i="35" s="1"/>
  <c r="AA15" i="4"/>
  <c r="AB15" i="4" s="1"/>
  <c r="AA15" i="40"/>
  <c r="AB15" i="40" s="1"/>
  <c r="AA15" i="43"/>
  <c r="AB15" i="43" s="1"/>
  <c r="O21" i="42"/>
  <c r="O27" i="42"/>
  <c r="O28" i="42" s="1"/>
  <c r="O30" i="42" s="1"/>
  <c r="M57" i="17"/>
  <c r="L82" i="21"/>
  <c r="M47" i="17"/>
  <c r="I45" i="18"/>
  <c r="I48" i="18" s="1"/>
  <c r="I46" i="18"/>
  <c r="I47" i="18"/>
  <c r="F29" i="40"/>
  <c r="C29" i="40"/>
  <c r="E73" i="37"/>
  <c r="E75" i="37" s="1"/>
  <c r="G73" i="37"/>
  <c r="G75" i="37" s="1"/>
  <c r="L73" i="37"/>
  <c r="L75" i="37" s="1"/>
  <c r="H73" i="37"/>
  <c r="H75" i="37" s="1"/>
  <c r="F73" i="37"/>
  <c r="F75" i="37" s="1"/>
  <c r="I73" i="37"/>
  <c r="I75" i="37" s="1"/>
  <c r="K73" i="37"/>
  <c r="K75" i="37" s="1"/>
  <c r="J73" i="37"/>
  <c r="J75" i="37" s="1"/>
  <c r="L41" i="9"/>
  <c r="L42" i="9" s="1"/>
  <c r="L43" i="9" s="1"/>
  <c r="L40" i="9"/>
  <c r="L50" i="9"/>
  <c r="D46" i="9"/>
  <c r="D55" i="9"/>
  <c r="D54" i="9"/>
  <c r="L46" i="39"/>
  <c r="O46" i="17"/>
  <c r="O40" i="9"/>
  <c r="D164" i="2" s="1"/>
  <c r="O50" i="9"/>
  <c r="D26" i="20"/>
  <c r="D25" i="20"/>
  <c r="D17" i="20"/>
  <c r="K46" i="39"/>
  <c r="M10" i="9"/>
  <c r="M18" i="9"/>
  <c r="L70" i="31"/>
  <c r="L81" i="31" s="1"/>
  <c r="M10" i="37"/>
  <c r="M18" i="37"/>
  <c r="I15" i="25"/>
  <c r="I21" i="25"/>
  <c r="I22" i="25" s="1"/>
  <c r="H22" i="21" s="1"/>
  <c r="H46" i="18"/>
  <c r="H48" i="18"/>
  <c r="H45" i="18"/>
  <c r="H47" i="18"/>
  <c r="K41" i="9"/>
  <c r="K40" i="9"/>
  <c r="K50" i="9"/>
  <c r="D79" i="12"/>
  <c r="D80" i="12"/>
  <c r="D69" i="12"/>
  <c r="F29" i="4"/>
  <c r="C29" i="4"/>
  <c r="O45" i="42"/>
  <c r="O46" i="42"/>
  <c r="O47" i="42"/>
  <c r="O48" i="42" s="1"/>
  <c r="G47" i="42"/>
  <c r="G45" i="42"/>
  <c r="G48" i="42" s="1"/>
  <c r="G46" i="42"/>
  <c r="M69" i="20"/>
  <c r="M71" i="20"/>
  <c r="M13" i="17"/>
  <c r="O13" i="17"/>
  <c r="K13" i="17"/>
  <c r="N13" i="17"/>
  <c r="L13" i="17"/>
  <c r="I13" i="17"/>
  <c r="J13" i="17"/>
  <c r="I12" i="14"/>
  <c r="I11" i="14"/>
  <c r="I85" i="14" s="1"/>
  <c r="I21" i="14"/>
  <c r="H62" i="31"/>
  <c r="M76" i="38"/>
  <c r="M77" i="38" s="1"/>
  <c r="M65" i="38"/>
  <c r="N155" i="21"/>
  <c r="O73" i="17"/>
  <c r="O80" i="17"/>
  <c r="O81" i="17" s="1"/>
  <c r="N177" i="21" s="1"/>
  <c r="F42" i="4"/>
  <c r="G42" i="4" s="1"/>
  <c r="F41" i="4"/>
  <c r="G41" i="4" s="1"/>
  <c r="G43" i="4" s="1"/>
  <c r="O76" i="18"/>
  <c r="O75" i="18"/>
  <c r="O73" i="18"/>
  <c r="O74" i="18"/>
  <c r="M43" i="25"/>
  <c r="M44" i="25" s="1"/>
  <c r="L11" i="14"/>
  <c r="L21" i="14"/>
  <c r="K62" i="31"/>
  <c r="M69" i="25"/>
  <c r="M70" i="25" s="1"/>
  <c r="G14" i="31"/>
  <c r="E14" i="31"/>
  <c r="N70" i="25"/>
  <c r="N69" i="25"/>
  <c r="I18" i="9"/>
  <c r="I10" i="9"/>
  <c r="H70" i="31"/>
  <c r="H81" i="31" s="1"/>
  <c r="L15" i="25"/>
  <c r="L21" i="25"/>
  <c r="L22" i="25" s="1"/>
  <c r="K22" i="21" s="1"/>
  <c r="L48" i="14"/>
  <c r="L38" i="14"/>
  <c r="M74" i="39"/>
  <c r="M66" i="39"/>
  <c r="N45" i="42"/>
  <c r="N46" i="42"/>
  <c r="N47" i="42"/>
  <c r="N48" i="42" s="1"/>
  <c r="D26" i="38"/>
  <c r="D25" i="38"/>
  <c r="D17" i="38"/>
  <c r="O10" i="9"/>
  <c r="O18" i="9"/>
  <c r="N70" i="31"/>
  <c r="N81" i="31" s="1"/>
  <c r="J18" i="9"/>
  <c r="J10" i="9"/>
  <c r="I70" i="31"/>
  <c r="I81" i="31" s="1"/>
  <c r="K15" i="25"/>
  <c r="K21" i="25"/>
  <c r="K22" i="25" s="1"/>
  <c r="J22" i="21" s="1"/>
  <c r="J46" i="18"/>
  <c r="J47" i="18"/>
  <c r="J48" i="18"/>
  <c r="J45" i="18"/>
  <c r="G46" i="18"/>
  <c r="G48" i="18" s="1"/>
  <c r="G45" i="18"/>
  <c r="G47" i="18"/>
  <c r="O13" i="39"/>
  <c r="J13" i="39"/>
  <c r="I13" i="39"/>
  <c r="I86" i="39"/>
  <c r="D79" i="39"/>
  <c r="D80" i="39"/>
  <c r="D69" i="39"/>
  <c r="AA7" i="35"/>
  <c r="AB7" i="35" s="1"/>
  <c r="AA7" i="4"/>
  <c r="AB7" i="4" s="1"/>
  <c r="AA7" i="36"/>
  <c r="AB7" i="36" s="1"/>
  <c r="AA7" i="40"/>
  <c r="AB7" i="40" s="1"/>
  <c r="AA7" i="43"/>
  <c r="AB7" i="43" s="1"/>
  <c r="L27" i="39"/>
  <c r="L26" i="39" s="1"/>
  <c r="L29" i="39" s="1"/>
  <c r="F27" i="39"/>
  <c r="F26" i="39" s="1"/>
  <c r="F29" i="39" s="1"/>
  <c r="M27" i="39"/>
  <c r="M26" i="39" s="1"/>
  <c r="M29" i="39" s="1"/>
  <c r="J27" i="39"/>
  <c r="J26" i="39" s="1"/>
  <c r="J29" i="39" s="1"/>
  <c r="K27" i="39"/>
  <c r="K26" i="39" s="1"/>
  <c r="K29" i="39" s="1"/>
  <c r="O27" i="39"/>
  <c r="O26" i="39" s="1"/>
  <c r="G27" i="39"/>
  <c r="N27" i="39"/>
  <c r="N26" i="39" s="1"/>
  <c r="N29" i="39" s="1"/>
  <c r="E27" i="39"/>
  <c r="E29" i="39" s="1"/>
  <c r="I27" i="39"/>
  <c r="I26" i="39" s="1"/>
  <c r="I29" i="39" s="1"/>
  <c r="H27" i="39"/>
  <c r="J84" i="21"/>
  <c r="K54" i="25"/>
  <c r="K45" i="25"/>
  <c r="I47" i="42"/>
  <c r="I45" i="42"/>
  <c r="I48" i="42" s="1"/>
  <c r="I46" i="42"/>
  <c r="M47" i="42"/>
  <c r="M46" i="42"/>
  <c r="M48" i="42" s="1"/>
  <c r="M45" i="42"/>
  <c r="N72" i="20"/>
  <c r="N73" i="20"/>
  <c r="H98" i="2"/>
  <c r="H99" i="2"/>
  <c r="H101" i="2"/>
  <c r="H100" i="2"/>
  <c r="H97" i="2"/>
  <c r="N40" i="37"/>
  <c r="N50" i="37"/>
  <c r="M81" i="21"/>
  <c r="N47" i="12"/>
  <c r="N57" i="12"/>
  <c r="M21" i="14"/>
  <c r="M11" i="14"/>
  <c r="M85" i="14" s="1"/>
  <c r="L62" i="31"/>
  <c r="N76" i="38"/>
  <c r="N77" i="38" s="1"/>
  <c r="N65" i="38"/>
  <c r="L57" i="12"/>
  <c r="D57" i="12" s="1"/>
  <c r="L47" i="12"/>
  <c r="K81" i="21"/>
  <c r="E92" i="31"/>
  <c r="M9" i="12"/>
  <c r="L11" i="12"/>
  <c r="L20" i="12" s="1"/>
  <c r="L17" i="12"/>
  <c r="O70" i="25"/>
  <c r="O69" i="25"/>
  <c r="AA11" i="43"/>
  <c r="AB11" i="43" s="1"/>
  <c r="AA11" i="40"/>
  <c r="AB11" i="40" s="1"/>
  <c r="AA11" i="36"/>
  <c r="AB11" i="36" s="1"/>
  <c r="AA11" i="4"/>
  <c r="AB11" i="4" s="1"/>
  <c r="AA11" i="35"/>
  <c r="AB11" i="35" s="1"/>
  <c r="E44" i="14"/>
  <c r="E46" i="14" s="1"/>
  <c r="I44" i="14"/>
  <c r="I46" i="14" s="1"/>
  <c r="F44" i="14"/>
  <c r="F46" i="14" s="1"/>
  <c r="H44" i="14"/>
  <c r="H46" i="14" s="1"/>
  <c r="J44" i="14"/>
  <c r="J46" i="14" s="1"/>
  <c r="G44" i="14"/>
  <c r="G46" i="14" s="1"/>
  <c r="F60" i="36"/>
  <c r="G60" i="36" s="1"/>
  <c r="F61" i="36"/>
  <c r="G61" i="36" s="1"/>
  <c r="O65" i="38"/>
  <c r="O76" i="38"/>
  <c r="O77" i="38" s="1"/>
  <c r="O83" i="38" s="1"/>
  <c r="K38" i="14"/>
  <c r="K48" i="14"/>
  <c r="K39" i="14"/>
  <c r="D54" i="37"/>
  <c r="D55" i="37"/>
  <c r="D46" i="37"/>
  <c r="J97" i="2"/>
  <c r="N10" i="9"/>
  <c r="N18" i="9"/>
  <c r="M70" i="31"/>
  <c r="M81" i="31" s="1"/>
  <c r="K18" i="37"/>
  <c r="K10" i="37"/>
  <c r="N21" i="25"/>
  <c r="N22" i="25" s="1"/>
  <c r="M22" i="21" s="1"/>
  <c r="N15" i="25"/>
  <c r="O46" i="18"/>
  <c r="O47" i="18"/>
  <c r="O45" i="18"/>
  <c r="O48" i="18" s="1"/>
  <c r="F45" i="18"/>
  <c r="F46" i="18"/>
  <c r="F47" i="18"/>
  <c r="F48" i="18"/>
  <c r="C29" i="35"/>
  <c r="F29" i="35"/>
  <c r="H15" i="39"/>
  <c r="H18" i="39" s="1"/>
  <c r="E15" i="39"/>
  <c r="E18" i="39" s="1"/>
  <c r="F15" i="39"/>
  <c r="F18" i="39" s="1"/>
  <c r="G15" i="39"/>
  <c r="G18" i="39" s="1"/>
  <c r="L47" i="42"/>
  <c r="L45" i="42"/>
  <c r="L46" i="42"/>
  <c r="L48" i="42"/>
  <c r="F59" i="36"/>
  <c r="G59" i="36" s="1"/>
  <c r="O66" i="12"/>
  <c r="O74" i="12"/>
  <c r="N83" i="17"/>
  <c r="M155" i="21"/>
  <c r="N73" i="17"/>
  <c r="M69" i="38"/>
  <c r="M71" i="38"/>
  <c r="L41" i="37"/>
  <c r="L42" i="37" s="1"/>
  <c r="L43" i="37" s="1"/>
  <c r="L40" i="37"/>
  <c r="L50" i="37"/>
  <c r="I14" i="38"/>
  <c r="J13" i="38"/>
  <c r="I13" i="38"/>
  <c r="K13" i="38"/>
  <c r="N13" i="38"/>
  <c r="O13" i="38"/>
  <c r="M13" i="38"/>
  <c r="L13" i="38"/>
  <c r="F41" i="43"/>
  <c r="G41" i="43" s="1"/>
  <c r="G43" i="43" s="1"/>
  <c r="F42" i="43"/>
  <c r="G42" i="43" s="1"/>
  <c r="K20" i="39"/>
  <c r="K12" i="39"/>
  <c r="K86" i="39" s="1"/>
  <c r="K13" i="12"/>
  <c r="M13" i="12"/>
  <c r="N13" i="12"/>
  <c r="O13" i="12"/>
  <c r="J13" i="12"/>
  <c r="L13" i="12"/>
  <c r="I13" i="12"/>
  <c r="M45" i="25" l="1"/>
  <c r="L84" i="21"/>
  <c r="M54" i="25"/>
  <c r="O58" i="18"/>
  <c r="O49" i="18"/>
  <c r="N83" i="21"/>
  <c r="O55" i="18"/>
  <c r="O56" i="18" s="1"/>
  <c r="N105" i="21" s="1"/>
  <c r="G58" i="42"/>
  <c r="G49" i="42"/>
  <c r="M84" i="21"/>
  <c r="N45" i="25"/>
  <c r="N54" i="25"/>
  <c r="E49" i="18"/>
  <c r="D83" i="21"/>
  <c r="D13" i="31" s="1"/>
  <c r="E58" i="18"/>
  <c r="K49" i="18"/>
  <c r="K58" i="18"/>
  <c r="J83" i="21"/>
  <c r="J13" i="31" s="1"/>
  <c r="M58" i="42"/>
  <c r="M49" i="42"/>
  <c r="J58" i="42"/>
  <c r="J49" i="42"/>
  <c r="F83" i="21"/>
  <c r="G49" i="18"/>
  <c r="G58" i="18"/>
  <c r="N58" i="42"/>
  <c r="N49" i="42"/>
  <c r="L157" i="21"/>
  <c r="M71" i="25"/>
  <c r="M80" i="25"/>
  <c r="O49" i="42"/>
  <c r="O55" i="42"/>
  <c r="O56" i="42" s="1"/>
  <c r="O58" i="42" s="1"/>
  <c r="I49" i="18"/>
  <c r="H83" i="21"/>
  <c r="H13" i="31" s="1"/>
  <c r="I58" i="18"/>
  <c r="N83" i="38"/>
  <c r="N74" i="38"/>
  <c r="F49" i="42"/>
  <c r="F58" i="42"/>
  <c r="M58" i="18"/>
  <c r="L83" i="21"/>
  <c r="L13" i="31" s="1"/>
  <c r="M49" i="18"/>
  <c r="D30" i="42"/>
  <c r="D15" i="17"/>
  <c r="I8" i="8"/>
  <c r="L8" i="8" s="1"/>
  <c r="N8" i="8" s="1"/>
  <c r="U8" i="8" s="1"/>
  <c r="I9" i="8"/>
  <c r="L9" i="8" s="1"/>
  <c r="I6" i="8"/>
  <c r="L6" i="8" s="1"/>
  <c r="N6" i="8" s="1"/>
  <c r="U6" i="8" s="1"/>
  <c r="N58" i="18"/>
  <c r="N49" i="18"/>
  <c r="M83" i="21"/>
  <c r="M77" i="18"/>
  <c r="M86" i="18"/>
  <c r="L156" i="21"/>
  <c r="K83" i="21"/>
  <c r="K13" i="31" s="1"/>
  <c r="L49" i="18"/>
  <c r="L58" i="18"/>
  <c r="K84" i="21"/>
  <c r="L54" i="25"/>
  <c r="L45" i="25"/>
  <c r="I58" i="42"/>
  <c r="I49" i="42"/>
  <c r="H49" i="42"/>
  <c r="H58" i="42"/>
  <c r="K58" i="42"/>
  <c r="K49" i="42"/>
  <c r="I17" i="38"/>
  <c r="I15" i="38"/>
  <c r="S20" i="38" s="1"/>
  <c r="J21" i="9"/>
  <c r="J11" i="9"/>
  <c r="J12" i="9"/>
  <c r="J13" i="9" s="1"/>
  <c r="J14" i="9" s="1"/>
  <c r="I60" i="31"/>
  <c r="N21" i="17"/>
  <c r="N22" i="17" s="1"/>
  <c r="M20" i="21" s="1"/>
  <c r="N14" i="17"/>
  <c r="N16" i="17" s="1"/>
  <c r="N15" i="17"/>
  <c r="N18" i="17" s="1"/>
  <c r="H49" i="18"/>
  <c r="G83" i="21"/>
  <c r="H58" i="18"/>
  <c r="L85" i="9"/>
  <c r="K151" i="21"/>
  <c r="L76" i="9"/>
  <c r="N77" i="18"/>
  <c r="M156" i="21"/>
  <c r="N86" i="18"/>
  <c r="F13" i="31"/>
  <c r="N15" i="12"/>
  <c r="N21" i="12"/>
  <c r="L22" i="38"/>
  <c r="L23" i="38" s="1"/>
  <c r="L11" i="38"/>
  <c r="G19" i="39"/>
  <c r="H80" i="21"/>
  <c r="I47" i="14"/>
  <c r="I56" i="14"/>
  <c r="AC11" i="4"/>
  <c r="AD11" i="4" s="1"/>
  <c r="N9" i="12"/>
  <c r="M17" i="12"/>
  <c r="M11" i="12"/>
  <c r="M20" i="12" s="1"/>
  <c r="K79" i="39"/>
  <c r="K78" i="39" s="1"/>
  <c r="K81" i="39" s="1"/>
  <c r="L79" i="39"/>
  <c r="L78" i="39" s="1"/>
  <c r="L81" i="39" s="1"/>
  <c r="E79" i="39"/>
  <c r="E78" i="39" s="1"/>
  <c r="E81" i="39" s="1"/>
  <c r="N79" i="39"/>
  <c r="N78" i="39" s="1"/>
  <c r="N81" i="39" s="1"/>
  <c r="M79" i="39"/>
  <c r="M78" i="39" s="1"/>
  <c r="M81" i="39" s="1"/>
  <c r="I79" i="39"/>
  <c r="I78" i="39" s="1"/>
  <c r="I81" i="39" s="1"/>
  <c r="O79" i="39"/>
  <c r="O78" i="39" s="1"/>
  <c r="H79" i="39"/>
  <c r="H78" i="39" s="1"/>
  <c r="H81" i="39" s="1"/>
  <c r="J79" i="39"/>
  <c r="J78" i="39" s="1"/>
  <c r="J81" i="39" s="1"/>
  <c r="G79" i="39"/>
  <c r="G78" i="39" s="1"/>
  <c r="G81" i="39" s="1"/>
  <c r="F79" i="39"/>
  <c r="F78" i="39" s="1"/>
  <c r="F81" i="39" s="1"/>
  <c r="L13" i="39"/>
  <c r="L85" i="14"/>
  <c r="K14" i="17"/>
  <c r="K16" i="17" s="1"/>
  <c r="K21" i="17"/>
  <c r="K22" i="17" s="1"/>
  <c r="J20" i="21" s="1"/>
  <c r="K15" i="17"/>
  <c r="K57" i="39"/>
  <c r="K47" i="39"/>
  <c r="G54" i="9"/>
  <c r="G56" i="9" s="1"/>
  <c r="F100" i="21" s="1"/>
  <c r="F108" i="21" s="1"/>
  <c r="O54" i="9"/>
  <c r="E54" i="9"/>
  <c r="E56" i="9" s="1"/>
  <c r="D100" i="21" s="1"/>
  <c r="K54" i="9"/>
  <c r="K56" i="9" s="1"/>
  <c r="J100" i="21" s="1"/>
  <c r="F54" i="9"/>
  <c r="F56" i="9" s="1"/>
  <c r="E100" i="21" s="1"/>
  <c r="L54" i="9"/>
  <c r="L56" i="9" s="1"/>
  <c r="K100" i="21" s="1"/>
  <c r="N54" i="9"/>
  <c r="N56" i="9" s="1"/>
  <c r="M100" i="21" s="1"/>
  <c r="H54" i="9"/>
  <c r="H56" i="9" s="1"/>
  <c r="G100" i="21" s="1"/>
  <c r="I54" i="9"/>
  <c r="I56" i="9" s="1"/>
  <c r="H100" i="21" s="1"/>
  <c r="M54" i="9"/>
  <c r="M56" i="9" s="1"/>
  <c r="L100" i="21" s="1"/>
  <c r="J54" i="9"/>
  <c r="J56" i="9" s="1"/>
  <c r="I100" i="21" s="1"/>
  <c r="J76" i="37"/>
  <c r="J85" i="37"/>
  <c r="F98" i="33"/>
  <c r="G98" i="33" s="1"/>
  <c r="H98" i="33" s="1"/>
  <c r="G97" i="33"/>
  <c r="H97" i="33" s="1"/>
  <c r="I97" i="33" s="1"/>
  <c r="J97" i="33" s="1"/>
  <c r="K97" i="33" s="1"/>
  <c r="L97" i="33" s="1"/>
  <c r="N78" i="37"/>
  <c r="N79" i="37" s="1"/>
  <c r="N73" i="37"/>
  <c r="N75" i="37" s="1"/>
  <c r="J76" i="9"/>
  <c r="I151" i="21"/>
  <c r="J85" i="9"/>
  <c r="L45" i="38"/>
  <c r="L46" i="38" s="1"/>
  <c r="K85" i="14"/>
  <c r="L181" i="21"/>
  <c r="K42" i="20"/>
  <c r="K44" i="20"/>
  <c r="N9" i="39"/>
  <c r="M17" i="39"/>
  <c r="M11" i="39"/>
  <c r="M20" i="39" s="1"/>
  <c r="K44" i="38"/>
  <c r="K42" i="38"/>
  <c r="S22" i="38" s="1"/>
  <c r="G19" i="12"/>
  <c r="F8" i="21"/>
  <c r="J82" i="21"/>
  <c r="K47" i="17"/>
  <c r="K57" i="17"/>
  <c r="N17" i="25"/>
  <c r="N18" i="25"/>
  <c r="O21" i="17"/>
  <c r="O22" i="17" s="1"/>
  <c r="N20" i="21" s="1"/>
  <c r="O14" i="17"/>
  <c r="O16" i="17" s="1"/>
  <c r="O15" i="17"/>
  <c r="O18" i="17" s="1"/>
  <c r="E79" i="12"/>
  <c r="E78" i="12" s="1"/>
  <c r="E81" i="12" s="1"/>
  <c r="D176" i="21" s="1"/>
  <c r="G79" i="12"/>
  <c r="G78" i="12" s="1"/>
  <c r="G81" i="12" s="1"/>
  <c r="F176" i="21" s="1"/>
  <c r="F79" i="12"/>
  <c r="F78" i="12" s="1"/>
  <c r="F81" i="12" s="1"/>
  <c r="E176" i="21" s="1"/>
  <c r="M79" i="12"/>
  <c r="M78" i="12" s="1"/>
  <c r="M81" i="12" s="1"/>
  <c r="L176" i="21" s="1"/>
  <c r="I79" i="12"/>
  <c r="I78" i="12" s="1"/>
  <c r="I81" i="12" s="1"/>
  <c r="H176" i="21" s="1"/>
  <c r="O79" i="12"/>
  <c r="O78" i="12" s="1"/>
  <c r="N79" i="12"/>
  <c r="N78" i="12" s="1"/>
  <c r="N81" i="12" s="1"/>
  <c r="M176" i="21" s="1"/>
  <c r="M181" i="21" s="1"/>
  <c r="J79" i="12"/>
  <c r="J78" i="12" s="1"/>
  <c r="J81" i="12" s="1"/>
  <c r="I176" i="21" s="1"/>
  <c r="I181" i="21" s="1"/>
  <c r="H79" i="12"/>
  <c r="H78" i="12" s="1"/>
  <c r="H81" i="12" s="1"/>
  <c r="G176" i="21" s="1"/>
  <c r="G181" i="21" s="1"/>
  <c r="L79" i="12"/>
  <c r="L78" i="12" s="1"/>
  <c r="L81" i="12" s="1"/>
  <c r="K176" i="21" s="1"/>
  <c r="K31" i="31" s="1"/>
  <c r="K79" i="12"/>
  <c r="K78" i="12" s="1"/>
  <c r="K81" i="12" s="1"/>
  <c r="J176" i="21" s="1"/>
  <c r="L17" i="20"/>
  <c r="N17" i="20"/>
  <c r="F17" i="20"/>
  <c r="G17" i="20"/>
  <c r="K17" i="20"/>
  <c r="E17" i="20"/>
  <c r="H17" i="20"/>
  <c r="M17" i="20"/>
  <c r="O17" i="20"/>
  <c r="K76" i="37"/>
  <c r="K85" i="37"/>
  <c r="M73" i="37"/>
  <c r="M75" i="37" s="1"/>
  <c r="M78" i="37"/>
  <c r="M79" i="37" s="1"/>
  <c r="I76" i="9"/>
  <c r="I85" i="9"/>
  <c r="H151" i="21"/>
  <c r="L44" i="37"/>
  <c r="O44" i="37"/>
  <c r="K42" i="37"/>
  <c r="K43" i="37" s="1"/>
  <c r="N44" i="37"/>
  <c r="K44" i="37"/>
  <c r="M44" i="37"/>
  <c r="L11" i="37"/>
  <c r="L21" i="37"/>
  <c r="G26" i="12"/>
  <c r="O38" i="20"/>
  <c r="D165" i="2" s="1"/>
  <c r="O49" i="20"/>
  <c r="O50" i="20" s="1"/>
  <c r="N90" i="21" s="1"/>
  <c r="D8" i="21"/>
  <c r="E19" i="12"/>
  <c r="E31" i="12"/>
  <c r="K11" i="9"/>
  <c r="K21" i="9"/>
  <c r="J60" i="31"/>
  <c r="D97" i="33"/>
  <c r="E97" i="33" s="1"/>
  <c r="C98" i="33"/>
  <c r="G13" i="31"/>
  <c r="O21" i="12"/>
  <c r="O15" i="12"/>
  <c r="F49" i="18"/>
  <c r="F58" i="18"/>
  <c r="E83" i="21"/>
  <c r="E13" i="31" s="1"/>
  <c r="F47" i="14"/>
  <c r="E80" i="21"/>
  <c r="F56" i="14"/>
  <c r="J58" i="18"/>
  <c r="J49" i="18"/>
  <c r="I83" i="21"/>
  <c r="I13" i="31" s="1"/>
  <c r="N21" i="37"/>
  <c r="N11" i="37"/>
  <c r="M31" i="31"/>
  <c r="G8" i="21"/>
  <c r="H19" i="12"/>
  <c r="J18" i="38"/>
  <c r="J19" i="38"/>
  <c r="G62" i="36"/>
  <c r="E19" i="39"/>
  <c r="E31" i="39"/>
  <c r="K11" i="37"/>
  <c r="K21" i="37"/>
  <c r="F46" i="37"/>
  <c r="F48" i="37" s="1"/>
  <c r="H46" i="37"/>
  <c r="H48" i="37" s="1"/>
  <c r="J46" i="37"/>
  <c r="J48" i="37" s="1"/>
  <c r="G46" i="37"/>
  <c r="G48" i="37" s="1"/>
  <c r="I46" i="37"/>
  <c r="I48" i="37" s="1"/>
  <c r="E46" i="37"/>
  <c r="E48" i="37" s="1"/>
  <c r="AC11" i="40"/>
  <c r="AD11" i="40" s="1"/>
  <c r="G26" i="39"/>
  <c r="AB17" i="40"/>
  <c r="AC8" i="40" s="1"/>
  <c r="AD8" i="40" s="1"/>
  <c r="AC7" i="40"/>
  <c r="AD7" i="40" s="1"/>
  <c r="M13" i="39"/>
  <c r="L17" i="25"/>
  <c r="L18" i="25" s="1"/>
  <c r="O83" i="17"/>
  <c r="D83" i="17" s="1"/>
  <c r="M14" i="17"/>
  <c r="M16" i="17" s="1"/>
  <c r="M21" i="17"/>
  <c r="M22" i="17" s="1"/>
  <c r="L20" i="21" s="1"/>
  <c r="M15" i="17"/>
  <c r="I17" i="25"/>
  <c r="I18" i="25" s="1"/>
  <c r="F25" i="20"/>
  <c r="F27" i="20" s="1"/>
  <c r="E28" i="21" s="1"/>
  <c r="H25" i="20"/>
  <c r="H27" i="20" s="1"/>
  <c r="G28" i="21" s="1"/>
  <c r="M25" i="20"/>
  <c r="M27" i="20" s="1"/>
  <c r="L28" i="21" s="1"/>
  <c r="L27" i="31" s="1"/>
  <c r="E25" i="20"/>
  <c r="E27" i="20" s="1"/>
  <c r="D28" i="21" s="1"/>
  <c r="J25" i="20"/>
  <c r="J27" i="20" s="1"/>
  <c r="I28" i="21" s="1"/>
  <c r="N25" i="20"/>
  <c r="N27" i="20" s="1"/>
  <c r="M28" i="21" s="1"/>
  <c r="I25" i="20"/>
  <c r="I27" i="20" s="1"/>
  <c r="H28" i="21" s="1"/>
  <c r="K25" i="20"/>
  <c r="K27" i="20" s="1"/>
  <c r="J28" i="21" s="1"/>
  <c r="G25" i="20"/>
  <c r="G27" i="20" s="1"/>
  <c r="F28" i="21" s="1"/>
  <c r="L25" i="20"/>
  <c r="L27" i="20" s="1"/>
  <c r="K28" i="21" s="1"/>
  <c r="O25" i="20"/>
  <c r="H46" i="9"/>
  <c r="H48" i="9" s="1"/>
  <c r="J46" i="9"/>
  <c r="J48" i="9" s="1"/>
  <c r="E46" i="9"/>
  <c r="E48" i="9" s="1"/>
  <c r="G46" i="9"/>
  <c r="G48" i="9" s="1"/>
  <c r="I46" i="9"/>
  <c r="I48" i="9" s="1"/>
  <c r="F46" i="9"/>
  <c r="F48" i="9" s="1"/>
  <c r="I85" i="37"/>
  <c r="I76" i="37"/>
  <c r="O78" i="37"/>
  <c r="O79" i="37" s="1"/>
  <c r="O73" i="37"/>
  <c r="O75" i="37" s="1"/>
  <c r="E85" i="9"/>
  <c r="D151" i="21"/>
  <c r="E76" i="9"/>
  <c r="N108" i="31"/>
  <c r="G7" i="21"/>
  <c r="H29" i="14"/>
  <c r="H20" i="14"/>
  <c r="O11" i="37"/>
  <c r="R11" i="37" s="1"/>
  <c r="R14" i="37" s="1"/>
  <c r="S14" i="37" s="1"/>
  <c r="T18" i="37" s="1"/>
  <c r="V16" i="37" s="1"/>
  <c r="O21" i="37"/>
  <c r="AC12" i="40"/>
  <c r="AD12" i="40" s="1"/>
  <c r="K181" i="21"/>
  <c r="G52" i="38"/>
  <c r="G54" i="38" s="1"/>
  <c r="H52" i="38"/>
  <c r="H54" i="38" s="1"/>
  <c r="O52" i="38"/>
  <c r="I52" i="38"/>
  <c r="I54" i="38" s="1"/>
  <c r="K52" i="38"/>
  <c r="K54" i="38" s="1"/>
  <c r="J52" i="38"/>
  <c r="J54" i="38" s="1"/>
  <c r="M52" i="38"/>
  <c r="M54" i="38" s="1"/>
  <c r="L52" i="38"/>
  <c r="L54" i="38" s="1"/>
  <c r="F52" i="38"/>
  <c r="F54" i="38" s="1"/>
  <c r="N52" i="38"/>
  <c r="N54" i="38" s="1"/>
  <c r="E52" i="38"/>
  <c r="E54" i="38" s="1"/>
  <c r="J17" i="25"/>
  <c r="J18" i="25"/>
  <c r="N13" i="20"/>
  <c r="J13" i="20"/>
  <c r="I13" i="20"/>
  <c r="K13" i="20"/>
  <c r="O13" i="20"/>
  <c r="L13" i="20"/>
  <c r="M13" i="20"/>
  <c r="I14" i="20"/>
  <c r="M38" i="20"/>
  <c r="M49" i="20"/>
  <c r="M50" i="20" s="1"/>
  <c r="L90" i="21" s="1"/>
  <c r="C58" i="33"/>
  <c r="D57" i="33"/>
  <c r="E57" i="33" s="1"/>
  <c r="I57" i="33" s="1"/>
  <c r="J57" i="33" s="1"/>
  <c r="K57" i="33" s="1"/>
  <c r="L57" i="33" s="1"/>
  <c r="J15" i="20"/>
  <c r="J17" i="20"/>
  <c r="J44" i="20"/>
  <c r="H44" i="20"/>
  <c r="N44" i="20"/>
  <c r="F44" i="20"/>
  <c r="G44" i="20"/>
  <c r="I44" i="20"/>
  <c r="E44" i="20"/>
  <c r="O44" i="20"/>
  <c r="M44" i="20"/>
  <c r="F19" i="12"/>
  <c r="E8" i="21"/>
  <c r="O77" i="18"/>
  <c r="N156" i="21"/>
  <c r="O83" i="18"/>
  <c r="O84" i="18" s="1"/>
  <c r="N178" i="21" s="1"/>
  <c r="M11" i="9"/>
  <c r="M21" i="9"/>
  <c r="L60" i="31"/>
  <c r="N38" i="38"/>
  <c r="N49" i="38"/>
  <c r="N50" i="38" s="1"/>
  <c r="H19" i="39"/>
  <c r="AB21" i="36"/>
  <c r="AC7" i="36"/>
  <c r="AD7" i="36" s="1"/>
  <c r="K13" i="39"/>
  <c r="O11" i="9"/>
  <c r="C164" i="2" s="1"/>
  <c r="F164" i="2" s="1"/>
  <c r="O21" i="9"/>
  <c r="N60" i="31"/>
  <c r="N15" i="14"/>
  <c r="K15" i="14"/>
  <c r="I15" i="14"/>
  <c r="O15" i="14"/>
  <c r="L15" i="14"/>
  <c r="M15" i="14"/>
  <c r="J15" i="14"/>
  <c r="I13" i="14"/>
  <c r="M72" i="20"/>
  <c r="M73" i="20"/>
  <c r="F76" i="37"/>
  <c r="F85" i="37"/>
  <c r="M17" i="25"/>
  <c r="M18" i="25" s="1"/>
  <c r="E151" i="21"/>
  <c r="F76" i="9"/>
  <c r="F85" i="9"/>
  <c r="O47" i="39"/>
  <c r="O54" i="39"/>
  <c r="O55" i="39" s="1"/>
  <c r="O57" i="39" s="1"/>
  <c r="E29" i="14"/>
  <c r="D7" i="21"/>
  <c r="E20" i="14"/>
  <c r="L47" i="17"/>
  <c r="L57" i="17"/>
  <c r="K82" i="21"/>
  <c r="L45" i="20"/>
  <c r="L46" i="20" s="1"/>
  <c r="F181" i="21"/>
  <c r="O44" i="38"/>
  <c r="N44" i="38"/>
  <c r="H44" i="38"/>
  <c r="M44" i="38"/>
  <c r="F44" i="38"/>
  <c r="E44" i="38"/>
  <c r="G44" i="38"/>
  <c r="I44" i="38"/>
  <c r="J44" i="38"/>
  <c r="I31" i="31"/>
  <c r="N114" i="31"/>
  <c r="AC121" i="31"/>
  <c r="AF121" i="31" s="1"/>
  <c r="K38" i="20"/>
  <c r="K49" i="20"/>
  <c r="K50" i="20" s="1"/>
  <c r="J90" i="21" s="1"/>
  <c r="K38" i="38"/>
  <c r="K49" i="38"/>
  <c r="K50" i="38" s="1"/>
  <c r="O52" i="20"/>
  <c r="F52" i="20"/>
  <c r="F54" i="20" s="1"/>
  <c r="E101" i="21" s="1"/>
  <c r="I52" i="20"/>
  <c r="I54" i="20" s="1"/>
  <c r="H101" i="21" s="1"/>
  <c r="G52" i="20"/>
  <c r="G54" i="20" s="1"/>
  <c r="F101" i="21" s="1"/>
  <c r="M52" i="20"/>
  <c r="M54" i="20" s="1"/>
  <c r="L101" i="21" s="1"/>
  <c r="H52" i="20"/>
  <c r="H54" i="20" s="1"/>
  <c r="G101" i="21" s="1"/>
  <c r="K52" i="20"/>
  <c r="K54" i="20" s="1"/>
  <c r="J101" i="21" s="1"/>
  <c r="N52" i="20"/>
  <c r="N54" i="20" s="1"/>
  <c r="M101" i="21" s="1"/>
  <c r="E52" i="20"/>
  <c r="E54" i="20" s="1"/>
  <c r="D101" i="21" s="1"/>
  <c r="J52" i="20"/>
  <c r="J54" i="20" s="1"/>
  <c r="I101" i="21" s="1"/>
  <c r="L52" i="20"/>
  <c r="L54" i="20" s="1"/>
  <c r="K101" i="21" s="1"/>
  <c r="O17" i="25"/>
  <c r="O18" i="25" s="1"/>
  <c r="L47" i="39"/>
  <c r="L57" i="39"/>
  <c r="E85" i="37"/>
  <c r="E76" i="37"/>
  <c r="H181" i="21"/>
  <c r="E47" i="14"/>
  <c r="E56" i="14"/>
  <c r="D80" i="21"/>
  <c r="N74" i="20"/>
  <c r="M152" i="21"/>
  <c r="N83" i="20"/>
  <c r="I21" i="12"/>
  <c r="I22" i="12" s="1"/>
  <c r="H19" i="21" s="1"/>
  <c r="I15" i="12"/>
  <c r="I18" i="12" s="1"/>
  <c r="I14" i="12"/>
  <c r="I16" i="12" s="1"/>
  <c r="K22" i="38"/>
  <c r="K23" i="38" s="1"/>
  <c r="K11" i="38"/>
  <c r="L54" i="37"/>
  <c r="L56" i="37" s="1"/>
  <c r="G54" i="37"/>
  <c r="G56" i="37" s="1"/>
  <c r="J54" i="37"/>
  <c r="J56" i="37" s="1"/>
  <c r="F54" i="37"/>
  <c r="F56" i="37" s="1"/>
  <c r="K54" i="37"/>
  <c r="K56" i="37" s="1"/>
  <c r="O54" i="37"/>
  <c r="M54" i="37"/>
  <c r="M56" i="37" s="1"/>
  <c r="I54" i="37"/>
  <c r="I56" i="37" s="1"/>
  <c r="N54" i="37"/>
  <c r="N56" i="37" s="1"/>
  <c r="E54" i="37"/>
  <c r="E56" i="37" s="1"/>
  <c r="H54" i="37"/>
  <c r="H56" i="37" s="1"/>
  <c r="F80" i="21"/>
  <c r="G47" i="14"/>
  <c r="G56" i="14"/>
  <c r="AB17" i="4"/>
  <c r="AC7" i="4"/>
  <c r="AD7" i="4" s="1"/>
  <c r="I21" i="39"/>
  <c r="I22" i="39" s="1"/>
  <c r="I14" i="39"/>
  <c r="I16" i="39" s="1"/>
  <c r="I15" i="39"/>
  <c r="F17" i="38"/>
  <c r="O17" i="38"/>
  <c r="H17" i="38"/>
  <c r="E17" i="38"/>
  <c r="L17" i="38"/>
  <c r="K17" i="38"/>
  <c r="N17" i="38"/>
  <c r="M17" i="38"/>
  <c r="G17" i="38"/>
  <c r="I11" i="9"/>
  <c r="I21" i="9"/>
  <c r="I12" i="9"/>
  <c r="H60" i="31"/>
  <c r="J14" i="17"/>
  <c r="J16" i="17" s="1"/>
  <c r="J21" i="17"/>
  <c r="J22" i="17" s="1"/>
  <c r="I20" i="21" s="1"/>
  <c r="J15" i="17"/>
  <c r="K42" i="9"/>
  <c r="K43" i="9" s="1"/>
  <c r="L44" i="9"/>
  <c r="K44" i="9"/>
  <c r="M44" i="9"/>
  <c r="O44" i="9"/>
  <c r="N44" i="9"/>
  <c r="M11" i="37"/>
  <c r="M21" i="37"/>
  <c r="H76" i="37"/>
  <c r="H85" i="37"/>
  <c r="AC17" i="36"/>
  <c r="AD17" i="36" s="1"/>
  <c r="J101" i="2"/>
  <c r="J99" i="2"/>
  <c r="J100" i="2"/>
  <c r="J98" i="2"/>
  <c r="C166" i="2"/>
  <c r="F166" i="2" s="1"/>
  <c r="O85" i="14"/>
  <c r="D29" i="31"/>
  <c r="E88" i="31" s="1"/>
  <c r="J21" i="37"/>
  <c r="J11" i="37"/>
  <c r="J12" i="37"/>
  <c r="J13" i="37" s="1"/>
  <c r="J14" i="37" s="1"/>
  <c r="H76" i="9"/>
  <c r="G151" i="21"/>
  <c r="H85" i="9"/>
  <c r="F7" i="21"/>
  <c r="F8" i="31" s="1"/>
  <c r="G29" i="14"/>
  <c r="G20" i="14"/>
  <c r="M67" i="12"/>
  <c r="O67" i="12"/>
  <c r="N67" i="12"/>
  <c r="D181" i="21"/>
  <c r="F26" i="12"/>
  <c r="F29" i="12" s="1"/>
  <c r="E30" i="21" s="1"/>
  <c r="E31" i="31" s="1"/>
  <c r="H31" i="31"/>
  <c r="L38" i="38"/>
  <c r="L49" i="38"/>
  <c r="L50" i="38" s="1"/>
  <c r="O54" i="25"/>
  <c r="N80" i="25"/>
  <c r="N71" i="25"/>
  <c r="M157" i="21"/>
  <c r="AC10" i="4"/>
  <c r="AD10" i="4" s="1"/>
  <c r="E58" i="42"/>
  <c r="E49" i="42"/>
  <c r="F31" i="39"/>
  <c r="F19" i="39"/>
  <c r="AB17" i="43"/>
  <c r="AC7" i="43"/>
  <c r="AD7" i="43" s="1"/>
  <c r="K21" i="12"/>
  <c r="K15" i="12"/>
  <c r="K18" i="12" s="1"/>
  <c r="K14" i="12"/>
  <c r="K16" i="12" s="1"/>
  <c r="M72" i="38"/>
  <c r="M73" i="38"/>
  <c r="L15" i="12"/>
  <c r="L14" i="12"/>
  <c r="L21" i="12"/>
  <c r="L22" i="12" s="1"/>
  <c r="K19" i="21" s="1"/>
  <c r="I22" i="38"/>
  <c r="I23" i="38" s="1"/>
  <c r="I11" i="38"/>
  <c r="K40" i="14"/>
  <c r="K42" i="14"/>
  <c r="N42" i="14"/>
  <c r="L42" i="14"/>
  <c r="M42" i="14"/>
  <c r="O42" i="14"/>
  <c r="AB17" i="35"/>
  <c r="AC12" i="35" s="1"/>
  <c r="AD12" i="35" s="1"/>
  <c r="AC7" i="35"/>
  <c r="AD7" i="35" s="1"/>
  <c r="J21" i="39"/>
  <c r="J22" i="39" s="1"/>
  <c r="J15" i="39"/>
  <c r="J14" i="39"/>
  <c r="J16" i="39" s="1"/>
  <c r="K17" i="25"/>
  <c r="K18" i="25"/>
  <c r="N25" i="38"/>
  <c r="N27" i="38" s="1"/>
  <c r="M25" i="38"/>
  <c r="M27" i="38" s="1"/>
  <c r="L25" i="38"/>
  <c r="L27" i="38" s="1"/>
  <c r="I25" i="38"/>
  <c r="I27" i="38" s="1"/>
  <c r="G25" i="38"/>
  <c r="G27" i="38" s="1"/>
  <c r="H25" i="38"/>
  <c r="H27" i="38" s="1"/>
  <c r="F25" i="38"/>
  <c r="F27" i="38" s="1"/>
  <c r="E25" i="38"/>
  <c r="E27" i="38" s="1"/>
  <c r="K25" i="38"/>
  <c r="K27" i="38" s="1"/>
  <c r="O25" i="38"/>
  <c r="J25" i="38"/>
  <c r="J27" i="38" s="1"/>
  <c r="N67" i="39"/>
  <c r="M67" i="39"/>
  <c r="O67" i="39"/>
  <c r="M86" i="39"/>
  <c r="I21" i="17"/>
  <c r="I22" i="17" s="1"/>
  <c r="H20" i="21" s="1"/>
  <c r="I14" i="17"/>
  <c r="I16" i="17" s="1"/>
  <c r="I15" i="17"/>
  <c r="I18" i="17" s="1"/>
  <c r="L76" i="37"/>
  <c r="L85" i="37"/>
  <c r="AC10" i="40"/>
  <c r="AD10" i="40" s="1"/>
  <c r="G76" i="9"/>
  <c r="F151" i="21"/>
  <c r="G85" i="9"/>
  <c r="N73" i="9"/>
  <c r="N75" i="9" s="1"/>
  <c r="N78" i="9"/>
  <c r="N79" i="9" s="1"/>
  <c r="M162" i="21" s="1"/>
  <c r="E7" i="21"/>
  <c r="E8" i="31" s="1"/>
  <c r="F20" i="14"/>
  <c r="F29" i="14"/>
  <c r="J181" i="21"/>
  <c r="M47" i="39"/>
  <c r="M57" i="39"/>
  <c r="J31" i="31"/>
  <c r="L31" i="31"/>
  <c r="O49" i="38"/>
  <c r="O50" i="38" s="1"/>
  <c r="O38" i="38"/>
  <c r="V15" i="38" s="1"/>
  <c r="AC11" i="35"/>
  <c r="AD11" i="35" s="1"/>
  <c r="O15" i="39"/>
  <c r="O21" i="39"/>
  <c r="E69" i="12"/>
  <c r="E72" i="12" s="1"/>
  <c r="G69" i="12"/>
  <c r="G72" i="12" s="1"/>
  <c r="F69" i="12"/>
  <c r="F72" i="12" s="1"/>
  <c r="L69" i="12"/>
  <c r="L72" i="12" s="1"/>
  <c r="I69" i="12"/>
  <c r="I72" i="12" s="1"/>
  <c r="H69" i="12"/>
  <c r="H72" i="12" s="1"/>
  <c r="J69" i="12"/>
  <c r="J72" i="12" s="1"/>
  <c r="K69" i="12"/>
  <c r="K72" i="12" s="1"/>
  <c r="D28" i="37"/>
  <c r="D27" i="37"/>
  <c r="D17" i="37"/>
  <c r="O78" i="9"/>
  <c r="O79" i="9" s="1"/>
  <c r="N162" i="21" s="1"/>
  <c r="O73" i="9"/>
  <c r="O75" i="9" s="1"/>
  <c r="L38" i="20"/>
  <c r="L49" i="20"/>
  <c r="L50" i="20" s="1"/>
  <c r="K90" i="21" s="1"/>
  <c r="M15" i="12"/>
  <c r="M14" i="12"/>
  <c r="M21" i="12"/>
  <c r="M22" i="38"/>
  <c r="M23" i="38" s="1"/>
  <c r="M11" i="38"/>
  <c r="P86" i="39"/>
  <c r="P87" i="39" s="1"/>
  <c r="S13" i="39" s="1"/>
  <c r="O22" i="38"/>
  <c r="O23" i="38" s="1"/>
  <c r="O11" i="38"/>
  <c r="V14" i="38" s="1"/>
  <c r="N11" i="38"/>
  <c r="N22" i="38"/>
  <c r="N23" i="38" s="1"/>
  <c r="L58" i="42"/>
  <c r="L49" i="42"/>
  <c r="I80" i="21"/>
  <c r="J47" i="14"/>
  <c r="J56" i="14"/>
  <c r="N157" i="21"/>
  <c r="O71" i="25"/>
  <c r="O77" i="25"/>
  <c r="O78" i="25" s="1"/>
  <c r="N179" i="21" s="1"/>
  <c r="O80" i="25"/>
  <c r="J14" i="12"/>
  <c r="J16" i="12" s="1"/>
  <c r="J21" i="12"/>
  <c r="J22" i="12" s="1"/>
  <c r="I19" i="21" s="1"/>
  <c r="J15" i="12"/>
  <c r="J22" i="38"/>
  <c r="J23" i="38" s="1"/>
  <c r="J11" i="38"/>
  <c r="N11" i="9"/>
  <c r="N21" i="9"/>
  <c r="M60" i="31"/>
  <c r="H47" i="14"/>
  <c r="H56" i="14"/>
  <c r="G80" i="21"/>
  <c r="L16" i="12"/>
  <c r="H26" i="39"/>
  <c r="H29" i="39" s="1"/>
  <c r="H31" i="39" s="1"/>
  <c r="E69" i="39"/>
  <c r="E72" i="39" s="1"/>
  <c r="F69" i="39"/>
  <c r="F72" i="39" s="1"/>
  <c r="H69" i="39"/>
  <c r="H72" i="39" s="1"/>
  <c r="G69" i="39"/>
  <c r="G72" i="39" s="1"/>
  <c r="L69" i="39"/>
  <c r="L72" i="39" s="1"/>
  <c r="J69" i="39"/>
  <c r="J72" i="39" s="1"/>
  <c r="I69" i="39"/>
  <c r="I72" i="39" s="1"/>
  <c r="K69" i="39"/>
  <c r="K72" i="39" s="1"/>
  <c r="N13" i="39"/>
  <c r="L14" i="17"/>
  <c r="L16" i="17" s="1"/>
  <c r="L21" i="17"/>
  <c r="L22" i="17" s="1"/>
  <c r="K20" i="21" s="1"/>
  <c r="L15" i="17"/>
  <c r="N82" i="21"/>
  <c r="O54" i="17"/>
  <c r="O55" i="17" s="1"/>
  <c r="N104" i="21" s="1"/>
  <c r="O47" i="17"/>
  <c r="G85" i="37"/>
  <c r="G76" i="37"/>
  <c r="K22" i="12"/>
  <c r="J19" i="21" s="1"/>
  <c r="AC10" i="36"/>
  <c r="AD10" i="36" s="1"/>
  <c r="N47" i="39"/>
  <c r="N57" i="39"/>
  <c r="N163" i="21"/>
  <c r="O83" i="20"/>
  <c r="H29" i="31"/>
  <c r="D27" i="9"/>
  <c r="D28" i="9"/>
  <c r="D17" i="9"/>
  <c r="J151" i="21"/>
  <c r="K76" i="9"/>
  <c r="K85" i="9"/>
  <c r="M73" i="9"/>
  <c r="M75" i="9" s="1"/>
  <c r="M78" i="9"/>
  <c r="M79" i="9" s="1"/>
  <c r="L162" i="21" s="1"/>
  <c r="AC12" i="43"/>
  <c r="AD12" i="43" s="1"/>
  <c r="E181" i="21"/>
  <c r="H26" i="12"/>
  <c r="H29" i="12" s="1"/>
  <c r="G30" i="21" s="1"/>
  <c r="G31" i="31" s="1"/>
  <c r="D31" i="31"/>
  <c r="L11" i="9"/>
  <c r="L21" i="9"/>
  <c r="K60" i="31"/>
  <c r="N49" i="20"/>
  <c r="N50" i="20" s="1"/>
  <c r="M90" i="21" s="1"/>
  <c r="N38" i="20"/>
  <c r="M38" i="38"/>
  <c r="M49" i="38"/>
  <c r="M50" i="38" s="1"/>
  <c r="M82" i="21"/>
  <c r="N47" i="17"/>
  <c r="N57" i="17"/>
  <c r="I11" i="37"/>
  <c r="I21" i="37"/>
  <c r="I12" i="37"/>
  <c r="K11" i="21" l="1"/>
  <c r="K14" i="31" s="1"/>
  <c r="L19" i="25"/>
  <c r="L28" i="25"/>
  <c r="M28" i="25"/>
  <c r="L11" i="21"/>
  <c r="L14" i="31" s="1"/>
  <c r="M19" i="25"/>
  <c r="H11" i="21"/>
  <c r="H14" i="31" s="1"/>
  <c r="I19" i="25"/>
  <c r="I28" i="25"/>
  <c r="K79" i="21"/>
  <c r="L47" i="20"/>
  <c r="L56" i="20"/>
  <c r="L47" i="38"/>
  <c r="L56" i="38"/>
  <c r="O25" i="25"/>
  <c r="O26" i="25" s="1"/>
  <c r="N33" i="21" s="1"/>
  <c r="O28" i="25"/>
  <c r="N11" i="21"/>
  <c r="N14" i="31" s="1"/>
  <c r="O19" i="25"/>
  <c r="N45" i="38"/>
  <c r="N46" i="38" s="1"/>
  <c r="I22" i="14"/>
  <c r="I23" i="14" s="1"/>
  <c r="H18" i="21" s="1"/>
  <c r="I17" i="14"/>
  <c r="I19" i="14" s="1"/>
  <c r="AC15" i="36"/>
  <c r="AD15" i="36" s="1"/>
  <c r="AC16" i="36"/>
  <c r="AD16" i="36" s="1"/>
  <c r="AC9" i="36"/>
  <c r="AD9" i="36" s="1"/>
  <c r="I45" i="20"/>
  <c r="I46" i="20" s="1"/>
  <c r="K11" i="20"/>
  <c r="J61" i="31" s="1"/>
  <c r="K22" i="20"/>
  <c r="K23" i="20" s="1"/>
  <c r="J17" i="21" s="1"/>
  <c r="G8" i="31"/>
  <c r="K27" i="31"/>
  <c r="G27" i="31"/>
  <c r="E49" i="37"/>
  <c r="E58" i="37"/>
  <c r="H31" i="12"/>
  <c r="M46" i="37"/>
  <c r="M48" i="37" s="1"/>
  <c r="M51" i="37"/>
  <c r="M52" i="37" s="1"/>
  <c r="N18" i="20"/>
  <c r="N19" i="20"/>
  <c r="K45" i="20"/>
  <c r="K46" i="20" s="1"/>
  <c r="G108" i="21"/>
  <c r="I18" i="38"/>
  <c r="I19" i="38" s="1"/>
  <c r="D58" i="18"/>
  <c r="H45" i="38"/>
  <c r="H46" i="38"/>
  <c r="E17" i="37"/>
  <c r="E19" i="37" s="1"/>
  <c r="F17" i="37"/>
  <c r="F19" i="37" s="1"/>
  <c r="G17" i="37"/>
  <c r="G19" i="37" s="1"/>
  <c r="H17" i="37"/>
  <c r="H19" i="37" s="1"/>
  <c r="F83" i="12"/>
  <c r="F73" i="12"/>
  <c r="E154" i="21"/>
  <c r="O49" i="14"/>
  <c r="O50" i="14" s="1"/>
  <c r="N91" i="21" s="1"/>
  <c r="O44" i="14"/>
  <c r="O46" i="14" s="1"/>
  <c r="O46" i="9"/>
  <c r="O48" i="9" s="1"/>
  <c r="O51" i="9"/>
  <c r="O52" i="9" s="1"/>
  <c r="N89" i="21" s="1"/>
  <c r="N97" i="21" s="1"/>
  <c r="L18" i="38"/>
  <c r="L19" i="38" s="1"/>
  <c r="J45" i="38"/>
  <c r="J46" i="38"/>
  <c r="O45" i="38"/>
  <c r="O46" i="38" s="1"/>
  <c r="D8" i="31"/>
  <c r="E159" i="21"/>
  <c r="E188" i="21" s="1"/>
  <c r="M74" i="20"/>
  <c r="M83" i="20"/>
  <c r="D83" i="20" s="1"/>
  <c r="L152" i="21"/>
  <c r="Q178" i="21" s="1"/>
  <c r="K22" i="14"/>
  <c r="K23" i="14" s="1"/>
  <c r="J18" i="21" s="1"/>
  <c r="K17" i="14"/>
  <c r="K19" i="14" s="1"/>
  <c r="AC14" i="36"/>
  <c r="AD14" i="36" s="1"/>
  <c r="AC8" i="36"/>
  <c r="AD8" i="36" s="1"/>
  <c r="AD21" i="36" s="1"/>
  <c r="G45" i="20"/>
  <c r="G46" i="20" s="1"/>
  <c r="D58" i="33"/>
  <c r="E58" i="33" s="1"/>
  <c r="I58" i="33" s="1"/>
  <c r="J58" i="33" s="1"/>
  <c r="K58" i="33" s="1"/>
  <c r="L58" i="33" s="1"/>
  <c r="C59" i="33"/>
  <c r="I11" i="20"/>
  <c r="H61" i="31" s="1"/>
  <c r="M62" i="4" s="1"/>
  <c r="I22" i="20"/>
  <c r="I23" i="20" s="1"/>
  <c r="H17" i="21" s="1"/>
  <c r="O76" i="37"/>
  <c r="O82" i="37"/>
  <c r="O83" i="37" s="1"/>
  <c r="O85" i="37"/>
  <c r="F49" i="9"/>
  <c r="E78" i="21"/>
  <c r="F58" i="9"/>
  <c r="F27" i="31"/>
  <c r="E27" i="31"/>
  <c r="I58" i="37"/>
  <c r="I49" i="37"/>
  <c r="K51" i="37"/>
  <c r="K52" i="37" s="1"/>
  <c r="K46" i="37"/>
  <c r="K48" i="37" s="1"/>
  <c r="O18" i="20"/>
  <c r="O19" i="20"/>
  <c r="L19" i="20"/>
  <c r="L18" i="20"/>
  <c r="M11" i="21"/>
  <c r="M14" i="31" s="1"/>
  <c r="N19" i="25"/>
  <c r="N28" i="25"/>
  <c r="AC10" i="35"/>
  <c r="AD10" i="35" s="1"/>
  <c r="M108" i="21"/>
  <c r="D57" i="39"/>
  <c r="G24" i="39"/>
  <c r="G29" i="39" s="1"/>
  <c r="G31" i="39" s="1"/>
  <c r="K111" i="31"/>
  <c r="N111" i="31" s="1"/>
  <c r="G24" i="12"/>
  <c r="G29" i="12" s="1"/>
  <c r="D80" i="25"/>
  <c r="N13" i="31"/>
  <c r="N18" i="38"/>
  <c r="N19" i="38" s="1"/>
  <c r="F18" i="20"/>
  <c r="F19" i="20"/>
  <c r="O26" i="32"/>
  <c r="Q26" i="32" s="1"/>
  <c r="X26" i="32" s="1"/>
  <c r="X40" i="32" s="1"/>
  <c r="C10" i="33" s="1"/>
  <c r="C18" i="33" s="1"/>
  <c r="F19" i="22"/>
  <c r="K109" i="31"/>
  <c r="J53" i="31"/>
  <c r="N21" i="39"/>
  <c r="N15" i="39"/>
  <c r="E73" i="39"/>
  <c r="E83" i="39"/>
  <c r="I27" i="37"/>
  <c r="I29" i="37" s="1"/>
  <c r="K27" i="37"/>
  <c r="K29" i="37" s="1"/>
  <c r="L27" i="37"/>
  <c r="L29" i="37" s="1"/>
  <c r="N27" i="37"/>
  <c r="N29" i="37" s="1"/>
  <c r="M27" i="37"/>
  <c r="M29" i="37" s="1"/>
  <c r="H27" i="37"/>
  <c r="H29" i="37" s="1"/>
  <c r="F27" i="37"/>
  <c r="F29" i="37" s="1"/>
  <c r="J27" i="37"/>
  <c r="J29" i="37" s="1"/>
  <c r="O27" i="37"/>
  <c r="G27" i="37"/>
  <c r="G29" i="37" s="1"/>
  <c r="E27" i="37"/>
  <c r="E29" i="37" s="1"/>
  <c r="G83" i="12"/>
  <c r="G73" i="12"/>
  <c r="F154" i="21"/>
  <c r="F10" i="31" s="1"/>
  <c r="J11" i="21"/>
  <c r="J14" i="31" s="1"/>
  <c r="K19" i="25"/>
  <c r="K28" i="25"/>
  <c r="M44" i="14"/>
  <c r="M46" i="14" s="1"/>
  <c r="M49" i="14"/>
  <c r="M50" i="14" s="1"/>
  <c r="L91" i="21" s="1"/>
  <c r="AC13" i="43"/>
  <c r="AD13" i="43" s="1"/>
  <c r="AC14" i="43"/>
  <c r="AD14" i="43" s="1"/>
  <c r="AC9" i="43"/>
  <c r="AD9" i="43" s="1"/>
  <c r="D12" i="33"/>
  <c r="F99" i="33" s="1"/>
  <c r="M51" i="9"/>
  <c r="M52" i="9" s="1"/>
  <c r="L89" i="21" s="1"/>
  <c r="L97" i="21" s="1"/>
  <c r="M46" i="9"/>
  <c r="M48" i="9" s="1"/>
  <c r="I15" i="9"/>
  <c r="I13" i="9"/>
  <c r="I14" i="9" s="1"/>
  <c r="K15" i="9"/>
  <c r="N15" i="9"/>
  <c r="M15" i="9"/>
  <c r="O15" i="9"/>
  <c r="L15" i="9"/>
  <c r="J15" i="9"/>
  <c r="E18" i="38"/>
  <c r="E19" i="38"/>
  <c r="AC14" i="4"/>
  <c r="AD14" i="4" s="1"/>
  <c r="AC13" i="4"/>
  <c r="AD13" i="4" s="1"/>
  <c r="AC9" i="4"/>
  <c r="AD9" i="4" s="1"/>
  <c r="I45" i="38"/>
  <c r="I46" i="38" s="1"/>
  <c r="N17" i="14"/>
  <c r="N19" i="14" s="1"/>
  <c r="N22" i="14"/>
  <c r="N23" i="14" s="1"/>
  <c r="M18" i="21" s="1"/>
  <c r="F31" i="12"/>
  <c r="F45" i="20"/>
  <c r="F46" i="20"/>
  <c r="J22" i="20"/>
  <c r="J23" i="20" s="1"/>
  <c r="I17" i="21" s="1"/>
  <c r="J11" i="20"/>
  <c r="I61" i="31" s="1"/>
  <c r="H78" i="21"/>
  <c r="I58" i="9"/>
  <c r="I49" i="9"/>
  <c r="J27" i="31"/>
  <c r="G49" i="37"/>
  <c r="G58" i="37"/>
  <c r="N51" i="37"/>
  <c r="N52" i="37" s="1"/>
  <c r="N46" i="37"/>
  <c r="N48" i="37" s="1"/>
  <c r="M85" i="37"/>
  <c r="M76" i="37"/>
  <c r="M18" i="20"/>
  <c r="M19" i="20" s="1"/>
  <c r="C233" i="2"/>
  <c r="AC15" i="43"/>
  <c r="AD15" i="43" s="1"/>
  <c r="K108" i="21"/>
  <c r="K18" i="17"/>
  <c r="K159" i="21"/>
  <c r="K188" i="21" s="1"/>
  <c r="G15" i="17"/>
  <c r="G18" i="17" s="1"/>
  <c r="F15" i="17"/>
  <c r="F18" i="17" s="1"/>
  <c r="E15" i="17"/>
  <c r="E18" i="17" s="1"/>
  <c r="H15" i="17"/>
  <c r="H18" i="17" s="1"/>
  <c r="O22" i="14"/>
  <c r="O23" i="14" s="1"/>
  <c r="N18" i="21" s="1"/>
  <c r="O17" i="14"/>
  <c r="O19" i="14" s="1"/>
  <c r="C232" i="2"/>
  <c r="H108" i="21"/>
  <c r="L21" i="39"/>
  <c r="L22" i="39" s="1"/>
  <c r="L14" i="39"/>
  <c r="L16" i="39" s="1"/>
  <c r="L15" i="39"/>
  <c r="L83" i="12"/>
  <c r="K154" i="21"/>
  <c r="L73" i="12"/>
  <c r="F159" i="21"/>
  <c r="F188" i="21" s="1"/>
  <c r="K73" i="39"/>
  <c r="K83" i="39"/>
  <c r="E83" i="12"/>
  <c r="E73" i="12"/>
  <c r="D154" i="21"/>
  <c r="D159" i="21" s="1"/>
  <c r="D188" i="21" s="1"/>
  <c r="L49" i="14"/>
  <c r="L50" i="14" s="1"/>
  <c r="K91" i="21" s="1"/>
  <c r="L44" i="14"/>
  <c r="L46" i="14" s="1"/>
  <c r="L18" i="12"/>
  <c r="N69" i="12"/>
  <c r="N68" i="12"/>
  <c r="N70" i="12" s="1"/>
  <c r="N75" i="12"/>
  <c r="N76" i="12" s="1"/>
  <c r="M165" i="21" s="1"/>
  <c r="K46" i="9"/>
  <c r="K48" i="9" s="1"/>
  <c r="K51" i="9"/>
  <c r="K52" i="9" s="1"/>
  <c r="J89" i="21" s="1"/>
  <c r="J97" i="21" s="1"/>
  <c r="H18" i="38"/>
  <c r="H19" i="38"/>
  <c r="AC8" i="4"/>
  <c r="AD8" i="4" s="1"/>
  <c r="AD17" i="4" s="1"/>
  <c r="G45" i="38"/>
  <c r="G46" i="38"/>
  <c r="I14" i="14"/>
  <c r="I89" i="14"/>
  <c r="AC11" i="43"/>
  <c r="AD11" i="43" s="1"/>
  <c r="E10" i="31"/>
  <c r="N45" i="20"/>
  <c r="N46" i="20"/>
  <c r="N22" i="20"/>
  <c r="N23" i="20" s="1"/>
  <c r="M17" i="21" s="1"/>
  <c r="N11" i="20"/>
  <c r="M61" i="31" s="1"/>
  <c r="F78" i="21"/>
  <c r="G58" i="9"/>
  <c r="G49" i="9"/>
  <c r="H27" i="31"/>
  <c r="M21" i="39"/>
  <c r="M15" i="39"/>
  <c r="M14" i="39"/>
  <c r="M16" i="39" s="1"/>
  <c r="J58" i="37"/>
  <c r="J49" i="37"/>
  <c r="AC11" i="36"/>
  <c r="AD11" i="36" s="1"/>
  <c r="C99" i="33"/>
  <c r="D98" i="33"/>
  <c r="E98" i="33" s="1"/>
  <c r="I98" i="33" s="1"/>
  <c r="J98" i="33" s="1"/>
  <c r="K98" i="33" s="1"/>
  <c r="L98" i="33" s="1"/>
  <c r="H18" i="20"/>
  <c r="H19" i="20" s="1"/>
  <c r="E108" i="21"/>
  <c r="K19" i="12"/>
  <c r="K31" i="12"/>
  <c r="J8" i="21"/>
  <c r="E45" i="20"/>
  <c r="E46" i="20" s="1"/>
  <c r="O11" i="20"/>
  <c r="O22" i="20"/>
  <c r="O23" i="20" s="1"/>
  <c r="N17" i="21" s="1"/>
  <c r="D58" i="42"/>
  <c r="M15" i="37"/>
  <c r="I13" i="37"/>
  <c r="I14" i="37" s="1"/>
  <c r="O15" i="37"/>
  <c r="I15" i="37"/>
  <c r="L15" i="37"/>
  <c r="K15" i="37"/>
  <c r="J15" i="37"/>
  <c r="N15" i="37"/>
  <c r="E17" i="9"/>
  <c r="E19" i="9" s="1"/>
  <c r="G17" i="9"/>
  <c r="G19" i="9" s="1"/>
  <c r="H17" i="9"/>
  <c r="H19" i="9" s="1"/>
  <c r="F17" i="9"/>
  <c r="F19" i="9" s="1"/>
  <c r="I73" i="39"/>
  <c r="I83" i="39"/>
  <c r="K83" i="12"/>
  <c r="J154" i="21"/>
  <c r="J159" i="21" s="1"/>
  <c r="J188" i="21" s="1"/>
  <c r="K73" i="12"/>
  <c r="O68" i="39"/>
  <c r="O70" i="39" s="1"/>
  <c r="O75" i="39"/>
  <c r="O76" i="39" s="1"/>
  <c r="O69" i="39"/>
  <c r="N44" i="14"/>
  <c r="N46" i="14" s="1"/>
  <c r="N49" i="14"/>
  <c r="N50" i="14" s="1"/>
  <c r="M91" i="21" s="1"/>
  <c r="M74" i="38"/>
  <c r="M83" i="38"/>
  <c r="D83" i="38" s="1"/>
  <c r="O69" i="12"/>
  <c r="O68" i="12"/>
  <c r="O70" i="12" s="1"/>
  <c r="O75" i="12"/>
  <c r="O76" i="12" s="1"/>
  <c r="N165" i="21" s="1"/>
  <c r="N170" i="21" s="1"/>
  <c r="L46" i="9"/>
  <c r="L48" i="9" s="1"/>
  <c r="L51" i="9"/>
  <c r="L52" i="9" s="1"/>
  <c r="K89" i="21" s="1"/>
  <c r="O18" i="38"/>
  <c r="O19" i="38"/>
  <c r="I19" i="12"/>
  <c r="H8" i="21"/>
  <c r="I31" i="12"/>
  <c r="AC8" i="43"/>
  <c r="AD8" i="43" s="1"/>
  <c r="AD17" i="43" s="1"/>
  <c r="E46" i="38"/>
  <c r="E45" i="38"/>
  <c r="J17" i="14"/>
  <c r="J19" i="14" s="1"/>
  <c r="J22" i="14"/>
  <c r="J23" i="14" s="1"/>
  <c r="I18" i="21" s="1"/>
  <c r="H45" i="20"/>
  <c r="H46" i="20" s="1"/>
  <c r="I15" i="20"/>
  <c r="I17" i="20"/>
  <c r="I11" i="21"/>
  <c r="I14" i="31" s="1"/>
  <c r="J19" i="25"/>
  <c r="J28" i="25"/>
  <c r="D78" i="21"/>
  <c r="E49" i="9"/>
  <c r="E58" i="9"/>
  <c r="M27" i="31"/>
  <c r="H58" i="37"/>
  <c r="H49" i="37"/>
  <c r="J29" i="38"/>
  <c r="J20" i="38"/>
  <c r="O46" i="37"/>
  <c r="O48" i="37" s="1"/>
  <c r="O51" i="37"/>
  <c r="O52" i="37" s="1"/>
  <c r="AC10" i="43"/>
  <c r="AD10" i="43" s="1"/>
  <c r="E18" i="20"/>
  <c r="E19" i="20"/>
  <c r="K45" i="38"/>
  <c r="K46" i="38" s="1"/>
  <c r="J108" i="21"/>
  <c r="M22" i="12"/>
  <c r="L19" i="21" s="1"/>
  <c r="D54" i="25"/>
  <c r="M13" i="31"/>
  <c r="H154" i="21"/>
  <c r="I83" i="12"/>
  <c r="I73" i="12"/>
  <c r="N31" i="17"/>
  <c r="N19" i="17"/>
  <c r="M9" i="21"/>
  <c r="M11" i="31" s="1"/>
  <c r="M85" i="9"/>
  <c r="D85" i="9" s="1"/>
  <c r="L151" i="21"/>
  <c r="M76" i="9"/>
  <c r="H73" i="39"/>
  <c r="H83" i="39"/>
  <c r="AC13" i="35"/>
  <c r="AD13" i="35" s="1"/>
  <c r="AC9" i="35"/>
  <c r="AD9" i="35" s="1"/>
  <c r="AC14" i="35"/>
  <c r="AD14" i="35" s="1"/>
  <c r="N51" i="9"/>
  <c r="N52" i="9" s="1"/>
  <c r="M89" i="21" s="1"/>
  <c r="N46" i="9"/>
  <c r="N48" i="9" s="1"/>
  <c r="K18" i="38"/>
  <c r="K19" i="38"/>
  <c r="F73" i="39"/>
  <c r="F83" i="39"/>
  <c r="O57" i="17"/>
  <c r="J73" i="39"/>
  <c r="J83" i="39"/>
  <c r="I154" i="21"/>
  <c r="I159" i="21" s="1"/>
  <c r="I188" i="21" s="1"/>
  <c r="J73" i="12"/>
  <c r="J83" i="12"/>
  <c r="M170" i="21"/>
  <c r="M75" i="39"/>
  <c r="M76" i="39" s="1"/>
  <c r="M68" i="39"/>
  <c r="M70" i="39" s="1"/>
  <c r="M69" i="39"/>
  <c r="M72" i="39" s="1"/>
  <c r="J18" i="39"/>
  <c r="K44" i="14"/>
  <c r="K46" i="14" s="1"/>
  <c r="K49" i="14"/>
  <c r="K50" i="14" s="1"/>
  <c r="J91" i="21" s="1"/>
  <c r="M75" i="12"/>
  <c r="M76" i="12" s="1"/>
  <c r="L165" i="21" s="1"/>
  <c r="L170" i="21" s="1"/>
  <c r="M69" i="12"/>
  <c r="M68" i="12"/>
  <c r="M70" i="12" s="1"/>
  <c r="G18" i="38"/>
  <c r="G19" i="38"/>
  <c r="F18" i="38"/>
  <c r="F19" i="38"/>
  <c r="F45" i="38"/>
  <c r="F46" i="38" s="1"/>
  <c r="AC15" i="35"/>
  <c r="AD15" i="35" s="1"/>
  <c r="M22" i="14"/>
  <c r="M23" i="14" s="1"/>
  <c r="L18" i="21" s="1"/>
  <c r="M17" i="14"/>
  <c r="M19" i="14" s="1"/>
  <c r="O86" i="18"/>
  <c r="D86" i="18" s="1"/>
  <c r="M45" i="20"/>
  <c r="M46" i="20"/>
  <c r="J46" i="20"/>
  <c r="J45" i="20"/>
  <c r="M22" i="20"/>
  <c r="M23" i="20" s="1"/>
  <c r="L17" i="21" s="1"/>
  <c r="M11" i="20"/>
  <c r="L61" i="31" s="1"/>
  <c r="I78" i="21"/>
  <c r="J58" i="9"/>
  <c r="J49" i="9"/>
  <c r="I27" i="31"/>
  <c r="M18" i="17"/>
  <c r="AC14" i="40"/>
  <c r="AD14" i="40" s="1"/>
  <c r="AC13" i="40"/>
  <c r="AD13" i="40" s="1"/>
  <c r="AC9" i="40"/>
  <c r="AD9" i="40" s="1"/>
  <c r="AD17" i="40" s="1"/>
  <c r="F49" i="37"/>
  <c r="F58" i="37"/>
  <c r="AC8" i="35"/>
  <c r="AD8" i="35" s="1"/>
  <c r="AD17" i="35" s="1"/>
  <c r="L46" i="37"/>
  <c r="L48" i="37" s="1"/>
  <c r="L51" i="37"/>
  <c r="L52" i="37" s="1"/>
  <c r="K19" i="20"/>
  <c r="K18" i="20"/>
  <c r="N9" i="21"/>
  <c r="N11" i="31" s="1"/>
  <c r="O19" i="17"/>
  <c r="O28" i="17"/>
  <c r="O29" i="17" s="1"/>
  <c r="N31" i="21" s="1"/>
  <c r="D57" i="17"/>
  <c r="M22" i="39"/>
  <c r="N85" i="37"/>
  <c r="D85" i="37" s="1"/>
  <c r="N76" i="37"/>
  <c r="I108" i="21"/>
  <c r="D108" i="21"/>
  <c r="M16" i="12"/>
  <c r="M18" i="12" s="1"/>
  <c r="G83" i="39"/>
  <c r="G73" i="39"/>
  <c r="O82" i="9"/>
  <c r="O83" i="9" s="1"/>
  <c r="N173" i="21" s="1"/>
  <c r="O85" i="9"/>
  <c r="N151" i="21"/>
  <c r="O76" i="9"/>
  <c r="O9" i="39"/>
  <c r="N17" i="39"/>
  <c r="N11" i="39"/>
  <c r="N20" i="39" s="1"/>
  <c r="N22" i="39" s="1"/>
  <c r="I19" i="17"/>
  <c r="I31" i="17"/>
  <c r="H9" i="21"/>
  <c r="H11" i="31" s="1"/>
  <c r="M27" i="9"/>
  <c r="M29" i="9" s="1"/>
  <c r="L27" i="21" s="1"/>
  <c r="J27" i="9"/>
  <c r="J29" i="9" s="1"/>
  <c r="I27" i="21" s="1"/>
  <c r="I27" i="9"/>
  <c r="I29" i="9" s="1"/>
  <c r="H27" i="21" s="1"/>
  <c r="H27" i="9"/>
  <c r="H29" i="9" s="1"/>
  <c r="G27" i="21" s="1"/>
  <c r="K27" i="9"/>
  <c r="K29" i="9" s="1"/>
  <c r="J27" i="21" s="1"/>
  <c r="G27" i="9"/>
  <c r="G29" i="9" s="1"/>
  <c r="F27" i="21" s="1"/>
  <c r="L27" i="9"/>
  <c r="L29" i="9" s="1"/>
  <c r="K27" i="21" s="1"/>
  <c r="F27" i="9"/>
  <c r="F29" i="9" s="1"/>
  <c r="E27" i="21" s="1"/>
  <c r="E27" i="9"/>
  <c r="E29" i="9" s="1"/>
  <c r="D27" i="21" s="1"/>
  <c r="O27" i="9"/>
  <c r="N27" i="9"/>
  <c r="N29" i="9" s="1"/>
  <c r="M27" i="21" s="1"/>
  <c r="L18" i="17"/>
  <c r="L83" i="39"/>
  <c r="L73" i="39"/>
  <c r="J18" i="12"/>
  <c r="H73" i="12"/>
  <c r="G154" i="21"/>
  <c r="G10" i="31" s="1"/>
  <c r="H83" i="12"/>
  <c r="M151" i="21"/>
  <c r="N85" i="9"/>
  <c r="N76" i="9"/>
  <c r="N68" i="39"/>
  <c r="N70" i="39" s="1"/>
  <c r="N75" i="39"/>
  <c r="N76" i="39" s="1"/>
  <c r="N69" i="39"/>
  <c r="K89" i="14"/>
  <c r="K41" i="14"/>
  <c r="J18" i="17"/>
  <c r="M19" i="38"/>
  <c r="M18" i="38"/>
  <c r="I18" i="39"/>
  <c r="M45" i="38"/>
  <c r="M46" i="38"/>
  <c r="L17" i="14"/>
  <c r="L19" i="14" s="1"/>
  <c r="L22" i="14"/>
  <c r="L23" i="14" s="1"/>
  <c r="K18" i="21" s="1"/>
  <c r="K14" i="39"/>
  <c r="K16" i="39" s="1"/>
  <c r="K15" i="39"/>
  <c r="K21" i="39"/>
  <c r="K22" i="39" s="1"/>
  <c r="O45" i="20"/>
  <c r="O46" i="20"/>
  <c r="J18" i="20"/>
  <c r="J19" i="20" s="1"/>
  <c r="L22" i="20"/>
  <c r="L23" i="20" s="1"/>
  <c r="K17" i="21" s="1"/>
  <c r="L11" i="20"/>
  <c r="K61" i="31" s="1"/>
  <c r="AC15" i="4"/>
  <c r="AD15" i="4" s="1"/>
  <c r="H58" i="9"/>
  <c r="H49" i="9"/>
  <c r="G78" i="21"/>
  <c r="D27" i="31"/>
  <c r="H159" i="21"/>
  <c r="H188" i="21" s="1"/>
  <c r="AC15" i="40"/>
  <c r="AD15" i="40" s="1"/>
  <c r="G18" i="20"/>
  <c r="G19" i="20"/>
  <c r="AC12" i="4"/>
  <c r="AD12" i="4" s="1"/>
  <c r="L108" i="21"/>
  <c r="O9" i="12"/>
  <c r="N11" i="12"/>
  <c r="N17" i="12"/>
  <c r="L6" i="21" l="1"/>
  <c r="M20" i="20"/>
  <c r="M29" i="20"/>
  <c r="N62" i="4"/>
  <c r="N67" i="4" s="1"/>
  <c r="M67" i="4"/>
  <c r="O68" i="4" s="1"/>
  <c r="O62" i="4"/>
  <c r="O67" i="4" s="1"/>
  <c r="L29" i="38"/>
  <c r="L20" i="38"/>
  <c r="J79" i="21"/>
  <c r="K56" i="20"/>
  <c r="K47" i="20"/>
  <c r="J29" i="20"/>
  <c r="I6" i="21"/>
  <c r="J20" i="20"/>
  <c r="I47" i="38"/>
  <c r="I56" i="38"/>
  <c r="E47" i="20"/>
  <c r="E56" i="20"/>
  <c r="D79" i="21"/>
  <c r="L8" i="21"/>
  <c r="M19" i="12"/>
  <c r="M31" i="12"/>
  <c r="N20" i="38"/>
  <c r="N29" i="38"/>
  <c r="G47" i="20"/>
  <c r="G56" i="20"/>
  <c r="F79" i="21"/>
  <c r="H47" i="20"/>
  <c r="H56" i="20"/>
  <c r="G79" i="21"/>
  <c r="J192" i="21"/>
  <c r="C221" i="2"/>
  <c r="Q96" i="21"/>
  <c r="Q23" i="21"/>
  <c r="Q169" i="21"/>
  <c r="N56" i="38"/>
  <c r="N47" i="38"/>
  <c r="K56" i="38"/>
  <c r="K47" i="38"/>
  <c r="G6" i="21"/>
  <c r="G6" i="31" s="1"/>
  <c r="H29" i="20"/>
  <c r="H20" i="20"/>
  <c r="O47" i="38"/>
  <c r="O53" i="38"/>
  <c r="O54" i="38" s="1"/>
  <c r="O56" i="38" s="1"/>
  <c r="F56" i="38"/>
  <c r="F47" i="38"/>
  <c r="H79" i="21"/>
  <c r="I47" i="20"/>
  <c r="I56" i="20"/>
  <c r="I192" i="21"/>
  <c r="D192" i="21"/>
  <c r="I20" i="38"/>
  <c r="I29" i="38"/>
  <c r="L58" i="37"/>
  <c r="L49" i="37"/>
  <c r="H19" i="17"/>
  <c r="H31" i="17"/>
  <c r="G9" i="21"/>
  <c r="G11" i="31" s="1"/>
  <c r="F47" i="20"/>
  <c r="E79" i="21"/>
  <c r="E86" i="21" s="1"/>
  <c r="E115" i="21" s="1"/>
  <c r="F56" i="20"/>
  <c r="M35" i="21"/>
  <c r="M26" i="31"/>
  <c r="M41" i="31" s="1"/>
  <c r="M47" i="31" s="1"/>
  <c r="M18" i="39"/>
  <c r="C60" i="33"/>
  <c r="D59" i="33"/>
  <c r="E59" i="33" s="1"/>
  <c r="I59" i="33" s="1"/>
  <c r="J59" i="33" s="1"/>
  <c r="K59" i="33" s="1"/>
  <c r="L59" i="33" s="1"/>
  <c r="N20" i="20"/>
  <c r="M6" i="21"/>
  <c r="N29" i="20"/>
  <c r="G86" i="21"/>
  <c r="G115" i="21" s="1"/>
  <c r="I35" i="21"/>
  <c r="I26" i="31"/>
  <c r="I41" i="31" s="1"/>
  <c r="I47" i="31" s="1"/>
  <c r="O31" i="17"/>
  <c r="G29" i="38"/>
  <c r="G20" i="38"/>
  <c r="M83" i="39"/>
  <c r="M73" i="39"/>
  <c r="N49" i="9"/>
  <c r="N58" i="9"/>
  <c r="M78" i="21"/>
  <c r="E29" i="20"/>
  <c r="E20" i="20"/>
  <c r="D6" i="21"/>
  <c r="L49" i="9"/>
  <c r="K78" i="21"/>
  <c r="L58" i="9"/>
  <c r="O72" i="39"/>
  <c r="E20" i="9"/>
  <c r="D5" i="21"/>
  <c r="E31" i="9"/>
  <c r="D10" i="31"/>
  <c r="G159" i="21"/>
  <c r="G188" i="21" s="1"/>
  <c r="F31" i="17"/>
  <c r="F19" i="17"/>
  <c r="E9" i="21"/>
  <c r="E11" i="31" s="1"/>
  <c r="N17" i="9"/>
  <c r="N19" i="9" s="1"/>
  <c r="N22" i="9"/>
  <c r="N23" i="9" s="1"/>
  <c r="M16" i="21" s="1"/>
  <c r="K58" i="37"/>
  <c r="K49" i="37"/>
  <c r="H20" i="37"/>
  <c r="H31" i="37"/>
  <c r="O17" i="12"/>
  <c r="O11" i="12"/>
  <c r="K9" i="21"/>
  <c r="K11" i="31" s="1"/>
  <c r="L31" i="17"/>
  <c r="L19" i="17"/>
  <c r="M47" i="20"/>
  <c r="L79" i="21"/>
  <c r="M56" i="20"/>
  <c r="I18" i="20"/>
  <c r="I19" i="20"/>
  <c r="C165" i="2"/>
  <c r="F165" i="2" s="1"/>
  <c r="N61" i="31"/>
  <c r="E86" i="31" s="1"/>
  <c r="H35" i="21"/>
  <c r="H26" i="31"/>
  <c r="H41" i="31" s="1"/>
  <c r="H47" i="31" s="1"/>
  <c r="M80" i="21"/>
  <c r="N47" i="14"/>
  <c r="N56" i="14"/>
  <c r="F192" i="21"/>
  <c r="F100" i="33"/>
  <c r="G100" i="33" s="1"/>
  <c r="H100" i="33" s="1"/>
  <c r="G99" i="33"/>
  <c r="H99" i="33" s="1"/>
  <c r="N109" i="31"/>
  <c r="AC119" i="31"/>
  <c r="M62" i="35"/>
  <c r="N79" i="21"/>
  <c r="O47" i="20"/>
  <c r="O53" i="20"/>
  <c r="O54" i="20" s="1"/>
  <c r="N101" i="21" s="1"/>
  <c r="N72" i="39"/>
  <c r="D35" i="21"/>
  <c r="D26" i="31"/>
  <c r="L35" i="21"/>
  <c r="L26" i="31"/>
  <c r="L41" i="31" s="1"/>
  <c r="L47" i="31" s="1"/>
  <c r="D11" i="33"/>
  <c r="F60" i="33" s="1"/>
  <c r="M29" i="14"/>
  <c r="L7" i="21"/>
  <c r="L8" i="31" s="1"/>
  <c r="M20" i="14"/>
  <c r="M97" i="21"/>
  <c r="H10" i="31"/>
  <c r="M22" i="37"/>
  <c r="M23" i="37" s="1"/>
  <c r="M17" i="37"/>
  <c r="M19" i="37" s="1"/>
  <c r="J10" i="31"/>
  <c r="G31" i="17"/>
  <c r="G19" i="17"/>
  <c r="F9" i="21"/>
  <c r="F11" i="31" s="1"/>
  <c r="K22" i="9"/>
  <c r="K23" i="9" s="1"/>
  <c r="J16" i="21" s="1"/>
  <c r="J24" i="21" s="1"/>
  <c r="K17" i="9"/>
  <c r="K19" i="9" s="1"/>
  <c r="C19" i="33"/>
  <c r="D18" i="33"/>
  <c r="E18" i="33" s="1"/>
  <c r="I18" i="33" s="1"/>
  <c r="J18" i="33" s="1"/>
  <c r="K18" i="33" s="1"/>
  <c r="L18" i="33" s="1"/>
  <c r="O49" i="9"/>
  <c r="N78" i="21"/>
  <c r="N86" i="21" s="1"/>
  <c r="O55" i="9"/>
  <c r="O56" i="9" s="1"/>
  <c r="N100" i="21" s="1"/>
  <c r="O58" i="9"/>
  <c r="G20" i="37"/>
  <c r="G31" i="37"/>
  <c r="L20" i="14"/>
  <c r="L29" i="14"/>
  <c r="K7" i="21"/>
  <c r="O17" i="39"/>
  <c r="O11" i="39"/>
  <c r="G56" i="38"/>
  <c r="G47" i="38"/>
  <c r="E26" i="31"/>
  <c r="E41" i="31" s="1"/>
  <c r="E47" i="31" s="1"/>
  <c r="E35" i="21"/>
  <c r="N17" i="37"/>
  <c r="N19" i="37" s="1"/>
  <c r="N22" i="37"/>
  <c r="N23" i="37" s="1"/>
  <c r="D99" i="33"/>
  <c r="E99" i="33" s="1"/>
  <c r="C100" i="33"/>
  <c r="K192" i="21"/>
  <c r="N20" i="14"/>
  <c r="N29" i="14"/>
  <c r="M7" i="21"/>
  <c r="M8" i="31" s="1"/>
  <c r="E20" i="38"/>
  <c r="E29" i="38"/>
  <c r="N14" i="39"/>
  <c r="N16" i="39" s="1"/>
  <c r="F20" i="20"/>
  <c r="E6" i="21"/>
  <c r="F29" i="20"/>
  <c r="F30" i="21"/>
  <c r="F31" i="31" s="1"/>
  <c r="E90" i="31" s="1"/>
  <c r="G31" i="12"/>
  <c r="E192" i="21"/>
  <c r="F20" i="37"/>
  <c r="F31" i="37"/>
  <c r="M49" i="37"/>
  <c r="M58" i="37"/>
  <c r="K56" i="14"/>
  <c r="D56" i="14" s="1"/>
  <c r="J80" i="21"/>
  <c r="K47" i="14"/>
  <c r="K20" i="38"/>
  <c r="K29" i="38"/>
  <c r="E56" i="38"/>
  <c r="E47" i="38"/>
  <c r="I22" i="37"/>
  <c r="I23" i="37" s="1"/>
  <c r="I17" i="37"/>
  <c r="I19" i="37" s="1"/>
  <c r="O22" i="9"/>
  <c r="O23" i="9" s="1"/>
  <c r="N16" i="21" s="1"/>
  <c r="O17" i="9"/>
  <c r="O19" i="9" s="1"/>
  <c r="O20" i="20"/>
  <c r="N6" i="21"/>
  <c r="N6" i="31" s="1"/>
  <c r="O26" i="20"/>
  <c r="O27" i="20" s="1"/>
  <c r="N28" i="21" s="1"/>
  <c r="O29" i="20"/>
  <c r="J56" i="38"/>
  <c r="J47" i="38"/>
  <c r="J19" i="39"/>
  <c r="J31" i="39"/>
  <c r="D86" i="21"/>
  <c r="D115" i="21" s="1"/>
  <c r="G20" i="9"/>
  <c r="F5" i="21"/>
  <c r="G31" i="9"/>
  <c r="M79" i="21"/>
  <c r="N47" i="20"/>
  <c r="N56" i="20"/>
  <c r="K18" i="39"/>
  <c r="J31" i="12"/>
  <c r="J19" i="12"/>
  <c r="I8" i="21"/>
  <c r="I10" i="31" s="1"/>
  <c r="K35" i="21"/>
  <c r="K26" i="31"/>
  <c r="K41" i="31" s="1"/>
  <c r="K47" i="31" s="1"/>
  <c r="M72" i="12"/>
  <c r="O26" i="38"/>
  <c r="O27" i="38" s="1"/>
  <c r="O29" i="38" s="1"/>
  <c r="O20" i="38"/>
  <c r="O72" i="12"/>
  <c r="J22" i="37"/>
  <c r="J23" i="37" s="1"/>
  <c r="J17" i="37"/>
  <c r="J19" i="37" s="1"/>
  <c r="H29" i="38"/>
  <c r="H20" i="38"/>
  <c r="N72" i="12"/>
  <c r="O26" i="14"/>
  <c r="O27" i="14" s="1"/>
  <c r="N29" i="21" s="1"/>
  <c r="N7" i="21"/>
  <c r="N8" i="31" s="1"/>
  <c r="O20" i="14"/>
  <c r="H86" i="21"/>
  <c r="H115" i="21" s="1"/>
  <c r="I17" i="9"/>
  <c r="I19" i="9" s="1"/>
  <c r="I22" i="9"/>
  <c r="I23" i="9" s="1"/>
  <c r="H16" i="21" s="1"/>
  <c r="H24" i="21" s="1"/>
  <c r="N18" i="39"/>
  <c r="M81" i="36"/>
  <c r="N80" i="21"/>
  <c r="O47" i="14"/>
  <c r="O56" i="14"/>
  <c r="O53" i="14"/>
  <c r="O54" i="14" s="1"/>
  <c r="N102" i="21" s="1"/>
  <c r="E20" i="37"/>
  <c r="E31" i="37"/>
  <c r="D28" i="25"/>
  <c r="G35" i="21"/>
  <c r="G26" i="31"/>
  <c r="G41" i="31" s="1"/>
  <c r="G47" i="31" s="1"/>
  <c r="G5" i="21"/>
  <c r="H31" i="9"/>
  <c r="H20" i="9"/>
  <c r="M56" i="38"/>
  <c r="M47" i="38"/>
  <c r="E31" i="17"/>
  <c r="D9" i="21"/>
  <c r="D11" i="31" s="1"/>
  <c r="E19" i="17"/>
  <c r="F6" i="21"/>
  <c r="F6" i="31" s="1"/>
  <c r="G20" i="20"/>
  <c r="G29" i="20"/>
  <c r="I31" i="39"/>
  <c r="I19" i="39"/>
  <c r="F26" i="31"/>
  <c r="K20" i="20"/>
  <c r="J6" i="21"/>
  <c r="J6" i="31" s="1"/>
  <c r="K29" i="20"/>
  <c r="O49" i="37"/>
  <c r="O55" i="37"/>
  <c r="O56" i="37" s="1"/>
  <c r="O58" i="37" s="1"/>
  <c r="J29" i="14"/>
  <c r="J20" i="14"/>
  <c r="I7" i="21"/>
  <c r="I8" i="31" s="1"/>
  <c r="K22" i="37"/>
  <c r="K23" i="37" s="1"/>
  <c r="K17" i="37"/>
  <c r="K19" i="37" s="1"/>
  <c r="F86" i="21"/>
  <c r="F115" i="21" s="1"/>
  <c r="L31" i="12"/>
  <c r="L19" i="12"/>
  <c r="K8" i="21"/>
  <c r="K10" i="31" s="1"/>
  <c r="L18" i="39"/>
  <c r="K19" i="17"/>
  <c r="K31" i="17"/>
  <c r="J9" i="21"/>
  <c r="J11" i="31" s="1"/>
  <c r="N49" i="37"/>
  <c r="N58" i="37"/>
  <c r="J17" i="9"/>
  <c r="J19" i="9" s="1"/>
  <c r="J22" i="9"/>
  <c r="J23" i="9" s="1"/>
  <c r="I16" i="21" s="1"/>
  <c r="I24" i="21" s="1"/>
  <c r="M49" i="9"/>
  <c r="M58" i="9"/>
  <c r="L78" i="21"/>
  <c r="M63" i="43"/>
  <c r="I20" i="14"/>
  <c r="I29" i="14"/>
  <c r="H7" i="21"/>
  <c r="H8" i="31" s="1"/>
  <c r="F29" i="38"/>
  <c r="F20" i="38"/>
  <c r="M62" i="40"/>
  <c r="H56" i="38"/>
  <c r="H47" i="38"/>
  <c r="K97" i="21"/>
  <c r="O22" i="37"/>
  <c r="O23" i="37" s="1"/>
  <c r="O17" i="37"/>
  <c r="O19" i="37" s="1"/>
  <c r="K58" i="9"/>
  <c r="K49" i="9"/>
  <c r="J78" i="21"/>
  <c r="J86" i="21" s="1"/>
  <c r="J115" i="21" s="1"/>
  <c r="M17" i="9"/>
  <c r="M19" i="9" s="1"/>
  <c r="M22" i="9"/>
  <c r="M23" i="9" s="1"/>
  <c r="L16" i="21" s="1"/>
  <c r="L24" i="21" s="1"/>
  <c r="N16" i="12"/>
  <c r="N18" i="12" s="1"/>
  <c r="M20" i="38"/>
  <c r="M29" i="38"/>
  <c r="N20" i="12"/>
  <c r="N22" i="12" s="1"/>
  <c r="M19" i="21" s="1"/>
  <c r="N14" i="12"/>
  <c r="H192" i="21"/>
  <c r="J19" i="17"/>
  <c r="I9" i="21"/>
  <c r="I11" i="31" s="1"/>
  <c r="J31" i="17"/>
  <c r="J35" i="21"/>
  <c r="J26" i="31"/>
  <c r="J41" i="31" s="1"/>
  <c r="J47" i="31" s="1"/>
  <c r="M19" i="17"/>
  <c r="M31" i="17"/>
  <c r="L9" i="21"/>
  <c r="L11" i="31" s="1"/>
  <c r="I79" i="21"/>
  <c r="I86" i="21" s="1"/>
  <c r="I115" i="21" s="1"/>
  <c r="J56" i="20"/>
  <c r="J47" i="20"/>
  <c r="D58" i="9"/>
  <c r="E5" i="21"/>
  <c r="F31" i="9"/>
  <c r="F20" i="9"/>
  <c r="L22" i="37"/>
  <c r="L23" i="37" s="1"/>
  <c r="L17" i="37"/>
  <c r="L19" i="37" s="1"/>
  <c r="L86" i="14"/>
  <c r="I86" i="14"/>
  <c r="J86" i="14"/>
  <c r="K86" i="14"/>
  <c r="O86" i="14"/>
  <c r="M86" i="14"/>
  <c r="N86" i="14"/>
  <c r="K80" i="21"/>
  <c r="L47" i="14"/>
  <c r="L56" i="14"/>
  <c r="L17" i="9"/>
  <c r="L19" i="9" s="1"/>
  <c r="L22" i="9"/>
  <c r="L23" i="9" s="1"/>
  <c r="K16" i="21" s="1"/>
  <c r="K24" i="21" s="1"/>
  <c r="M47" i="14"/>
  <c r="M56" i="14"/>
  <c r="L80" i="21"/>
  <c r="K6" i="21"/>
  <c r="K6" i="31" s="1"/>
  <c r="L20" i="20"/>
  <c r="L29" i="20"/>
  <c r="J7" i="21"/>
  <c r="J8" i="31" s="1"/>
  <c r="K29" i="14"/>
  <c r="K20" i="14"/>
  <c r="E119" i="21" l="1"/>
  <c r="D58" i="37"/>
  <c r="I119" i="21"/>
  <c r="N62" i="35"/>
  <c r="N67" i="35" s="1"/>
  <c r="M67" i="35"/>
  <c r="L20" i="37"/>
  <c r="L31" i="37"/>
  <c r="N31" i="12"/>
  <c r="N19" i="12"/>
  <c r="M8" i="21"/>
  <c r="F119" i="21"/>
  <c r="I20" i="9"/>
  <c r="I31" i="9"/>
  <c r="D31" i="9" s="1"/>
  <c r="H5" i="21"/>
  <c r="K8" i="31"/>
  <c r="H6" i="21"/>
  <c r="H6" i="31" s="1"/>
  <c r="I29" i="20"/>
  <c r="I20" i="20"/>
  <c r="O20" i="12"/>
  <c r="O22" i="12" s="1"/>
  <c r="N19" i="21" s="1"/>
  <c r="O14" i="12"/>
  <c r="M24" i="21"/>
  <c r="D5" i="31"/>
  <c r="D13" i="21"/>
  <c r="D42" i="21" s="1"/>
  <c r="D29" i="20"/>
  <c r="I6" i="31"/>
  <c r="D41" i="31"/>
  <c r="E85" i="31"/>
  <c r="E6" i="31"/>
  <c r="C231" i="2"/>
  <c r="N73" i="39"/>
  <c r="N83" i="39"/>
  <c r="O16" i="12"/>
  <c r="O18" i="12" s="1"/>
  <c r="M5" i="21"/>
  <c r="N20" i="9"/>
  <c r="N31" i="9"/>
  <c r="D60" i="33"/>
  <c r="E60" i="33" s="1"/>
  <c r="C61" i="33"/>
  <c r="L10" i="31"/>
  <c r="J20" i="37"/>
  <c r="J31" i="37"/>
  <c r="L5" i="21"/>
  <c r="M31" i="9"/>
  <c r="M20" i="9"/>
  <c r="L86" i="21"/>
  <c r="G5" i="31"/>
  <c r="G21" i="31" s="1"/>
  <c r="G13" i="21"/>
  <c r="G42" i="21" s="1"/>
  <c r="O29" i="14"/>
  <c r="N154" i="21"/>
  <c r="N159" i="21" s="1"/>
  <c r="O73" i="12"/>
  <c r="O80" i="12"/>
  <c r="O81" i="12" s="1"/>
  <c r="N176" i="21" s="1"/>
  <c r="N181" i="21" s="1"/>
  <c r="F5" i="31"/>
  <c r="F21" i="31" s="1"/>
  <c r="F13" i="21"/>
  <c r="F42" i="21" s="1"/>
  <c r="D56" i="38"/>
  <c r="K200" i="21"/>
  <c r="C20" i="33"/>
  <c r="D19" i="33"/>
  <c r="E19" i="33" s="1"/>
  <c r="I19" i="33" s="1"/>
  <c r="J19" i="33" s="1"/>
  <c r="K19" i="33" s="1"/>
  <c r="L19" i="33" s="1"/>
  <c r="M31" i="37"/>
  <c r="M20" i="37"/>
  <c r="AF119" i="31"/>
  <c r="O73" i="39"/>
  <c r="O80" i="39"/>
  <c r="O81" i="39" s="1"/>
  <c r="O83" i="39" s="1"/>
  <c r="M86" i="21"/>
  <c r="M115" i="21" s="1"/>
  <c r="M31" i="39"/>
  <c r="M19" i="39"/>
  <c r="Q105" i="21"/>
  <c r="D29" i="14"/>
  <c r="K31" i="37"/>
  <c r="K20" i="37"/>
  <c r="H119" i="21"/>
  <c r="H205" i="21"/>
  <c r="H200" i="21"/>
  <c r="J119" i="21"/>
  <c r="N62" i="40"/>
  <c r="N67" i="40" s="1"/>
  <c r="M67" i="40"/>
  <c r="O68" i="40" s="1"/>
  <c r="O62" i="40"/>
  <c r="O67" i="40" s="1"/>
  <c r="D100" i="33"/>
  <c r="E100" i="33" s="1"/>
  <c r="I100" i="33" s="1"/>
  <c r="J100" i="33" s="1"/>
  <c r="K100" i="33" s="1"/>
  <c r="L100" i="33" s="1"/>
  <c r="C101" i="33"/>
  <c r="J5" i="21"/>
  <c r="K31" i="9"/>
  <c r="K20" i="9"/>
  <c r="O56" i="20"/>
  <c r="D56" i="20"/>
  <c r="N63" i="43"/>
  <c r="N68" i="43" s="1"/>
  <c r="M68" i="43"/>
  <c r="E5" i="31"/>
  <c r="E21" i="31" s="1"/>
  <c r="E13" i="21"/>
  <c r="E42" i="21" s="1"/>
  <c r="L19" i="39"/>
  <c r="L31" i="39"/>
  <c r="F35" i="21"/>
  <c r="D10" i="33" s="1"/>
  <c r="F21" i="33" s="1"/>
  <c r="M86" i="36"/>
  <c r="N81" i="36"/>
  <c r="N86" i="36" s="1"/>
  <c r="D119" i="21"/>
  <c r="D29" i="38"/>
  <c r="F61" i="33"/>
  <c r="G61" i="33" s="1"/>
  <c r="H61" i="33" s="1"/>
  <c r="G60" i="33"/>
  <c r="H60" i="33" s="1"/>
  <c r="I60" i="33" s="1"/>
  <c r="J60" i="33" s="1"/>
  <c r="K60" i="33" s="1"/>
  <c r="L60" i="33" s="1"/>
  <c r="I99" i="33"/>
  <c r="J99" i="33" s="1"/>
  <c r="K99" i="33" s="1"/>
  <c r="L99" i="33" s="1"/>
  <c r="K86" i="21"/>
  <c r="K115" i="21" s="1"/>
  <c r="G119" i="21"/>
  <c r="D205" i="21"/>
  <c r="D200" i="21"/>
  <c r="I31" i="37"/>
  <c r="D31" i="37" s="1"/>
  <c r="I20" i="37"/>
  <c r="K19" i="39"/>
  <c r="K31" i="39"/>
  <c r="O28" i="9"/>
  <c r="O29" i="9" s="1"/>
  <c r="N27" i="21" s="1"/>
  <c r="N5" i="21"/>
  <c r="O20" i="9"/>
  <c r="O31" i="9"/>
  <c r="E200" i="21"/>
  <c r="E205" i="21"/>
  <c r="G192" i="21"/>
  <c r="F205" i="21"/>
  <c r="F200" i="21"/>
  <c r="L20" i="9"/>
  <c r="K5" i="21"/>
  <c r="L31" i="9"/>
  <c r="F41" i="31"/>
  <c r="F47" i="31" s="1"/>
  <c r="D31" i="17"/>
  <c r="O20" i="37"/>
  <c r="O28" i="37"/>
  <c r="O29" i="37" s="1"/>
  <c r="O31" i="37" s="1"/>
  <c r="I5" i="21"/>
  <c r="J31" i="9"/>
  <c r="J20" i="9"/>
  <c r="N19" i="39"/>
  <c r="N31" i="39"/>
  <c r="N73" i="12"/>
  <c r="M154" i="21"/>
  <c r="M159" i="21" s="1"/>
  <c r="M188" i="21" s="1"/>
  <c r="N83" i="12"/>
  <c r="L154" i="21"/>
  <c r="L159" i="21" s="1"/>
  <c r="L188" i="21" s="1"/>
  <c r="M83" i="12"/>
  <c r="M73" i="12"/>
  <c r="N24" i="21"/>
  <c r="N31" i="37"/>
  <c r="N20" i="37"/>
  <c r="O20" i="39"/>
  <c r="O22" i="39" s="1"/>
  <c r="O14" i="39"/>
  <c r="O16" i="39" s="1"/>
  <c r="O18" i="39" s="1"/>
  <c r="N108" i="21"/>
  <c r="Q32" i="21"/>
  <c r="D6" i="31"/>
  <c r="M6" i="31"/>
  <c r="I205" i="21"/>
  <c r="I200" i="21"/>
  <c r="L6" i="31"/>
  <c r="F22" i="33" l="1"/>
  <c r="G22" i="33" s="1"/>
  <c r="H22" i="33" s="1"/>
  <c r="G21" i="33"/>
  <c r="H21" i="33" s="1"/>
  <c r="D83" i="39"/>
  <c r="N188" i="21"/>
  <c r="Q168" i="21"/>
  <c r="Q170" i="21" s="1"/>
  <c r="G224" i="21"/>
  <c r="G46" i="21"/>
  <c r="N5" i="31"/>
  <c r="N35" i="21"/>
  <c r="C102" i="33"/>
  <c r="D101" i="33"/>
  <c r="E101" i="33" s="1"/>
  <c r="J127" i="21"/>
  <c r="F224" i="21"/>
  <c r="F46" i="21"/>
  <c r="G44" i="31"/>
  <c r="G48" i="31" s="1"/>
  <c r="G23" i="31"/>
  <c r="D61" i="33"/>
  <c r="E61" i="33" s="1"/>
  <c r="I61" i="33" s="1"/>
  <c r="J61" i="33" s="1"/>
  <c r="K61" i="33" s="1"/>
  <c r="L61" i="33" s="1"/>
  <c r="C62" i="33"/>
  <c r="D224" i="21"/>
  <c r="D46" i="21"/>
  <c r="O28" i="12"/>
  <c r="O29" i="12" s="1"/>
  <c r="N30" i="21" s="1"/>
  <c r="N8" i="21"/>
  <c r="N10" i="31" s="1"/>
  <c r="O19" i="12"/>
  <c r="O31" i="12"/>
  <c r="D31" i="12" s="1"/>
  <c r="G205" i="21"/>
  <c r="H204" i="21" s="1"/>
  <c r="H215" i="21" s="1"/>
  <c r="G200" i="21"/>
  <c r="G127" i="21"/>
  <c r="D127" i="21"/>
  <c r="D132" i="21"/>
  <c r="L115" i="21"/>
  <c r="Q95" i="21"/>
  <c r="Q97" i="21" s="1"/>
  <c r="D21" i="31"/>
  <c r="F127" i="21"/>
  <c r="O62" i="35"/>
  <c r="O67" i="35" s="1"/>
  <c r="O68" i="35" s="1"/>
  <c r="D204" i="21"/>
  <c r="E204" i="21"/>
  <c r="E215" i="21" s="1"/>
  <c r="J5" i="31"/>
  <c r="J21" i="31" s="1"/>
  <c r="J13" i="21"/>
  <c r="E224" i="21"/>
  <c r="E46" i="21"/>
  <c r="F23" i="31"/>
  <c r="F44" i="31"/>
  <c r="F48" i="31" s="1"/>
  <c r="Q79" i="21"/>
  <c r="L125" i="31"/>
  <c r="L192" i="21"/>
  <c r="K5" i="31"/>
  <c r="K21" i="31" s="1"/>
  <c r="K13" i="21"/>
  <c r="K42" i="21" s="1"/>
  <c r="K119" i="21"/>
  <c r="E23" i="31"/>
  <c r="E44" i="31"/>
  <c r="E48" i="31" s="1"/>
  <c r="I204" i="21"/>
  <c r="I215" i="21" s="1"/>
  <c r="O83" i="12"/>
  <c r="D83" i="12" s="1"/>
  <c r="M10" i="31"/>
  <c r="N115" i="21"/>
  <c r="M119" i="21"/>
  <c r="M125" i="31"/>
  <c r="Q152" i="21"/>
  <c r="E127" i="21"/>
  <c r="O28" i="39"/>
  <c r="O29" i="39" s="1"/>
  <c r="O31" i="39"/>
  <c r="D31" i="39" s="1"/>
  <c r="O19" i="39"/>
  <c r="I5" i="31"/>
  <c r="I21" i="31" s="1"/>
  <c r="I13" i="21"/>
  <c r="I42" i="21" s="1"/>
  <c r="F204" i="21"/>
  <c r="F215" i="21" s="1"/>
  <c r="M192" i="21"/>
  <c r="O81" i="36"/>
  <c r="O86" i="36" s="1"/>
  <c r="O87" i="36" s="1"/>
  <c r="O63" i="43"/>
  <c r="O68" i="43" s="1"/>
  <c r="O69" i="43" s="1"/>
  <c r="D20" i="33"/>
  <c r="E20" i="33" s="1"/>
  <c r="I20" i="33" s="1"/>
  <c r="J20" i="33" s="1"/>
  <c r="K20" i="33" s="1"/>
  <c r="L20" i="33" s="1"/>
  <c r="C21" i="33"/>
  <c r="L5" i="31"/>
  <c r="L21" i="31" s="1"/>
  <c r="L13" i="21"/>
  <c r="L42" i="21" s="1"/>
  <c r="M5" i="31"/>
  <c r="M21" i="31" s="1"/>
  <c r="M13" i="21"/>
  <c r="M42" i="21" s="1"/>
  <c r="D47" i="31"/>
  <c r="C105" i="31"/>
  <c r="H5" i="31"/>
  <c r="H21" i="31" s="1"/>
  <c r="H13" i="21"/>
  <c r="H42" i="21" s="1"/>
  <c r="I127" i="21"/>
  <c r="C188" i="21"/>
  <c r="E180" i="2" s="1"/>
  <c r="M23" i="31" l="1"/>
  <c r="M44" i="31"/>
  <c r="M48" i="31" s="1"/>
  <c r="M127" i="21"/>
  <c r="F11" i="33"/>
  <c r="F62" i="33" s="1"/>
  <c r="Q99" i="21"/>
  <c r="D232" i="2"/>
  <c r="E232" i="2" s="1"/>
  <c r="N13" i="21"/>
  <c r="N42" i="21" s="1"/>
  <c r="N192" i="21"/>
  <c r="F54" i="21"/>
  <c r="L224" i="21"/>
  <c r="L46" i="21"/>
  <c r="L200" i="21"/>
  <c r="J42" i="21"/>
  <c r="Q22" i="21"/>
  <c r="Q24" i="21" s="1"/>
  <c r="D215" i="21"/>
  <c r="L119" i="21"/>
  <c r="C115" i="21"/>
  <c r="D180" i="2" s="1"/>
  <c r="N21" i="31"/>
  <c r="D44" i="31"/>
  <c r="D48" i="31" s="1"/>
  <c r="D23" i="31"/>
  <c r="N22" i="31"/>
  <c r="N45" i="31" s="1"/>
  <c r="J54" i="31"/>
  <c r="L23" i="31"/>
  <c r="L44" i="31"/>
  <c r="L48" i="31" s="1"/>
  <c r="M200" i="21"/>
  <c r="G204" i="21"/>
  <c r="G215" i="21" s="1"/>
  <c r="L113" i="31"/>
  <c r="L112" i="31"/>
  <c r="J23" i="31"/>
  <c r="J44" i="31"/>
  <c r="J48" i="31" s="1"/>
  <c r="D131" i="21"/>
  <c r="C63" i="33"/>
  <c r="D62" i="33"/>
  <c r="E62" i="33" s="1"/>
  <c r="M46" i="21"/>
  <c r="M224" i="21"/>
  <c r="D21" i="33"/>
  <c r="E21" i="33" s="1"/>
  <c r="C22" i="33"/>
  <c r="F12" i="33"/>
  <c r="F101" i="33" s="1"/>
  <c r="Q172" i="21"/>
  <c r="D233" i="2"/>
  <c r="E233" i="2" s="1"/>
  <c r="H46" i="21"/>
  <c r="H224" i="21"/>
  <c r="Q81" i="21"/>
  <c r="Q84" i="21" s="1"/>
  <c r="H44" i="31"/>
  <c r="H48" i="31" s="1"/>
  <c r="H23" i="31"/>
  <c r="I224" i="21"/>
  <c r="I46" i="21"/>
  <c r="N119" i="21"/>
  <c r="K44" i="31"/>
  <c r="K48" i="31" s="1"/>
  <c r="K23" i="31"/>
  <c r="Q154" i="21"/>
  <c r="Q157" i="21" s="1"/>
  <c r="K127" i="21"/>
  <c r="K125" i="31"/>
  <c r="G54" i="21"/>
  <c r="I21" i="33"/>
  <c r="J21" i="33" s="1"/>
  <c r="K21" i="33" s="1"/>
  <c r="L21" i="33" s="1"/>
  <c r="I23" i="31"/>
  <c r="I44" i="31"/>
  <c r="I48" i="31" s="1"/>
  <c r="M112" i="31"/>
  <c r="M113" i="31"/>
  <c r="K46" i="21"/>
  <c r="K224" i="21"/>
  <c r="Q6" i="21"/>
  <c r="D54" i="21"/>
  <c r="D59" i="21"/>
  <c r="D102" i="33"/>
  <c r="E102" i="33" s="1"/>
  <c r="C103" i="33"/>
  <c r="Q8" i="21" l="1"/>
  <c r="Q11" i="21" s="1"/>
  <c r="L127" i="21"/>
  <c r="L54" i="21"/>
  <c r="Q104" i="21"/>
  <c r="L137" i="21" s="1"/>
  <c r="H210" i="2"/>
  <c r="L138" i="21"/>
  <c r="E3" i="28"/>
  <c r="C23" i="33"/>
  <c r="D22" i="33"/>
  <c r="E22" i="33" s="1"/>
  <c r="I22" i="33" s="1"/>
  <c r="J22" i="33" s="1"/>
  <c r="K22" i="33" s="1"/>
  <c r="L22" i="33" s="1"/>
  <c r="AD120" i="31"/>
  <c r="G62" i="33"/>
  <c r="H62" i="33" s="1"/>
  <c r="I62" i="33" s="1"/>
  <c r="J62" i="33" s="1"/>
  <c r="K62" i="33" s="1"/>
  <c r="L62" i="33" s="1"/>
  <c r="F63" i="33"/>
  <c r="N127" i="21"/>
  <c r="D103" i="33"/>
  <c r="E103" i="33" s="1"/>
  <c r="C104" i="33"/>
  <c r="K54" i="21"/>
  <c r="I54" i="21"/>
  <c r="H54" i="21"/>
  <c r="D231" i="2"/>
  <c r="E231" i="2" s="1"/>
  <c r="Q26" i="21"/>
  <c r="F10" i="33"/>
  <c r="F23" i="33" s="1"/>
  <c r="K112" i="31"/>
  <c r="K113" i="31"/>
  <c r="N113" i="31" s="1"/>
  <c r="D58" i="21"/>
  <c r="AE120" i="31"/>
  <c r="E3" i="29"/>
  <c r="H211" i="2"/>
  <c r="Q177" i="21"/>
  <c r="N210" i="21" s="1"/>
  <c r="N211" i="21"/>
  <c r="J224" i="21"/>
  <c r="C224" i="21" s="1"/>
  <c r="J46" i="21"/>
  <c r="C42" i="21"/>
  <c r="C180" i="2" s="1"/>
  <c r="G101" i="33"/>
  <c r="H101" i="33" s="1"/>
  <c r="I101" i="33" s="1"/>
  <c r="J101" i="33" s="1"/>
  <c r="K101" i="33" s="1"/>
  <c r="L101" i="33" s="1"/>
  <c r="F102" i="33"/>
  <c r="D63" i="33"/>
  <c r="E63" i="33" s="1"/>
  <c r="C64" i="33"/>
  <c r="D142" i="21"/>
  <c r="N23" i="31"/>
  <c r="N44" i="31"/>
  <c r="N48" i="31" s="1"/>
  <c r="N200" i="21"/>
  <c r="M54" i="21"/>
  <c r="N46" i="21"/>
  <c r="N224" i="21"/>
  <c r="F180" i="2" l="1"/>
  <c r="D53" i="31"/>
  <c r="G23" i="33"/>
  <c r="H23" i="33" s="1"/>
  <c r="F24" i="33"/>
  <c r="J54" i="21"/>
  <c r="C24" i="33"/>
  <c r="D23" i="33"/>
  <c r="E23" i="33" s="1"/>
  <c r="C105" i="33"/>
  <c r="D104" i="33"/>
  <c r="E104" i="33" s="1"/>
  <c r="E8" i="28"/>
  <c r="E9" i="28"/>
  <c r="C65" i="33"/>
  <c r="D64" i="33"/>
  <c r="E64" i="33" s="1"/>
  <c r="D69" i="21"/>
  <c r="N54" i="21"/>
  <c r="G102" i="33"/>
  <c r="H102" i="33" s="1"/>
  <c r="I102" i="33" s="1"/>
  <c r="J102" i="33" s="1"/>
  <c r="K102" i="33" s="1"/>
  <c r="L102" i="33" s="1"/>
  <c r="F103" i="33"/>
  <c r="E3" i="27"/>
  <c r="H209" i="2"/>
  <c r="Q31" i="21"/>
  <c r="J64" i="21" s="1"/>
  <c r="J65" i="21"/>
  <c r="K90" i="31" s="1"/>
  <c r="AC120" i="31"/>
  <c r="N112" i="31"/>
  <c r="D51" i="31"/>
  <c r="E11" i="29"/>
  <c r="E10" i="29" s="1"/>
  <c r="E9" i="29"/>
  <c r="E8" i="29"/>
  <c r="G63" i="33"/>
  <c r="H63" i="33" s="1"/>
  <c r="I63" i="33" s="1"/>
  <c r="J63" i="33" s="1"/>
  <c r="K63" i="33" s="1"/>
  <c r="L63" i="33" s="1"/>
  <c r="F64" i="33"/>
  <c r="C66" i="33" l="1"/>
  <c r="D65" i="33"/>
  <c r="E65" i="33" s="1"/>
  <c r="F65" i="33"/>
  <c r="G64" i="33"/>
  <c r="H64" i="33" s="1"/>
  <c r="I64" i="33" s="1"/>
  <c r="J64" i="33" s="1"/>
  <c r="K64" i="33" s="1"/>
  <c r="L64" i="33" s="1"/>
  <c r="C106" i="33"/>
  <c r="D105" i="33"/>
  <c r="E105" i="33" s="1"/>
  <c r="G40" i="29"/>
  <c r="D18" i="29"/>
  <c r="H43" i="29"/>
  <c r="H70" i="29"/>
  <c r="D112" i="29"/>
  <c r="D88" i="29"/>
  <c r="G85" i="29"/>
  <c r="F80" i="29"/>
  <c r="H41" i="29"/>
  <c r="D38" i="29"/>
  <c r="F62" i="29"/>
  <c r="D29" i="29"/>
  <c r="D63" i="29"/>
  <c r="E156" i="29"/>
  <c r="F132" i="29"/>
  <c r="B54" i="29"/>
  <c r="F31" i="29"/>
  <c r="D57" i="29"/>
  <c r="G22" i="29"/>
  <c r="G125" i="29"/>
  <c r="F101" i="29"/>
  <c r="B99" i="29"/>
  <c r="H93" i="29"/>
  <c r="D55" i="29"/>
  <c r="F51" i="29"/>
  <c r="H75" i="29"/>
  <c r="G42" i="29"/>
  <c r="B84" i="29"/>
  <c r="G169" i="29"/>
  <c r="H145" i="29"/>
  <c r="E143" i="29"/>
  <c r="B46" i="29"/>
  <c r="F23" i="29"/>
  <c r="D49" i="29"/>
  <c r="D76" i="29"/>
  <c r="F117" i="29"/>
  <c r="F93" i="29"/>
  <c r="E47" i="29"/>
  <c r="H24" i="29"/>
  <c r="F50" i="29"/>
  <c r="F77" i="29"/>
  <c r="H118" i="29"/>
  <c r="H94" i="29"/>
  <c r="E92" i="29"/>
  <c r="D87" i="29"/>
  <c r="G37" i="29"/>
  <c r="B34" i="29"/>
  <c r="E58" i="29"/>
  <c r="D25" i="29"/>
  <c r="E48" i="29"/>
  <c r="E152" i="29"/>
  <c r="F128" i="29"/>
  <c r="B126" i="29"/>
  <c r="G120" i="29"/>
  <c r="B75" i="29"/>
  <c r="F155" i="29"/>
  <c r="G127" i="29"/>
  <c r="F99" i="29"/>
  <c r="H65" i="29"/>
  <c r="F157" i="29"/>
  <c r="G222" i="29"/>
  <c r="H198" i="29"/>
  <c r="E200" i="29"/>
  <c r="D203" i="29"/>
  <c r="G174" i="29"/>
  <c r="E39" i="29"/>
  <c r="F108" i="29"/>
  <c r="F167" i="29"/>
  <c r="G139" i="29"/>
  <c r="G111" i="29"/>
  <c r="H83" i="29"/>
  <c r="F169" i="29"/>
  <c r="G234" i="29"/>
  <c r="H210" i="29"/>
  <c r="E212" i="29"/>
  <c r="D215" i="29"/>
  <c r="G18" i="29"/>
  <c r="F96" i="29"/>
  <c r="E87" i="29"/>
  <c r="B173" i="29"/>
  <c r="D145" i="29"/>
  <c r="E117" i="29"/>
  <c r="F182" i="29"/>
  <c r="E90" i="29"/>
  <c r="E102" i="29"/>
  <c r="E125" i="29"/>
  <c r="F248" i="29"/>
  <c r="G220" i="29"/>
  <c r="G60" i="29"/>
  <c r="F116" i="29"/>
  <c r="D170" i="29"/>
  <c r="E142" i="29"/>
  <c r="E114" i="29"/>
  <c r="F86" i="29"/>
  <c r="D172" i="29"/>
  <c r="E237" i="29"/>
  <c r="F213" i="29"/>
  <c r="B215" i="29"/>
  <c r="H217" i="29"/>
  <c r="H22" i="29"/>
  <c r="D150" i="29"/>
  <c r="D122" i="29"/>
  <c r="D94" i="29"/>
  <c r="D48" i="29"/>
  <c r="D152" i="29"/>
  <c r="E51" i="29"/>
  <c r="H28" i="29"/>
  <c r="F54" i="29"/>
  <c r="B20" i="29"/>
  <c r="B123" i="29"/>
  <c r="H98" i="29"/>
  <c r="E96" i="29"/>
  <c r="D91" i="29"/>
  <c r="F52" i="29"/>
  <c r="H48" i="29"/>
  <c r="D73" i="29"/>
  <c r="B40" i="29"/>
  <c r="E81" i="29"/>
  <c r="B167" i="29"/>
  <c r="G21" i="29"/>
  <c r="B18" i="29"/>
  <c r="E42" i="29"/>
  <c r="B68" i="29"/>
  <c r="E33" i="29"/>
  <c r="E136" i="29"/>
  <c r="E112" i="29"/>
  <c r="H109" i="29"/>
  <c r="F104" i="29"/>
  <c r="D23" i="29"/>
  <c r="E62" i="29"/>
  <c r="E26" i="29"/>
  <c r="E53" i="29"/>
  <c r="G94" i="29"/>
  <c r="E63" i="29"/>
  <c r="B55" i="29"/>
  <c r="D24" i="29"/>
  <c r="G56" i="29"/>
  <c r="D34" i="29"/>
  <c r="H59" i="29"/>
  <c r="E25" i="29"/>
  <c r="E128" i="29"/>
  <c r="D104" i="29"/>
  <c r="B58" i="29"/>
  <c r="F35" i="29"/>
  <c r="E61" i="29"/>
  <c r="G26" i="29"/>
  <c r="G129" i="29"/>
  <c r="F105" i="29"/>
  <c r="B103" i="29"/>
  <c r="H97" i="29"/>
  <c r="F48" i="29"/>
  <c r="H44" i="29"/>
  <c r="D69" i="29"/>
  <c r="H35" i="29"/>
  <c r="G76" i="29"/>
  <c r="B163" i="29"/>
  <c r="D139" i="29"/>
  <c r="G136" i="29"/>
  <c r="F28" i="29"/>
  <c r="G105" i="29"/>
  <c r="D166" i="29"/>
  <c r="E138" i="29"/>
  <c r="E110" i="29"/>
  <c r="F82" i="29"/>
  <c r="D168" i="29"/>
  <c r="E233" i="29"/>
  <c r="F209" i="29"/>
  <c r="B211" i="29"/>
  <c r="H213" i="29"/>
  <c r="H185" i="29"/>
  <c r="E78" i="29"/>
  <c r="B138" i="29"/>
  <c r="D36" i="29"/>
  <c r="E150" i="29"/>
  <c r="F122" i="29"/>
  <c r="F94" i="29"/>
  <c r="G99" i="29"/>
  <c r="E245" i="29"/>
  <c r="F221" i="29"/>
  <c r="B223" i="29"/>
  <c r="H225" i="29"/>
  <c r="F121" i="29"/>
  <c r="B118" i="29"/>
  <c r="B98" i="29"/>
  <c r="H61" i="29"/>
  <c r="H155" i="29"/>
  <c r="D128" i="29"/>
  <c r="D193" i="29"/>
  <c r="B160" i="29"/>
  <c r="B164" i="29"/>
  <c r="E171" i="29"/>
  <c r="D259" i="29"/>
  <c r="E231" i="29"/>
  <c r="E38" i="29"/>
  <c r="G144" i="29"/>
  <c r="B51" i="29"/>
  <c r="B153" i="29"/>
  <c r="D125" i="29"/>
  <c r="D97" i="29"/>
  <c r="D121" i="29"/>
  <c r="B248" i="29"/>
  <c r="D224" i="29"/>
  <c r="G225" i="29"/>
  <c r="E28" i="29"/>
  <c r="B91" i="29"/>
  <c r="H160" i="29"/>
  <c r="B133" i="29"/>
  <c r="H104" i="29"/>
  <c r="F76" i="29"/>
  <c r="B19" i="29"/>
  <c r="D62" i="29"/>
  <c r="G39" i="29"/>
  <c r="E65" i="29"/>
  <c r="G30" i="29"/>
  <c r="G133" i="29"/>
  <c r="G109" i="29"/>
  <c r="D107" i="29"/>
  <c r="H101" i="29"/>
  <c r="F20" i="29"/>
  <c r="F59" i="29"/>
  <c r="G23" i="29"/>
  <c r="G50" i="29"/>
  <c r="B92" i="29"/>
  <c r="H54" i="29"/>
  <c r="E32" i="29"/>
  <c r="G28" i="29"/>
  <c r="B53" i="29"/>
  <c r="H19" i="29"/>
  <c r="D44" i="29"/>
  <c r="B147" i="29"/>
  <c r="D123" i="29"/>
  <c r="F120" i="29"/>
  <c r="E115" i="29"/>
  <c r="H33" i="29"/>
  <c r="B73" i="29"/>
  <c r="B37" i="29"/>
  <c r="D64" i="29"/>
  <c r="E105" i="29"/>
  <c r="F81" i="29"/>
  <c r="B79" i="29"/>
  <c r="E24" i="29"/>
  <c r="G20" i="29"/>
  <c r="B45" i="29"/>
  <c r="G70" i="29"/>
  <c r="B36" i="29"/>
  <c r="B139" i="29"/>
  <c r="G25" i="29"/>
  <c r="B22" i="29"/>
  <c r="E46" i="29"/>
  <c r="B72" i="29"/>
  <c r="E37" i="29"/>
  <c r="E140" i="29"/>
  <c r="E116" i="29"/>
  <c r="H113" i="29"/>
  <c r="G108" i="29"/>
  <c r="D59" i="29"/>
  <c r="F55" i="29"/>
  <c r="G19" i="29"/>
  <c r="G46" i="29"/>
  <c r="B88" i="29"/>
  <c r="D32" i="29"/>
  <c r="H149" i="29"/>
  <c r="E147" i="29"/>
  <c r="G67" i="29"/>
  <c r="B134" i="29"/>
  <c r="F25" i="29"/>
  <c r="B149" i="29"/>
  <c r="B121" i="29"/>
  <c r="D93" i="29"/>
  <c r="B89" i="29"/>
  <c r="B244" i="29"/>
  <c r="D220" i="29"/>
  <c r="G221" i="29"/>
  <c r="F224" i="29"/>
  <c r="F196" i="29"/>
  <c r="F42" i="29"/>
  <c r="H69" i="29"/>
  <c r="G72" i="29"/>
  <c r="B161" i="29"/>
  <c r="D133" i="29"/>
  <c r="D105" i="29"/>
  <c r="D163" i="29"/>
  <c r="B256" i="29"/>
  <c r="D232" i="29"/>
  <c r="G233" i="29"/>
  <c r="F236" i="29"/>
  <c r="F97" i="29"/>
  <c r="F135" i="29"/>
  <c r="H108" i="29"/>
  <c r="H80" i="29"/>
  <c r="F166" i="29"/>
  <c r="H138" i="29"/>
  <c r="B204" i="29"/>
  <c r="B180" i="29"/>
  <c r="F181" i="29"/>
  <c r="E184" i="29"/>
  <c r="E68" i="29"/>
  <c r="B242" i="29"/>
  <c r="B64" i="29"/>
  <c r="D79" i="29"/>
  <c r="H77" i="29"/>
  <c r="G163" i="29"/>
  <c r="H135" i="29"/>
  <c r="B108" i="29"/>
  <c r="B170" i="29"/>
  <c r="G258" i="29"/>
  <c r="H234" i="29"/>
  <c r="E236" i="29"/>
  <c r="G24" i="29"/>
  <c r="D119" i="29"/>
  <c r="F171" i="29"/>
  <c r="G143" i="29"/>
  <c r="G115" i="29"/>
  <c r="H87" i="29"/>
  <c r="F173" i="29"/>
  <c r="G238" i="29"/>
  <c r="H214" i="29"/>
  <c r="E216" i="29"/>
  <c r="E44" i="29"/>
  <c r="F151" i="29"/>
  <c r="G123" i="29"/>
  <c r="F95" i="29"/>
  <c r="F53" i="29"/>
  <c r="F153" i="29"/>
  <c r="G218" i="29"/>
  <c r="G29" i="29"/>
  <c r="B26" i="29"/>
  <c r="E50" i="29"/>
  <c r="B76" i="29"/>
  <c r="F41" i="29"/>
  <c r="E144" i="29"/>
  <c r="E120" i="29"/>
  <c r="H117" i="29"/>
  <c r="G112" i="29"/>
  <c r="D31" i="29"/>
  <c r="E70" i="29"/>
  <c r="E34" i="29"/>
  <c r="F61" i="29"/>
  <c r="G102" i="29"/>
  <c r="H78" i="29"/>
  <c r="D43" i="29"/>
  <c r="F39" i="29"/>
  <c r="H63" i="29"/>
  <c r="F30" i="29"/>
  <c r="B66" i="29"/>
  <c r="G157" i="29"/>
  <c r="H133" i="29"/>
  <c r="E131" i="29"/>
  <c r="D126" i="29"/>
  <c r="G44" i="29"/>
  <c r="D22" i="29"/>
  <c r="H47" i="29"/>
  <c r="H74" i="29"/>
  <c r="D116" i="29"/>
  <c r="D92" i="29"/>
  <c r="G89" i="29"/>
  <c r="B35" i="29"/>
  <c r="E31" i="29"/>
  <c r="G55" i="29"/>
  <c r="F22" i="29"/>
  <c r="H30" i="29"/>
  <c r="G149" i="29"/>
  <c r="E36" i="29"/>
  <c r="G32" i="29"/>
  <c r="B57" i="29"/>
  <c r="H23" i="29"/>
  <c r="G41" i="29"/>
  <c r="B151" i="29"/>
  <c r="D127" i="29"/>
  <c r="G124" i="29"/>
  <c r="E119" i="29"/>
  <c r="D27" i="29"/>
  <c r="E66" i="29"/>
  <c r="E30" i="29"/>
  <c r="E57" i="29"/>
  <c r="G98" i="29"/>
  <c r="F71" i="29"/>
  <c r="B67" i="29"/>
  <c r="H50" i="29"/>
  <c r="G31" i="29"/>
  <c r="F64" i="29"/>
  <c r="B70" i="29"/>
  <c r="G159" i="29"/>
  <c r="H131" i="29"/>
  <c r="H103" i="29"/>
  <c r="E159" i="29"/>
  <c r="G254" i="29"/>
  <c r="H230" i="29"/>
  <c r="E232" i="29"/>
  <c r="D235" i="29"/>
  <c r="E207" i="29"/>
  <c r="F69" i="29"/>
  <c r="D95" i="29"/>
  <c r="B86" i="29"/>
  <c r="G171" i="29"/>
  <c r="H143" i="29"/>
  <c r="B116" i="29"/>
  <c r="D181" i="29"/>
  <c r="G79" i="29"/>
  <c r="G91" i="29"/>
  <c r="F114" i="29"/>
  <c r="D247" i="29"/>
  <c r="D143" i="29"/>
  <c r="F147" i="29"/>
  <c r="F119" i="29"/>
  <c r="F91" i="29"/>
  <c r="F29" i="29"/>
  <c r="F149" i="29"/>
  <c r="G214" i="29"/>
  <c r="F40" i="29"/>
  <c r="G36" i="29"/>
  <c r="D61" i="29"/>
  <c r="H27" i="29"/>
  <c r="B59" i="29"/>
  <c r="B155" i="29"/>
  <c r="D131" i="29"/>
  <c r="G128" i="29"/>
  <c r="F123" i="29"/>
  <c r="B42" i="29"/>
  <c r="F19" i="29"/>
  <c r="D45" i="29"/>
  <c r="D72" i="29"/>
  <c r="F113" i="29"/>
  <c r="F89" i="29"/>
  <c r="H53" i="29"/>
  <c r="D50" i="29"/>
  <c r="F74" i="29"/>
  <c r="E41" i="29"/>
  <c r="G82" i="29"/>
  <c r="E168" i="29"/>
  <c r="F144" i="29"/>
  <c r="B142" i="29"/>
  <c r="H136" i="29"/>
  <c r="E55" i="29"/>
  <c r="H32" i="29"/>
  <c r="F58" i="29"/>
  <c r="B24" i="29"/>
  <c r="B127" i="29"/>
  <c r="H102" i="29"/>
  <c r="E100" i="29"/>
  <c r="H45" i="29"/>
  <c r="D42" i="29"/>
  <c r="F66" i="29"/>
  <c r="D33" i="29"/>
  <c r="E71" i="29"/>
  <c r="E160" i="29"/>
  <c r="D47" i="29"/>
  <c r="F43" i="29"/>
  <c r="H67" i="29"/>
  <c r="F34" i="29"/>
  <c r="B74" i="29"/>
  <c r="G161" i="29"/>
  <c r="H137" i="29"/>
  <c r="E135" i="29"/>
  <c r="E122" i="29"/>
  <c r="Q176" i="21" s="1"/>
  <c r="N212" i="21" s="1"/>
  <c r="H37" i="29"/>
  <c r="B77" i="29"/>
  <c r="D41" i="29"/>
  <c r="D68" i="29"/>
  <c r="F109" i="29"/>
  <c r="F85" i="29"/>
  <c r="B83" i="29"/>
  <c r="G77" i="29"/>
  <c r="G58" i="29"/>
  <c r="F92" i="29"/>
  <c r="G84" i="29"/>
  <c r="E170" i="29"/>
  <c r="F142" i="29"/>
  <c r="G114" i="29"/>
  <c r="H179" i="29"/>
  <c r="G57" i="29"/>
  <c r="B81" i="29"/>
  <c r="G103" i="29"/>
  <c r="H245" i="29"/>
  <c r="B218" i="29"/>
  <c r="H110" i="29"/>
  <c r="G116" i="29"/>
  <c r="G96" i="29"/>
  <c r="F57" i="29"/>
  <c r="F154" i="29"/>
  <c r="H126" i="29"/>
  <c r="H191" i="29"/>
  <c r="F156" i="29"/>
  <c r="F160" i="29"/>
  <c r="B168" i="29"/>
  <c r="H257" i="29"/>
  <c r="E84" i="29"/>
  <c r="D158" i="29"/>
  <c r="E130" i="29"/>
  <c r="D102" i="29"/>
  <c r="D71" i="29"/>
  <c r="D160" i="29"/>
  <c r="E225" i="29"/>
  <c r="F201" i="29"/>
  <c r="B203" i="29"/>
  <c r="H205" i="29"/>
  <c r="H177" i="29"/>
  <c r="E263" i="29"/>
  <c r="E132" i="29"/>
  <c r="B122" i="29"/>
  <c r="E99" i="29"/>
  <c r="H64" i="29"/>
  <c r="D157" i="29"/>
  <c r="F129" i="29"/>
  <c r="F194" i="29"/>
  <c r="E163" i="29"/>
  <c r="E167" i="29"/>
  <c r="B174" i="29"/>
  <c r="G74" i="29"/>
  <c r="H81" i="29"/>
  <c r="E79" i="29"/>
  <c r="B165" i="29"/>
  <c r="D137" i="29"/>
  <c r="E109" i="29"/>
  <c r="E173" i="29"/>
  <c r="B260" i="29"/>
  <c r="D236" i="29"/>
  <c r="E35" i="29"/>
  <c r="E123" i="29"/>
  <c r="H172" i="29"/>
  <c r="B145" i="29"/>
  <c r="B117" i="29"/>
  <c r="D89" i="29"/>
  <c r="H174" i="29"/>
  <c r="B240" i="29"/>
  <c r="D216" i="29"/>
  <c r="G217" i="29"/>
  <c r="F220" i="29"/>
  <c r="F192" i="29"/>
  <c r="F70" i="29"/>
  <c r="H34" i="29"/>
  <c r="D51" i="29"/>
  <c r="F47" i="29"/>
  <c r="H71" i="29"/>
  <c r="G38" i="29"/>
  <c r="B80" i="29"/>
  <c r="G165" i="29"/>
  <c r="H141" i="29"/>
  <c r="E139" i="29"/>
  <c r="D134" i="29"/>
  <c r="G52" i="29"/>
  <c r="D30" i="29"/>
  <c r="H55" i="29"/>
  <c r="E21" i="29"/>
  <c r="E124" i="29"/>
  <c r="D100" i="29"/>
  <c r="H21" i="29"/>
  <c r="H60" i="29"/>
  <c r="B25" i="29"/>
  <c r="B52" i="29"/>
  <c r="E93" i="29"/>
  <c r="D60" i="29"/>
  <c r="G49" i="29"/>
  <c r="G152" i="29"/>
  <c r="B23" i="29"/>
  <c r="E19" i="29"/>
  <c r="G43" i="29"/>
  <c r="E69" i="29"/>
  <c r="G34" i="29"/>
  <c r="G137" i="29"/>
  <c r="G113" i="29"/>
  <c r="D111" i="29"/>
  <c r="F56" i="29"/>
  <c r="H52" i="29"/>
  <c r="D77" i="29"/>
  <c r="B44" i="29"/>
  <c r="E85" i="29"/>
  <c r="B171" i="29"/>
  <c r="H57" i="29"/>
  <c r="D54" i="29"/>
  <c r="E18" i="29"/>
  <c r="E45" i="29"/>
  <c r="G86" i="29"/>
  <c r="F21" i="29"/>
  <c r="F148" i="29"/>
  <c r="B146" i="29"/>
  <c r="G48" i="29"/>
  <c r="D26" i="29"/>
  <c r="H51" i="29"/>
  <c r="B197" i="29"/>
  <c r="D120" i="29"/>
  <c r="D96" i="29"/>
  <c r="G93" i="29"/>
  <c r="F88" i="29"/>
  <c r="B100" i="29"/>
  <c r="B114" i="29"/>
  <c r="E95" i="29"/>
  <c r="D52" i="29"/>
  <c r="D153" i="29"/>
  <c r="F125" i="29"/>
  <c r="F190" i="29"/>
  <c r="F152" i="29"/>
  <c r="G156" i="29"/>
  <c r="F164" i="29"/>
  <c r="F256" i="29"/>
  <c r="G228" i="29"/>
  <c r="H86" i="29"/>
  <c r="H132" i="29"/>
  <c r="F107" i="29"/>
  <c r="F79" i="29"/>
  <c r="D165" i="29"/>
  <c r="F137" i="29"/>
  <c r="G202" i="29"/>
  <c r="G178" i="29"/>
  <c r="D180" i="29"/>
  <c r="B183" i="29"/>
  <c r="B50" i="29"/>
  <c r="F112" i="29"/>
  <c r="H168" i="29"/>
  <c r="B141" i="29"/>
  <c r="B113" i="29"/>
  <c r="D85" i="29"/>
  <c r="H170" i="29"/>
  <c r="B236" i="29"/>
  <c r="D212" i="29"/>
  <c r="G213" i="29"/>
  <c r="F216" i="29"/>
  <c r="F188" i="29"/>
  <c r="F106" i="29"/>
  <c r="E108" i="29"/>
  <c r="D138" i="29"/>
  <c r="D110" i="29"/>
  <c r="D82" i="29"/>
  <c r="H167" i="29"/>
  <c r="D140" i="29"/>
  <c r="E205" i="29"/>
  <c r="E181" i="29"/>
  <c r="H182" i="29"/>
  <c r="G185" i="29"/>
  <c r="D40" i="29"/>
  <c r="D103" i="29"/>
  <c r="B90" i="29"/>
  <c r="G175" i="29"/>
  <c r="H147" i="29"/>
  <c r="D19" i="29"/>
  <c r="D58" i="29"/>
  <c r="E22" i="29"/>
  <c r="E49" i="29"/>
  <c r="G90" i="29"/>
  <c r="F49" i="29"/>
  <c r="F33" i="29"/>
  <c r="B150" i="29"/>
  <c r="E20" i="29"/>
  <c r="F63" i="29"/>
  <c r="B41" i="29"/>
  <c r="G66" i="29"/>
  <c r="B32" i="29"/>
  <c r="B135" i="29"/>
  <c r="B111" i="29"/>
  <c r="F32" i="29"/>
  <c r="G71" i="29"/>
  <c r="G35" i="29"/>
  <c r="H62" i="29"/>
  <c r="B104" i="29"/>
  <c r="D80" i="29"/>
  <c r="E77" i="29"/>
  <c r="D67" i="29"/>
  <c r="G33" i="29"/>
  <c r="B30" i="29"/>
  <c r="E54" i="29"/>
  <c r="D21" i="29"/>
  <c r="D20" i="29"/>
  <c r="E148" i="29"/>
  <c r="F124" i="29"/>
  <c r="H121" i="29"/>
  <c r="F24" i="29"/>
  <c r="G63" i="29"/>
  <c r="G27" i="29"/>
  <c r="G54" i="29"/>
  <c r="B96" i="29"/>
  <c r="D66" i="29"/>
  <c r="H25" i="29"/>
  <c r="B65" i="29"/>
  <c r="B29" i="29"/>
  <c r="B56" i="29"/>
  <c r="E97" i="29"/>
  <c r="H68" i="29"/>
  <c r="E64" i="29"/>
  <c r="F45" i="29"/>
  <c r="E59" i="29"/>
  <c r="H36" i="29"/>
  <c r="G62" i="29"/>
  <c r="B28" i="29"/>
  <c r="B131" i="29"/>
  <c r="B107" i="29"/>
  <c r="E104" i="29"/>
  <c r="D99" i="29"/>
  <c r="D74" i="29"/>
  <c r="F131" i="29"/>
  <c r="D106" i="29"/>
  <c r="B78" i="29"/>
  <c r="H163" i="29"/>
  <c r="D136" i="29"/>
  <c r="E201" i="29"/>
  <c r="E177" i="29"/>
  <c r="H178" i="29"/>
  <c r="G181" i="29"/>
  <c r="D267" i="29"/>
  <c r="E239" i="29"/>
  <c r="F140" i="29"/>
  <c r="D146" i="29"/>
  <c r="D118" i="29"/>
  <c r="D90" i="29"/>
  <c r="H18" i="29"/>
  <c r="D148" i="29"/>
  <c r="E213" i="29"/>
  <c r="E189" i="29"/>
  <c r="H190" i="29"/>
  <c r="G193" i="29"/>
  <c r="H29" i="29"/>
  <c r="B69" i="29"/>
  <c r="B33" i="29"/>
  <c r="B60" i="29"/>
  <c r="E101" i="29"/>
  <c r="H76" i="29"/>
  <c r="E72" i="29"/>
  <c r="F60" i="29"/>
  <c r="B31" i="29"/>
  <c r="E27" i="29"/>
  <c r="G51" i="29"/>
  <c r="F18" i="29"/>
  <c r="H42" i="29"/>
  <c r="G145" i="29"/>
  <c r="G121" i="29"/>
  <c r="E88" i="29"/>
  <c r="D135" i="29"/>
  <c r="F36" i="29"/>
  <c r="B27" i="29"/>
  <c r="B110" i="29"/>
  <c r="B188" i="29"/>
  <c r="H100" i="29"/>
  <c r="D53" i="29"/>
  <c r="F134" i="29"/>
  <c r="H222" i="29"/>
  <c r="B154" i="29"/>
  <c r="B87" i="29"/>
  <c r="H92" i="29"/>
  <c r="H183" i="29"/>
  <c r="E204" i="29"/>
  <c r="H124" i="29"/>
  <c r="F126" i="29"/>
  <c r="B132" i="29"/>
  <c r="D167" i="29"/>
  <c r="H194" i="29"/>
  <c r="B95" i="29"/>
  <c r="G80" i="29"/>
  <c r="D70" i="29"/>
  <c r="F78" i="29"/>
  <c r="H175" i="29"/>
  <c r="G170" i="29"/>
  <c r="F185" i="29"/>
  <c r="D199" i="29"/>
  <c r="H181" i="29"/>
  <c r="D37" i="29"/>
  <c r="E107" i="29"/>
  <c r="G92" i="29"/>
  <c r="F37" i="29"/>
  <c r="F150" i="29"/>
  <c r="H122" i="29"/>
  <c r="H187" i="29"/>
  <c r="E133" i="29"/>
  <c r="E145" i="29"/>
  <c r="E157" i="29"/>
  <c r="H91" i="29"/>
  <c r="F260" i="29"/>
  <c r="D117" i="29"/>
  <c r="H248" i="29"/>
  <c r="B221" i="29"/>
  <c r="G195" i="29"/>
  <c r="B274" i="29"/>
  <c r="E359" i="29"/>
  <c r="F327" i="29"/>
  <c r="H291" i="29"/>
  <c r="B272" i="29"/>
  <c r="E357" i="29"/>
  <c r="F325" i="29"/>
  <c r="G297" i="29"/>
  <c r="H269" i="29"/>
  <c r="D56" i="29"/>
  <c r="B227" i="29"/>
  <c r="G216" i="29"/>
  <c r="F207" i="29"/>
  <c r="F179" i="29"/>
  <c r="B265" i="29"/>
  <c r="H239" i="29"/>
  <c r="B318" i="29"/>
  <c r="D286" i="29"/>
  <c r="F371" i="29"/>
  <c r="H335" i="29"/>
  <c r="B316" i="29"/>
  <c r="D284" i="29"/>
  <c r="F369" i="29"/>
  <c r="D141" i="29"/>
  <c r="D243" i="29"/>
  <c r="B266" i="29"/>
  <c r="H240" i="29"/>
  <c r="B213" i="29"/>
  <c r="G187" i="29"/>
  <c r="B263" i="29"/>
  <c r="E351" i="29"/>
  <c r="F319" i="29"/>
  <c r="H283" i="29"/>
  <c r="B255" i="29"/>
  <c r="E349" i="29"/>
  <c r="F317" i="29"/>
  <c r="G289" i="29"/>
  <c r="H246" i="29"/>
  <c r="E89" i="29"/>
  <c r="E153" i="29"/>
  <c r="G204" i="29"/>
  <c r="F199" i="29"/>
  <c r="H165" i="29"/>
  <c r="B257" i="29"/>
  <c r="H231" i="29"/>
  <c r="B310" i="29"/>
  <c r="D278" i="29"/>
  <c r="F363" i="29"/>
  <c r="H327" i="29"/>
  <c r="F75" i="29"/>
  <c r="F228" i="29"/>
  <c r="G256" i="29"/>
  <c r="H232" i="29"/>
  <c r="B205" i="29"/>
  <c r="G179" i="29"/>
  <c r="D265" i="29"/>
  <c r="E343" i="29"/>
  <c r="F311" i="29"/>
  <c r="H275" i="29"/>
  <c r="D361" i="29"/>
  <c r="E341" i="29"/>
  <c r="F309" i="29"/>
  <c r="G281" i="29"/>
  <c r="B367" i="29"/>
  <c r="D339" i="29"/>
  <c r="H357" i="29"/>
  <c r="G186" i="29"/>
  <c r="D191" i="29"/>
  <c r="E191" i="29"/>
  <c r="E129" i="29"/>
  <c r="B249" i="29"/>
  <c r="H223" i="29"/>
  <c r="B302" i="29"/>
  <c r="D270" i="29"/>
  <c r="F355" i="29"/>
  <c r="H319" i="29"/>
  <c r="B300" i="29"/>
  <c r="D268" i="29"/>
  <c r="F353" i="29"/>
  <c r="G325" i="29"/>
  <c r="H297" i="29"/>
  <c r="D98" i="29"/>
  <c r="F232" i="29"/>
  <c r="E259" i="29"/>
  <c r="F235" i="29"/>
  <c r="G207" i="29"/>
  <c r="E182" i="29"/>
  <c r="G241" i="29"/>
  <c r="B346" i="29"/>
  <c r="D314" i="29"/>
  <c r="F278" i="29"/>
  <c r="H363" i="29"/>
  <c r="B344" i="29"/>
  <c r="D312" i="29"/>
  <c r="E284" i="29"/>
  <c r="G369" i="29"/>
  <c r="B230" i="29"/>
  <c r="H343" i="29"/>
  <c r="G341" i="29"/>
  <c r="E366" i="29"/>
  <c r="B365" i="29"/>
  <c r="F374" i="29"/>
  <c r="G336" i="29"/>
  <c r="D356" i="29"/>
  <c r="F352" i="29"/>
  <c r="E376" i="29"/>
  <c r="B247" i="29"/>
  <c r="H318" i="29"/>
  <c r="H341" i="29"/>
  <c r="G299" i="29"/>
  <c r="D81" i="29"/>
  <c r="D326" i="29"/>
  <c r="E296" i="29"/>
  <c r="H365" i="29"/>
  <c r="G311" i="29"/>
  <c r="H375" i="29"/>
  <c r="D258" i="29"/>
  <c r="G318" i="29"/>
  <c r="D271" i="29"/>
  <c r="E362" i="29"/>
  <c r="D355" i="29"/>
  <c r="B232" i="29"/>
  <c r="F347" i="29"/>
  <c r="G301" i="29"/>
  <c r="B373" i="29"/>
  <c r="B337" i="29"/>
  <c r="G251" i="29"/>
  <c r="B372" i="29"/>
  <c r="H305" i="29"/>
  <c r="E330" i="29"/>
  <c r="B281" i="29"/>
  <c r="E274" i="29"/>
  <c r="H176" i="29"/>
  <c r="F345" i="29"/>
  <c r="D83" i="29"/>
  <c r="G132" i="29"/>
  <c r="G75" i="29"/>
  <c r="E23" i="29"/>
  <c r="F136" i="29"/>
  <c r="F189" i="29"/>
  <c r="F68" i="29"/>
  <c r="G140" i="29"/>
  <c r="H95" i="29"/>
  <c r="F233" i="29"/>
  <c r="E199" i="29"/>
  <c r="F100" i="29"/>
  <c r="F103" i="29"/>
  <c r="B216" i="29"/>
  <c r="B136" i="29"/>
  <c r="F139" i="29"/>
  <c r="F158" i="29"/>
  <c r="D185" i="29"/>
  <c r="G182" i="29"/>
  <c r="G205" i="29"/>
  <c r="E151" i="29"/>
  <c r="E91" i="29"/>
  <c r="H84" i="29"/>
  <c r="H99" i="29"/>
  <c r="F186" i="29"/>
  <c r="B184" i="29"/>
  <c r="D196" i="29"/>
  <c r="H209" i="29"/>
  <c r="E203" i="29"/>
  <c r="G78" i="29"/>
  <c r="H128" i="29"/>
  <c r="E103" i="29"/>
  <c r="H72" i="29"/>
  <c r="D161" i="29"/>
  <c r="F133" i="29"/>
  <c r="G198" i="29"/>
  <c r="G173" i="29"/>
  <c r="D176" i="29"/>
  <c r="B179" i="29"/>
  <c r="D78" i="29"/>
  <c r="G126" i="29"/>
  <c r="E172" i="29"/>
  <c r="F259" i="29"/>
  <c r="G231" i="29"/>
  <c r="F206" i="29"/>
  <c r="G284" i="29"/>
  <c r="B370" i="29"/>
  <c r="D338" i="29"/>
  <c r="F302" i="29"/>
  <c r="G282" i="29"/>
  <c r="B368" i="29"/>
  <c r="D336" i="29"/>
  <c r="E308" i="29"/>
  <c r="F280" i="29"/>
  <c r="E67" i="29"/>
  <c r="B187" i="29"/>
  <c r="B234" i="29"/>
  <c r="D218" i="29"/>
  <c r="D190" i="29"/>
  <c r="E141" i="29"/>
  <c r="F250" i="29"/>
  <c r="G328" i="29"/>
  <c r="H296" i="29"/>
  <c r="D244" i="29"/>
  <c r="F346" i="29"/>
  <c r="G326" i="29"/>
  <c r="H294" i="29"/>
  <c r="E266" i="29"/>
  <c r="E113" i="29"/>
  <c r="F264" i="29"/>
  <c r="G138" i="29"/>
  <c r="F251" i="29"/>
  <c r="G223" i="29"/>
  <c r="F198" i="29"/>
  <c r="G276" i="29"/>
  <c r="B362" i="29"/>
  <c r="D330" i="29"/>
  <c r="F294" i="29"/>
  <c r="G274" i="29"/>
  <c r="B360" i="29"/>
  <c r="D328" i="29"/>
  <c r="E300" i="29"/>
  <c r="F272" i="29"/>
  <c r="E111" i="29"/>
  <c r="G237" i="29"/>
  <c r="B222" i="29"/>
  <c r="D210" i="29"/>
  <c r="D182" i="29"/>
  <c r="E76" i="29"/>
  <c r="F242" i="29"/>
  <c r="G320" i="29"/>
  <c r="H288" i="29"/>
  <c r="D374" i="29"/>
  <c r="F338" i="29"/>
  <c r="F162" i="29"/>
  <c r="H249" i="29"/>
  <c r="D28" i="29"/>
  <c r="F243" i="29"/>
  <c r="G215" i="29"/>
  <c r="E190" i="29"/>
  <c r="G268" i="29"/>
  <c r="B354" i="29"/>
  <c r="D322" i="29"/>
  <c r="F286" i="29"/>
  <c r="F265" i="29"/>
  <c r="B352" i="29"/>
  <c r="D320" i="29"/>
  <c r="E292" i="29"/>
  <c r="F257" i="29"/>
  <c r="H349" i="29"/>
  <c r="H129" i="29"/>
  <c r="D188" i="29"/>
  <c r="G208" i="29"/>
  <c r="D202" i="29"/>
  <c r="F172" i="29"/>
  <c r="G259" i="29"/>
  <c r="F234" i="29"/>
  <c r="G312" i="29"/>
  <c r="H280" i="29"/>
  <c r="D366" i="29"/>
  <c r="F330" i="29"/>
  <c r="G310" i="29"/>
  <c r="H278" i="29"/>
  <c r="D364" i="29"/>
  <c r="E336" i="29"/>
  <c r="F308" i="29"/>
  <c r="B63" i="29"/>
  <c r="H253" i="29"/>
  <c r="B85" i="29"/>
  <c r="D246" i="29"/>
  <c r="E218" i="29"/>
  <c r="B193" i="29"/>
  <c r="E271" i="29"/>
  <c r="G356" i="29"/>
  <c r="H324" i="29"/>
  <c r="D289" i="29"/>
  <c r="E269" i="29"/>
  <c r="G354" i="29"/>
  <c r="H322" i="29"/>
  <c r="B295" i="29"/>
  <c r="G266" i="29"/>
  <c r="F215" i="29"/>
  <c r="E297" i="29"/>
  <c r="B371" i="29"/>
  <c r="E318" i="29"/>
  <c r="F368" i="29"/>
  <c r="B137" i="29"/>
  <c r="H304" i="29"/>
  <c r="G285" i="29"/>
  <c r="G355" i="29"/>
  <c r="H371" i="29"/>
  <c r="E347" i="29"/>
  <c r="F361" i="29"/>
  <c r="B273" i="29"/>
  <c r="G367" i="29"/>
  <c r="E43" i="29"/>
  <c r="F44" i="29"/>
  <c r="D35" i="29"/>
  <c r="H39" i="29"/>
  <c r="G47" i="29"/>
  <c r="H144" i="29"/>
  <c r="E192" i="29"/>
  <c r="H158" i="29"/>
  <c r="F72" i="29"/>
  <c r="G106" i="29"/>
  <c r="D192" i="29"/>
  <c r="B210" i="29"/>
  <c r="H148" i="29"/>
  <c r="F146" i="29"/>
  <c r="G226" i="29"/>
  <c r="E196" i="29"/>
  <c r="E56" i="29"/>
  <c r="D169" i="29"/>
  <c r="H195" i="29"/>
  <c r="E193" i="29"/>
  <c r="D39" i="29"/>
  <c r="F84" i="29"/>
  <c r="B102" i="29"/>
  <c r="E106" i="29"/>
  <c r="G110" i="29"/>
  <c r="E197" i="29"/>
  <c r="G194" i="29"/>
  <c r="B207" i="29"/>
  <c r="D231" i="29"/>
  <c r="B214" i="29"/>
  <c r="E164" i="29"/>
  <c r="D142" i="29"/>
  <c r="D114" i="29"/>
  <c r="D86" i="29"/>
  <c r="H171" i="29"/>
  <c r="D144" i="29"/>
  <c r="E209" i="29"/>
  <c r="E185" i="29"/>
  <c r="H186" i="29"/>
  <c r="G189" i="29"/>
  <c r="G242" i="29"/>
  <c r="F180" i="29"/>
  <c r="G184" i="29"/>
  <c r="G73" i="29"/>
  <c r="E242" i="29"/>
  <c r="D217" i="29"/>
  <c r="E295" i="29"/>
  <c r="F253" i="29"/>
  <c r="H348" i="29"/>
  <c r="D313" i="29"/>
  <c r="E293" i="29"/>
  <c r="F245" i="29"/>
  <c r="H346" i="29"/>
  <c r="B319" i="29"/>
  <c r="D291" i="29"/>
  <c r="E158" i="29"/>
  <c r="D219" i="29"/>
  <c r="E251" i="29"/>
  <c r="H228" i="29"/>
  <c r="B201" i="29"/>
  <c r="E175" i="29"/>
  <c r="D261" i="29"/>
  <c r="E339" i="29"/>
  <c r="F307" i="29"/>
  <c r="H271" i="29"/>
  <c r="D357" i="29"/>
  <c r="E337" i="29"/>
  <c r="F305" i="29"/>
  <c r="G277" i="29"/>
  <c r="F178" i="29"/>
  <c r="H157" i="29"/>
  <c r="G176" i="29"/>
  <c r="D262" i="29"/>
  <c r="E234" i="29"/>
  <c r="D209" i="29"/>
  <c r="E287" i="29"/>
  <c r="G372" i="29"/>
  <c r="H340" i="29"/>
  <c r="D305" i="29"/>
  <c r="E285" i="29"/>
  <c r="G370" i="29"/>
  <c r="H338" i="29"/>
  <c r="B311" i="29"/>
  <c r="D283" i="29"/>
  <c r="B94" i="29"/>
  <c r="H197" i="29"/>
  <c r="B238" i="29"/>
  <c r="H220" i="29"/>
  <c r="H192" i="29"/>
  <c r="E155" i="29"/>
  <c r="D253" i="29"/>
  <c r="E331" i="29"/>
  <c r="F299" i="29"/>
  <c r="H254" i="29"/>
  <c r="D349" i="29"/>
  <c r="H134" i="29"/>
  <c r="B106" i="29"/>
  <c r="G154" i="29"/>
  <c r="D254" i="29"/>
  <c r="E226" i="29"/>
  <c r="D201" i="29"/>
  <c r="E279" i="29"/>
  <c r="G364" i="29"/>
  <c r="H332" i="29"/>
  <c r="D297" i="29"/>
  <c r="E277" i="29"/>
  <c r="G362" i="29"/>
  <c r="H330" i="29"/>
  <c r="B303" i="29"/>
  <c r="D275" i="29"/>
  <c r="E326" i="29"/>
  <c r="F143" i="29"/>
  <c r="G146" i="29"/>
  <c r="B226" i="29"/>
  <c r="H212" i="29"/>
  <c r="H184" i="29"/>
  <c r="E98" i="29"/>
  <c r="D245" i="29"/>
  <c r="E323" i="29"/>
  <c r="F291" i="29"/>
  <c r="E248" i="29"/>
  <c r="D341" i="29"/>
  <c r="E321" i="29"/>
  <c r="F289" i="29"/>
  <c r="G245" i="29"/>
  <c r="B347" i="29"/>
  <c r="D319" i="29"/>
  <c r="D156" i="29"/>
  <c r="E94" i="29"/>
  <c r="H161" i="29"/>
  <c r="H256" i="29"/>
  <c r="B229" i="29"/>
  <c r="H203" i="29"/>
  <c r="B282" i="29"/>
  <c r="E367" i="29"/>
  <c r="F335" i="29"/>
  <c r="H299" i="29"/>
  <c r="B280" i="29"/>
  <c r="E365" i="29"/>
  <c r="F333" i="29"/>
  <c r="G305" i="29"/>
  <c r="H277" i="29"/>
  <c r="F187" i="29"/>
  <c r="B340" i="29"/>
  <c r="F284" i="29"/>
  <c r="F375" i="29"/>
  <c r="E354" i="29"/>
  <c r="D211" i="29"/>
  <c r="D269" i="29"/>
  <c r="G317" i="29"/>
  <c r="G295" i="29"/>
  <c r="B109" i="29"/>
  <c r="F315" i="29"/>
  <c r="B291" i="29"/>
  <c r="B361" i="29"/>
  <c r="B301" i="29"/>
  <c r="G95" i="29"/>
  <c r="G270" i="29"/>
  <c r="E352" i="29"/>
  <c r="D375" i="29"/>
  <c r="G335" i="29"/>
  <c r="H374" i="29"/>
  <c r="D205" i="29"/>
  <c r="H286" i="29"/>
  <c r="F324" i="29"/>
  <c r="G373" i="29"/>
  <c r="B333" i="29"/>
  <c r="E183" i="29"/>
  <c r="E281" i="29"/>
  <c r="E360" i="29"/>
  <c r="E286" i="29"/>
  <c r="H20" i="29"/>
  <c r="H40" i="29"/>
  <c r="E74" i="29"/>
  <c r="H66" i="29"/>
  <c r="E73" i="29"/>
  <c r="H116" i="29"/>
  <c r="E137" i="29"/>
  <c r="B224" i="29"/>
  <c r="G45" i="29"/>
  <c r="F110" i="29"/>
  <c r="E224" i="29"/>
  <c r="G252" i="29"/>
  <c r="F159" i="29"/>
  <c r="E40" i="29"/>
  <c r="B101" i="29"/>
  <c r="D207" i="29"/>
  <c r="G100" i="29"/>
  <c r="F98" i="29"/>
  <c r="G206" i="29"/>
  <c r="D204" i="29"/>
  <c r="G59" i="29"/>
  <c r="H105" i="29"/>
  <c r="H112" i="29"/>
  <c r="H127" i="29"/>
  <c r="E121" i="29"/>
  <c r="B208" i="29"/>
  <c r="F205" i="29"/>
  <c r="E228" i="29"/>
  <c r="H241" i="29"/>
  <c r="G224" i="29"/>
  <c r="H125" i="29"/>
  <c r="H152" i="29"/>
  <c r="B125" i="29"/>
  <c r="H96" i="29"/>
  <c r="H58" i="29"/>
  <c r="H154" i="29"/>
  <c r="B220" i="29"/>
  <c r="B196" i="29"/>
  <c r="G197" i="29"/>
  <c r="H56" i="29"/>
  <c r="H218" i="29"/>
  <c r="B198" i="29"/>
  <c r="E195" i="29"/>
  <c r="D155" i="29"/>
  <c r="B253" i="29"/>
  <c r="H227" i="29"/>
  <c r="B306" i="29"/>
  <c r="D274" i="29"/>
  <c r="F359" i="29"/>
  <c r="H323" i="29"/>
  <c r="B304" i="29"/>
  <c r="D272" i="29"/>
  <c r="F357" i="29"/>
  <c r="G329" i="29"/>
  <c r="H301" i="29"/>
  <c r="F130" i="29"/>
  <c r="F240" i="29"/>
  <c r="G264" i="29"/>
  <c r="F239" i="29"/>
  <c r="G211" i="29"/>
  <c r="E186" i="29"/>
  <c r="G257" i="29"/>
  <c r="B350" i="29"/>
  <c r="D318" i="29"/>
  <c r="F282" i="29"/>
  <c r="G249" i="29"/>
  <c r="B348" i="29"/>
  <c r="D316" i="29"/>
  <c r="E288" i="29"/>
  <c r="B264" i="29"/>
  <c r="F184" i="29"/>
  <c r="E187" i="29"/>
  <c r="B97" i="29"/>
  <c r="B245" i="29"/>
  <c r="H219" i="29"/>
  <c r="B298" i="29"/>
  <c r="D264" i="29"/>
  <c r="F351" i="29"/>
  <c r="H315" i="29"/>
  <c r="B296" i="29"/>
  <c r="D256" i="29"/>
  <c r="F349" i="29"/>
  <c r="G321" i="29"/>
  <c r="H293" i="29"/>
  <c r="H46" i="29"/>
  <c r="D223" i="29"/>
  <c r="E255" i="29"/>
  <c r="F231" i="29"/>
  <c r="G203" i="29"/>
  <c r="E178" i="29"/>
  <c r="H263" i="29"/>
  <c r="B342" i="29"/>
  <c r="D310" i="29"/>
  <c r="F274" i="29"/>
  <c r="H359" i="29"/>
  <c r="B200" i="29"/>
  <c r="F168" i="29"/>
  <c r="E179" i="29"/>
  <c r="H264" i="29"/>
  <c r="B237" i="29"/>
  <c r="H211" i="29"/>
  <c r="B290" i="29"/>
  <c r="E375" i="29"/>
  <c r="F343" i="29"/>
  <c r="H307" i="29"/>
  <c r="B288" i="29"/>
  <c r="E373" i="29"/>
  <c r="F341" i="29"/>
  <c r="G313" i="29"/>
  <c r="H285" i="29"/>
  <c r="B375" i="29"/>
  <c r="F115" i="29"/>
  <c r="H201" i="29"/>
  <c r="E243" i="29"/>
  <c r="F223" i="29"/>
  <c r="F195" i="29"/>
  <c r="G162" i="29"/>
  <c r="H255" i="29"/>
  <c r="B334" i="29"/>
  <c r="D302" i="29"/>
  <c r="E265" i="29"/>
  <c r="H351" i="29"/>
  <c r="B332" i="29"/>
  <c r="D300" i="29"/>
  <c r="E272" i="29"/>
  <c r="G357" i="29"/>
  <c r="H329" i="29"/>
  <c r="E221" i="29"/>
  <c r="F176" i="29"/>
  <c r="B182" i="29"/>
  <c r="F267" i="29"/>
  <c r="G239" i="29"/>
  <c r="F214" i="29"/>
  <c r="G292" i="29"/>
  <c r="H242" i="29"/>
  <c r="D346" i="29"/>
  <c r="F310" i="29"/>
  <c r="G290" i="29"/>
  <c r="B376" i="29"/>
  <c r="D344" i="29"/>
  <c r="F46" i="29"/>
  <c r="D65" i="29"/>
  <c r="F38" i="29"/>
  <c r="D108" i="29"/>
  <c r="H38" i="29"/>
  <c r="H88" i="29"/>
  <c r="B250" i="29"/>
  <c r="D200" i="29"/>
  <c r="E75" i="29"/>
  <c r="G166" i="29"/>
  <c r="B235" i="29"/>
  <c r="E165" i="29"/>
  <c r="G88" i="29"/>
  <c r="H73" i="29"/>
  <c r="B192" i="29"/>
  <c r="B49" i="29"/>
  <c r="F111" i="29"/>
  <c r="B120" i="29"/>
  <c r="E217" i="29"/>
  <c r="F225" i="29"/>
  <c r="F26" i="29"/>
  <c r="F127" i="29"/>
  <c r="E134" i="29"/>
  <c r="F138" i="29"/>
  <c r="D132" i="29"/>
  <c r="E229" i="29"/>
  <c r="H226" i="29"/>
  <c r="G65" i="29"/>
  <c r="F252" i="29"/>
  <c r="E235" i="29"/>
  <c r="E60" i="29"/>
  <c r="F163" i="29"/>
  <c r="G135" i="29"/>
  <c r="G107" i="29"/>
  <c r="H79" i="29"/>
  <c r="F165" i="29"/>
  <c r="G230" i="29"/>
  <c r="H206" i="29"/>
  <c r="E208" i="29"/>
  <c r="B130" i="29"/>
  <c r="E220" i="29"/>
  <c r="E215" i="29"/>
  <c r="D206" i="29"/>
  <c r="D178" i="29"/>
  <c r="G263" i="29"/>
  <c r="F238" i="29"/>
  <c r="G316" i="29"/>
  <c r="H284" i="29"/>
  <c r="D370" i="29"/>
  <c r="F334" i="29"/>
  <c r="G314" i="29"/>
  <c r="H282" i="29"/>
  <c r="D368" i="29"/>
  <c r="E340" i="29"/>
  <c r="F312" i="29"/>
  <c r="F102" i="29"/>
  <c r="H261" i="29"/>
  <c r="B128" i="29"/>
  <c r="D250" i="29"/>
  <c r="E222" i="29"/>
  <c r="D197" i="29"/>
  <c r="E275" i="29"/>
  <c r="G360" i="29"/>
  <c r="H328" i="29"/>
  <c r="D293" i="29"/>
  <c r="E273" i="29"/>
  <c r="G358" i="29"/>
  <c r="H326" i="29"/>
  <c r="B48" i="29"/>
  <c r="B62" i="29"/>
  <c r="B202" i="29"/>
  <c r="D198" i="29"/>
  <c r="B162" i="29"/>
  <c r="G255" i="29"/>
  <c r="F230" i="29"/>
  <c r="G308" i="29"/>
  <c r="H276" i="29"/>
  <c r="D362" i="29"/>
  <c r="F326" i="29"/>
  <c r="G306" i="29"/>
  <c r="H274" i="29"/>
  <c r="D360" i="29"/>
  <c r="E332" i="29"/>
  <c r="F304" i="29"/>
  <c r="H151" i="29"/>
  <c r="F244" i="29"/>
  <c r="E267" i="29"/>
  <c r="D242" i="29"/>
  <c r="E214" i="29"/>
  <c r="B189" i="29"/>
  <c r="H266" i="29"/>
  <c r="G352" i="29"/>
  <c r="H320" i="29"/>
  <c r="D285" i="29"/>
  <c r="E260" i="29"/>
  <c r="B176" i="29"/>
  <c r="H189" i="29"/>
  <c r="B190" i="29"/>
  <c r="F118" i="29"/>
  <c r="G247" i="29"/>
  <c r="F222" i="29"/>
  <c r="G300" i="29"/>
  <c r="H268" i="29"/>
  <c r="D354" i="29"/>
  <c r="F318" i="29"/>
  <c r="G298" i="29"/>
  <c r="G265" i="29"/>
  <c r="D352" i="29"/>
  <c r="E324" i="29"/>
  <c r="F296" i="29"/>
  <c r="E338" i="29"/>
  <c r="F87" i="29"/>
  <c r="H229" i="29"/>
  <c r="B258" i="29"/>
  <c r="D234" i="29"/>
  <c r="E206" i="29"/>
  <c r="B181" i="29"/>
  <c r="F266" i="29"/>
  <c r="G344" i="29"/>
  <c r="H312" i="29"/>
  <c r="D277" i="29"/>
  <c r="F362" i="29"/>
  <c r="G342" i="29"/>
  <c r="H310" i="29"/>
  <c r="B283" i="29"/>
  <c r="E368" i="29"/>
  <c r="F340" i="29"/>
  <c r="F197" i="29"/>
  <c r="H193" i="29"/>
  <c r="G192" i="29"/>
  <c r="B140" i="29"/>
  <c r="E250" i="29"/>
  <c r="D225" i="29"/>
  <c r="E303" i="29"/>
  <c r="F271" i="29"/>
  <c r="H356" i="29"/>
  <c r="D321" i="29"/>
  <c r="E301" i="29"/>
  <c r="F269" i="29"/>
  <c r="H354" i="29"/>
  <c r="B327" i="29"/>
  <c r="D299" i="29"/>
  <c r="H247" i="29"/>
  <c r="D308" i="29"/>
  <c r="D335" i="29"/>
  <c r="E278" i="29"/>
  <c r="D363" i="29"/>
  <c r="D226" i="29"/>
  <c r="G302" i="29"/>
  <c r="F241" i="29"/>
  <c r="B329" i="29"/>
  <c r="G260" i="29"/>
  <c r="B239" i="29"/>
  <c r="G349" i="29"/>
  <c r="D373" i="29"/>
  <c r="B293" i="29"/>
  <c r="G219" i="29"/>
  <c r="B356" i="29"/>
  <c r="D295" i="29"/>
  <c r="E298" i="29"/>
  <c r="E314" i="29"/>
  <c r="B269" i="29"/>
  <c r="G368" i="29"/>
  <c r="D372" i="29"/>
  <c r="E294" i="29"/>
  <c r="H373" i="29"/>
  <c r="F332" i="29"/>
  <c r="B241" i="29"/>
  <c r="G366" i="29"/>
  <c r="D303" i="29"/>
  <c r="G319" i="29"/>
  <c r="D208" i="29"/>
  <c r="D358" i="29"/>
  <c r="B307" i="29"/>
  <c r="H376" i="29"/>
  <c r="G343" i="29"/>
  <c r="B275" i="29"/>
  <c r="G101" i="29"/>
  <c r="F283" i="29"/>
  <c r="F373" i="29"/>
  <c r="F73" i="29"/>
  <c r="H31" i="29"/>
  <c r="F65" i="29"/>
  <c r="D84" i="29"/>
  <c r="G141" i="29"/>
  <c r="F174" i="29"/>
  <c r="E80" i="29"/>
  <c r="G201" i="29"/>
  <c r="G151" i="29"/>
  <c r="G246" i="29"/>
  <c r="B195" i="29"/>
  <c r="B61" i="29"/>
  <c r="H120" i="29"/>
  <c r="G118" i="29"/>
  <c r="H202" i="29"/>
  <c r="B143" i="29"/>
  <c r="E154" i="29"/>
  <c r="H130" i="29"/>
  <c r="B228" i="29"/>
  <c r="B124" i="29"/>
  <c r="G53" i="29"/>
  <c r="H140" i="29"/>
  <c r="G155" i="29"/>
  <c r="D149" i="29"/>
  <c r="H142" i="29"/>
  <c r="G250" i="29"/>
  <c r="F237" i="29"/>
  <c r="H153" i="29"/>
  <c r="D263" i="29"/>
  <c r="B246" i="29"/>
  <c r="G97" i="29"/>
  <c r="D174" i="29"/>
  <c r="E146" i="29"/>
  <c r="E118" i="29"/>
  <c r="F90" i="29"/>
  <c r="E52" i="29"/>
  <c r="E241" i="29"/>
  <c r="F217" i="29"/>
  <c r="B219" i="29"/>
  <c r="F175" i="29"/>
  <c r="E180" i="29"/>
  <c r="G232" i="29"/>
  <c r="H216" i="29"/>
  <c r="H188" i="29"/>
  <c r="G130" i="29"/>
  <c r="D249" i="29"/>
  <c r="E327" i="29"/>
  <c r="F295" i="29"/>
  <c r="E264" i="29"/>
  <c r="D345" i="29"/>
  <c r="E325" i="29"/>
  <c r="F293" i="29"/>
  <c r="G261" i="29"/>
  <c r="B351" i="29"/>
  <c r="D323" i="29"/>
  <c r="B156" i="29"/>
  <c r="B148" i="29"/>
  <c r="B175" i="29"/>
  <c r="H260" i="29"/>
  <c r="B233" i="29"/>
  <c r="H207" i="29"/>
  <c r="B286" i="29"/>
  <c r="E371" i="29"/>
  <c r="F339" i="29"/>
  <c r="H303" i="29"/>
  <c r="B284" i="29"/>
  <c r="E369" i="29"/>
  <c r="F337" i="29"/>
  <c r="H89" i="29"/>
  <c r="B231" i="29"/>
  <c r="E219" i="29"/>
  <c r="H208" i="29"/>
  <c r="H180" i="29"/>
  <c r="B47" i="29"/>
  <c r="D241" i="29"/>
  <c r="E319" i="29"/>
  <c r="F287" i="29"/>
  <c r="H372" i="29"/>
  <c r="D337" i="29"/>
  <c r="E317" i="29"/>
  <c r="F285" i="29"/>
  <c r="H370" i="29"/>
  <c r="B343" i="29"/>
  <c r="D315" i="29"/>
  <c r="D124" i="29"/>
  <c r="H265" i="29"/>
  <c r="E149" i="29"/>
  <c r="H252" i="29"/>
  <c r="B225" i="29"/>
  <c r="H199" i="29"/>
  <c r="B278" i="29"/>
  <c r="E363" i="29"/>
  <c r="F331" i="29"/>
  <c r="H295" i="29"/>
  <c r="B43" i="29"/>
  <c r="F177" i="29"/>
  <c r="B206" i="29"/>
  <c r="H200" i="29"/>
  <c r="E169" i="29"/>
  <c r="E258" i="29"/>
  <c r="D233" i="29"/>
  <c r="E311" i="29"/>
  <c r="F279" i="29"/>
  <c r="H364" i="29"/>
  <c r="D329" i="29"/>
  <c r="E309" i="29"/>
  <c r="F277" i="29"/>
  <c r="H362" i="29"/>
  <c r="B335" i="29"/>
  <c r="D307" i="29"/>
  <c r="B377" i="29"/>
  <c r="D173" i="29"/>
  <c r="D251" i="29"/>
  <c r="B71" i="29"/>
  <c r="H244" i="29"/>
  <c r="B217" i="29"/>
  <c r="G191" i="29"/>
  <c r="B270" i="29"/>
  <c r="E355" i="29"/>
  <c r="F323" i="29"/>
  <c r="H287" i="29"/>
  <c r="B268" i="29"/>
  <c r="E353" i="29"/>
  <c r="F321" i="29"/>
  <c r="G293" i="29"/>
  <c r="H262" i="29"/>
  <c r="G69" i="29"/>
  <c r="B199" i="29"/>
  <c r="E211" i="29"/>
  <c r="F203" i="29"/>
  <c r="D175" i="29"/>
  <c r="B261" i="29"/>
  <c r="H235" i="29"/>
  <c r="B314" i="29"/>
  <c r="D282" i="29"/>
  <c r="F367" i="29"/>
  <c r="H331" i="29"/>
  <c r="B312" i="29"/>
  <c r="D280" i="29"/>
  <c r="F365" i="29"/>
  <c r="G337" i="29"/>
  <c r="H309" i="29"/>
  <c r="B326" i="29"/>
  <c r="H350" i="29"/>
  <c r="D351" i="29"/>
  <c r="E358" i="29"/>
  <c r="G363" i="29"/>
  <c r="E198" i="29"/>
  <c r="E345" i="29"/>
  <c r="H289" i="29"/>
  <c r="D377" i="29"/>
  <c r="H236" i="29"/>
  <c r="B308" i="29"/>
  <c r="D252" i="29"/>
  <c r="G339" i="29"/>
  <c r="G303" i="29"/>
  <c r="E194" i="29"/>
  <c r="F281" i="29"/>
  <c r="H321" i="29"/>
  <c r="F370" i="29"/>
  <c r="B325" i="29"/>
  <c r="H166" i="29"/>
  <c r="H336" i="29"/>
  <c r="B299" i="29"/>
  <c r="D369" i="29"/>
  <c r="E322" i="29"/>
  <c r="G307" i="29"/>
  <c r="H215" i="29"/>
  <c r="D292" i="29"/>
  <c r="D327" i="29"/>
  <c r="H114" i="29"/>
  <c r="G68" i="29"/>
  <c r="H106" i="29"/>
  <c r="G81" i="29"/>
  <c r="G117" i="29"/>
  <c r="H146" i="29"/>
  <c r="H156" i="29"/>
  <c r="F204" i="29"/>
  <c r="E162" i="29"/>
  <c r="E257" i="29"/>
  <c r="D227" i="29"/>
  <c r="E29" i="29"/>
  <c r="G131" i="29"/>
  <c r="H150" i="29"/>
  <c r="D113" i="29"/>
  <c r="B115" i="29"/>
  <c r="F67" i="29"/>
  <c r="F141" i="29"/>
  <c r="E249" i="29"/>
  <c r="D171" i="29"/>
  <c r="G153" i="29"/>
  <c r="D162" i="29"/>
  <c r="E166" i="29"/>
  <c r="H159" i="29"/>
  <c r="D164" i="29"/>
  <c r="E261" i="29"/>
  <c r="G134" i="29"/>
  <c r="G177" i="29"/>
  <c r="B105" i="29"/>
  <c r="H49" i="29"/>
  <c r="E127" i="29"/>
  <c r="G64" i="29"/>
  <c r="B157" i="29"/>
  <c r="D129" i="29"/>
  <c r="D101" i="29"/>
  <c r="B152" i="29"/>
  <c r="B252" i="29"/>
  <c r="D228" i="29"/>
  <c r="G229" i="29"/>
  <c r="G147" i="29"/>
  <c r="F212" i="29"/>
  <c r="G248" i="29"/>
  <c r="F227" i="29"/>
  <c r="G199" i="29"/>
  <c r="G172" i="29"/>
  <c r="H259" i="29"/>
  <c r="B338" i="29"/>
  <c r="D306" i="29"/>
  <c r="F270" i="29"/>
  <c r="H355" i="29"/>
  <c r="B336" i="29"/>
  <c r="D304" i="29"/>
  <c r="E276" i="29"/>
  <c r="G361" i="29"/>
  <c r="H333" i="29"/>
  <c r="E253" i="29"/>
  <c r="D183" i="29"/>
  <c r="B186" i="29"/>
  <c r="E86" i="29"/>
  <c r="G243" i="29"/>
  <c r="F218" i="29"/>
  <c r="G296" i="29"/>
  <c r="H258" i="29"/>
  <c r="D350" i="29"/>
  <c r="F314" i="29"/>
  <c r="G294" i="29"/>
  <c r="H250" i="29"/>
  <c r="D348" i="29"/>
  <c r="E83" i="29"/>
  <c r="B191" i="29"/>
  <c r="G236" i="29"/>
  <c r="F219" i="29"/>
  <c r="F191" i="29"/>
  <c r="D151" i="29"/>
  <c r="H251" i="29"/>
  <c r="B330" i="29"/>
  <c r="D298" i="29"/>
  <c r="F249" i="29"/>
  <c r="H347" i="29"/>
  <c r="B328" i="29"/>
  <c r="D296" i="29"/>
  <c r="E268" i="29"/>
  <c r="G353" i="29"/>
  <c r="H325" i="29"/>
  <c r="D189" i="29"/>
  <c r="E161" i="29"/>
  <c r="B178" i="29"/>
  <c r="F263" i="29"/>
  <c r="G235" i="29"/>
  <c r="F210" i="29"/>
  <c r="G288" i="29"/>
  <c r="B374" i="29"/>
  <c r="D342" i="29"/>
  <c r="F306" i="29"/>
  <c r="D130" i="29"/>
  <c r="B93" i="29"/>
  <c r="E223" i="29"/>
  <c r="F211" i="29"/>
  <c r="F183" i="29"/>
  <c r="G87" i="29"/>
  <c r="H243" i="29"/>
  <c r="B322" i="29"/>
  <c r="D290" i="29"/>
  <c r="B243" i="29"/>
  <c r="H339" i="29"/>
  <c r="B320" i="29"/>
  <c r="D288" i="29"/>
  <c r="E240" i="29"/>
  <c r="G345" i="29"/>
  <c r="H317" i="29"/>
  <c r="E350" i="29"/>
  <c r="F145" i="29"/>
  <c r="G83" i="29"/>
  <c r="B158" i="29"/>
  <c r="F255" i="29"/>
  <c r="G227" i="29"/>
  <c r="F202" i="29"/>
  <c r="G280" i="29"/>
  <c r="B366" i="29"/>
  <c r="D334" i="29"/>
  <c r="F298" i="29"/>
  <c r="G278" i="29"/>
  <c r="B364" i="29"/>
  <c r="D332" i="29"/>
  <c r="E304" i="29"/>
  <c r="F276" i="29"/>
  <c r="D154" i="29"/>
  <c r="G160" i="29"/>
  <c r="E227" i="29"/>
  <c r="D214" i="29"/>
  <c r="D186" i="29"/>
  <c r="D109" i="29"/>
  <c r="F246" i="29"/>
  <c r="G324" i="29"/>
  <c r="H292" i="29"/>
  <c r="G253" i="29"/>
  <c r="F342" i="29"/>
  <c r="G322" i="29"/>
  <c r="H290" i="29"/>
  <c r="B251" i="29"/>
  <c r="E348" i="29"/>
  <c r="H164" i="29"/>
  <c r="D294" i="29"/>
  <c r="E280" i="29"/>
  <c r="G347" i="29"/>
  <c r="G279" i="29"/>
  <c r="F364" i="29"/>
  <c r="H169" i="29"/>
  <c r="H270" i="29"/>
  <c r="F316" i="29"/>
  <c r="B289" i="29"/>
  <c r="B209" i="29"/>
  <c r="G350" i="29"/>
  <c r="F292" i="29"/>
  <c r="G287" i="29"/>
  <c r="G271" i="29"/>
  <c r="G272" i="29"/>
  <c r="D324" i="29"/>
  <c r="D343" i="29"/>
  <c r="E310" i="29"/>
  <c r="B369" i="29"/>
  <c r="H115" i="29"/>
  <c r="D301" i="29"/>
  <c r="E328" i="29"/>
  <c r="G327" i="29"/>
  <c r="E374" i="29"/>
  <c r="B353" i="29"/>
  <c r="B294" i="29"/>
  <c r="H334" i="29"/>
  <c r="H345" i="29"/>
  <c r="D376" i="29"/>
  <c r="B194" i="29"/>
  <c r="G286" i="29"/>
  <c r="B363" i="29"/>
  <c r="B297" i="29"/>
  <c r="E302" i="29"/>
  <c r="G365" i="29"/>
  <c r="G212" i="29"/>
  <c r="B292" i="29"/>
  <c r="H90" i="29"/>
  <c r="B159" i="29"/>
  <c r="H82" i="29"/>
  <c r="D75" i="29"/>
  <c r="D115" i="29"/>
  <c r="B212" i="29"/>
  <c r="B129" i="29"/>
  <c r="F27" i="29"/>
  <c r="H123" i="29"/>
  <c r="G190" i="29"/>
  <c r="H237" i="29"/>
  <c r="D147" i="29"/>
  <c r="E174" i="29"/>
  <c r="F161" i="29"/>
  <c r="F193" i="29"/>
  <c r="G148" i="29"/>
  <c r="F83" i="29"/>
  <c r="H162" i="29"/>
  <c r="H111" i="29"/>
  <c r="D184" i="29"/>
  <c r="B119" i="29"/>
  <c r="G61" i="29"/>
  <c r="H26" i="29"/>
  <c r="F170" i="29"/>
  <c r="G142" i="29"/>
  <c r="G122" i="29"/>
  <c r="H173" i="29"/>
  <c r="E188" i="29"/>
  <c r="G164" i="29"/>
  <c r="D46" i="29"/>
  <c r="H85" i="29"/>
  <c r="B82" i="29"/>
  <c r="G167" i="29"/>
  <c r="H139" i="29"/>
  <c r="B112" i="29"/>
  <c r="D177" i="29"/>
  <c r="G262" i="29"/>
  <c r="H238" i="29"/>
  <c r="E82" i="29"/>
  <c r="G119" i="29"/>
  <c r="D239" i="29"/>
  <c r="B262" i="29"/>
  <c r="D238" i="29"/>
  <c r="E210" i="29"/>
  <c r="B185" i="29"/>
  <c r="E252" i="29"/>
  <c r="G348" i="29"/>
  <c r="H316" i="29"/>
  <c r="D281" i="29"/>
  <c r="E244" i="29"/>
  <c r="G346" i="29"/>
  <c r="H314" i="29"/>
  <c r="B287" i="29"/>
  <c r="E372" i="29"/>
  <c r="B21" i="29"/>
  <c r="F229" i="29"/>
  <c r="G200" i="29"/>
  <c r="G196" i="29"/>
  <c r="G158" i="29"/>
  <c r="E254" i="29"/>
  <c r="D229" i="29"/>
  <c r="E307" i="29"/>
  <c r="F275" i="29"/>
  <c r="H360" i="29"/>
  <c r="D325" i="29"/>
  <c r="E305" i="29"/>
  <c r="F273" i="29"/>
  <c r="H358" i="29"/>
  <c r="B169" i="29"/>
  <c r="H221" i="29"/>
  <c r="B254" i="29"/>
  <c r="D230" i="29"/>
  <c r="E202" i="29"/>
  <c r="B177" i="29"/>
  <c r="F262" i="29"/>
  <c r="G340" i="29"/>
  <c r="H308" i="29"/>
  <c r="D273" i="29"/>
  <c r="F358" i="29"/>
  <c r="G338" i="29"/>
  <c r="H306" i="29"/>
  <c r="B279" i="29"/>
  <c r="E364" i="29"/>
  <c r="F336" i="29"/>
  <c r="B144" i="29"/>
  <c r="D187" i="29"/>
  <c r="G188" i="29"/>
  <c r="H107" i="29"/>
  <c r="E246" i="29"/>
  <c r="D221" i="29"/>
  <c r="E299" i="29"/>
  <c r="B267" i="29"/>
  <c r="H352" i="29"/>
  <c r="D317" i="29"/>
  <c r="G104" i="29"/>
  <c r="F200" i="29"/>
  <c r="G240" i="29"/>
  <c r="D222" i="29"/>
  <c r="D194" i="29"/>
  <c r="D159" i="29"/>
  <c r="F254" i="29"/>
  <c r="G332" i="29"/>
  <c r="E356" i="29"/>
  <c r="D213" i="29"/>
  <c r="B315" i="29"/>
  <c r="D257" i="29"/>
  <c r="E316" i="29"/>
  <c r="H313" i="29"/>
  <c r="F354" i="29"/>
  <c r="H279" i="29"/>
  <c r="D255" i="29"/>
  <c r="G283" i="29"/>
  <c r="H361" i="29"/>
  <c r="F300" i="29"/>
  <c r="B313" i="29"/>
  <c r="H273" i="29"/>
  <c r="B38" i="29"/>
  <c r="F297" i="29"/>
  <c r="F356" i="29"/>
  <c r="D240" i="29"/>
  <c r="H204" i="29"/>
  <c r="F348" i="29"/>
  <c r="F328" i="29"/>
  <c r="E291" i="29"/>
  <c r="D287" i="29"/>
  <c r="E335" i="29"/>
  <c r="B359" i="29"/>
  <c r="B285" i="29"/>
  <c r="F313" i="29"/>
  <c r="D276" i="29"/>
  <c r="F247" i="29"/>
  <c r="B317" i="29"/>
  <c r="G168" i="29"/>
  <c r="F344" i="29"/>
  <c r="D179" i="29"/>
  <c r="B305" i="29"/>
  <c r="D195" i="29"/>
  <c r="D340" i="29"/>
  <c r="E370" i="29"/>
  <c r="H302" i="29"/>
  <c r="E262" i="29"/>
  <c r="B345" i="29"/>
  <c r="H300" i="29"/>
  <c r="B277" i="29"/>
  <c r="G376" i="29"/>
  <c r="E126" i="29"/>
  <c r="F303" i="29"/>
  <c r="F288" i="29"/>
  <c r="G351" i="29"/>
  <c r="E344" i="29"/>
  <c r="E320" i="29"/>
  <c r="B358" i="29"/>
  <c r="B357" i="29"/>
  <c r="E230" i="29"/>
  <c r="G275" i="29"/>
  <c r="B39" i="29"/>
  <c r="B349" i="29"/>
  <c r="G150" i="29"/>
  <c r="G269" i="29"/>
  <c r="E377" i="29"/>
  <c r="B339" i="29"/>
  <c r="D237" i="29"/>
  <c r="D260" i="29"/>
  <c r="G210" i="29"/>
  <c r="H344" i="29"/>
  <c r="F208" i="29"/>
  <c r="H267" i="29"/>
  <c r="E176" i="29"/>
  <c r="D359" i="29"/>
  <c r="H337" i="29"/>
  <c r="F320" i="29"/>
  <c r="F290" i="29"/>
  <c r="D371" i="29"/>
  <c r="E283" i="29"/>
  <c r="B309" i="29"/>
  <c r="D248" i="29"/>
  <c r="F366" i="29"/>
  <c r="F226" i="29"/>
  <c r="G333" i="29"/>
  <c r="E342" i="29"/>
  <c r="D311" i="29"/>
  <c r="E315" i="29"/>
  <c r="F350" i="29"/>
  <c r="B172" i="29"/>
  <c r="D309" i="29"/>
  <c r="G244" i="29"/>
  <c r="D353" i="29"/>
  <c r="H119" i="29"/>
  <c r="G359" i="29"/>
  <c r="H369" i="29"/>
  <c r="E306" i="29"/>
  <c r="E313" i="29"/>
  <c r="G371" i="29"/>
  <c r="B276" i="29"/>
  <c r="B321" i="29"/>
  <c r="H311" i="29"/>
  <c r="G331" i="29"/>
  <c r="G304" i="29"/>
  <c r="D279" i="29"/>
  <c r="F377" i="29"/>
  <c r="B341" i="29"/>
  <c r="H368" i="29"/>
  <c r="G330" i="29"/>
  <c r="G180" i="29"/>
  <c r="E289" i="29"/>
  <c r="H224" i="29"/>
  <c r="E333" i="29"/>
  <c r="B259" i="29"/>
  <c r="G377" i="29"/>
  <c r="E290" i="29"/>
  <c r="D367" i="29"/>
  <c r="H366" i="29"/>
  <c r="E346" i="29"/>
  <c r="E361" i="29"/>
  <c r="D365" i="29"/>
  <c r="B324" i="29"/>
  <c r="F372" i="29"/>
  <c r="H272" i="29"/>
  <c r="D331" i="29"/>
  <c r="G291" i="29"/>
  <c r="H353" i="29"/>
  <c r="G334" i="29"/>
  <c r="H298" i="29"/>
  <c r="D266" i="29"/>
  <c r="G374" i="29"/>
  <c r="H196" i="29"/>
  <c r="F301" i="29"/>
  <c r="F261" i="29"/>
  <c r="E247" i="29"/>
  <c r="H233" i="29"/>
  <c r="H367" i="29"/>
  <c r="B323" i="29"/>
  <c r="F360" i="29"/>
  <c r="F329" i="29"/>
  <c r="G375" i="29"/>
  <c r="E256" i="29"/>
  <c r="G267" i="29"/>
  <c r="F322" i="29"/>
  <c r="D347" i="29"/>
  <c r="E270" i="29"/>
  <c r="G323" i="29"/>
  <c r="G309" i="29"/>
  <c r="B271" i="29"/>
  <c r="E238" i="29"/>
  <c r="H342" i="29"/>
  <c r="B166" i="29"/>
  <c r="G273" i="29"/>
  <c r="E312" i="29"/>
  <c r="F258" i="29"/>
  <c r="G183" i="29"/>
  <c r="E282" i="29"/>
  <c r="F268" i="29"/>
  <c r="F376" i="29"/>
  <c r="B355" i="29"/>
  <c r="H377" i="29"/>
  <c r="B331" i="29"/>
  <c r="E334" i="29"/>
  <c r="E329" i="29"/>
  <c r="G315" i="29"/>
  <c r="D333" i="29"/>
  <c r="G209" i="29"/>
  <c r="H281" i="29"/>
  <c r="AF120" i="31"/>
  <c r="F25" i="33"/>
  <c r="G24" i="33"/>
  <c r="H24" i="33" s="1"/>
  <c r="G49" i="28"/>
  <c r="E118" i="28"/>
  <c r="D63" i="28"/>
  <c r="G86" i="28"/>
  <c r="B166" i="28"/>
  <c r="B120" i="28"/>
  <c r="E179" i="28"/>
  <c r="E112" i="28"/>
  <c r="G96" i="28"/>
  <c r="E48" i="28"/>
  <c r="G189" i="28"/>
  <c r="H82" i="28"/>
  <c r="H87" i="28"/>
  <c r="E235" i="28"/>
  <c r="F188" i="28"/>
  <c r="D86" i="28"/>
  <c r="B80" i="28"/>
  <c r="B59" i="28"/>
  <c r="F200" i="28"/>
  <c r="F93" i="28"/>
  <c r="E22" i="28"/>
  <c r="D79" i="28"/>
  <c r="G200" i="28"/>
  <c r="H107" i="28"/>
  <c r="E101" i="28"/>
  <c r="B70" i="28"/>
  <c r="D211" i="28"/>
  <c r="D104" i="28"/>
  <c r="B33" i="28"/>
  <c r="B104" i="28"/>
  <c r="G212" i="28"/>
  <c r="F121" i="28"/>
  <c r="D37" i="28"/>
  <c r="B245" i="28"/>
  <c r="F230" i="28"/>
  <c r="F171" i="28"/>
  <c r="E136" i="28"/>
  <c r="D29" i="28"/>
  <c r="D34" i="28"/>
  <c r="D223" i="28"/>
  <c r="B175" i="28"/>
  <c r="F71" i="28"/>
  <c r="E67" i="28"/>
  <c r="B197" i="28"/>
  <c r="E254" i="28"/>
  <c r="F184" i="28"/>
  <c r="F82" i="28"/>
  <c r="B51" i="28"/>
  <c r="G19" i="28"/>
  <c r="F46" i="28"/>
  <c r="B53" i="28"/>
  <c r="H66" i="28"/>
  <c r="G263" i="28"/>
  <c r="H103" i="28"/>
  <c r="H133" i="28"/>
  <c r="E99" i="28"/>
  <c r="E28" i="28"/>
  <c r="H85" i="28"/>
  <c r="G41" i="28"/>
  <c r="D65" i="28"/>
  <c r="E143" i="28"/>
  <c r="E82" i="28"/>
  <c r="B158" i="28"/>
  <c r="F85" i="28"/>
  <c r="B277" i="28"/>
  <c r="B73" i="28"/>
  <c r="E214" i="28"/>
  <c r="H27" i="28"/>
  <c r="E19" i="28"/>
  <c r="D41" i="28"/>
  <c r="G73" i="28"/>
  <c r="E25" i="28"/>
  <c r="E88" i="28"/>
  <c r="G159" i="28"/>
  <c r="B230" i="28"/>
  <c r="D202" i="28"/>
  <c r="E21" i="28"/>
  <c r="G171" i="28"/>
  <c r="G271" i="28"/>
  <c r="B21" i="28"/>
  <c r="F187" i="28"/>
  <c r="E204" i="28"/>
  <c r="D176" i="28"/>
  <c r="H73" i="28"/>
  <c r="D342" i="28"/>
  <c r="D228" i="28"/>
  <c r="B90" i="28"/>
  <c r="F277" i="28"/>
  <c r="G237" i="28"/>
  <c r="B240" i="28"/>
  <c r="D283" i="28"/>
  <c r="G196" i="28"/>
  <c r="E370" i="28"/>
  <c r="H245" i="28"/>
  <c r="B310" i="28"/>
  <c r="G181" i="28"/>
  <c r="B224" i="28"/>
  <c r="F80" i="28"/>
  <c r="H145" i="28"/>
  <c r="F162" i="28"/>
  <c r="H212" i="28"/>
  <c r="D371" i="28"/>
  <c r="F129" i="28"/>
  <c r="E29" i="28"/>
  <c r="F44" i="28"/>
  <c r="G204" i="28"/>
  <c r="H57" i="28"/>
  <c r="F32" i="28"/>
  <c r="G25" i="28"/>
  <c r="B62" i="28"/>
  <c r="H124" i="28"/>
  <c r="D78" i="28"/>
  <c r="F73" i="28"/>
  <c r="E60" i="28"/>
  <c r="H129" i="28"/>
  <c r="B74" i="28"/>
  <c r="E97" i="28"/>
  <c r="G176" i="28"/>
  <c r="G132" i="28"/>
  <c r="B190" i="28"/>
  <c r="G18" i="28"/>
  <c r="E71" i="28"/>
  <c r="F140" i="28"/>
  <c r="G84" i="28"/>
  <c r="F22" i="28"/>
  <c r="E187" i="28"/>
  <c r="G144" i="28"/>
  <c r="H200" i="28"/>
  <c r="G30" i="28"/>
  <c r="B82" i="28"/>
  <c r="D151" i="28"/>
  <c r="E95" i="28"/>
  <c r="D33" i="28"/>
  <c r="D198" i="28"/>
  <c r="E32" i="28"/>
  <c r="F211" i="28"/>
  <c r="G42" i="28"/>
  <c r="H32" i="28"/>
  <c r="H147" i="28"/>
  <c r="G80" i="28"/>
  <c r="H221" i="28"/>
  <c r="E20" i="28"/>
  <c r="G43" i="28"/>
  <c r="D175" i="28"/>
  <c r="D127" i="28"/>
  <c r="H189" i="28"/>
  <c r="H48" i="28"/>
  <c r="D170" i="28"/>
  <c r="B145" i="28"/>
  <c r="H204" i="28"/>
  <c r="B92" i="28"/>
  <c r="H45" i="28"/>
  <c r="H19" i="28"/>
  <c r="B48" i="28"/>
  <c r="E108" i="28"/>
  <c r="D64" i="28"/>
  <c r="E138" i="28"/>
  <c r="B206" i="28"/>
  <c r="E167" i="28"/>
  <c r="H74" i="28"/>
  <c r="D23" i="28"/>
  <c r="D183" i="28"/>
  <c r="F36" i="28"/>
  <c r="E79" i="28"/>
  <c r="D60" i="28"/>
  <c r="D19" i="28"/>
  <c r="D98" i="28"/>
  <c r="B79" i="28"/>
  <c r="E85" i="28"/>
  <c r="H179" i="28"/>
  <c r="D108" i="28"/>
  <c r="G113" i="28"/>
  <c r="F51" i="28"/>
  <c r="E87" i="28"/>
  <c r="G161" i="28"/>
  <c r="B112" i="28"/>
  <c r="E176" i="28"/>
  <c r="D245" i="28"/>
  <c r="E171" i="28"/>
  <c r="F183" i="28"/>
  <c r="D207" i="28"/>
  <c r="H127" i="28"/>
  <c r="B161" i="28"/>
  <c r="E80" i="28"/>
  <c r="E166" i="28"/>
  <c r="B85" i="28"/>
  <c r="B307" i="28"/>
  <c r="F201" i="28"/>
  <c r="H28" i="28"/>
  <c r="G136" i="28"/>
  <c r="D42" i="28"/>
  <c r="E26" i="28"/>
  <c r="D22" i="28"/>
  <c r="G55" i="28"/>
  <c r="E210" i="28"/>
  <c r="E192" i="28"/>
  <c r="E156" i="28"/>
  <c r="D55" i="28"/>
  <c r="E215" i="28"/>
  <c r="G20" i="28"/>
  <c r="H53" i="28"/>
  <c r="E56" i="28"/>
  <c r="E35" i="28"/>
  <c r="F135" i="28"/>
  <c r="G103" i="28"/>
  <c r="B18" i="28"/>
  <c r="B226" i="28"/>
  <c r="E31" i="28"/>
  <c r="E27" i="28"/>
  <c r="B86" i="28"/>
  <c r="G56" i="28"/>
  <c r="D146" i="28"/>
  <c r="D118" i="28"/>
  <c r="G28" i="28"/>
  <c r="G236" i="28"/>
  <c r="B42" i="28"/>
  <c r="G48" i="28"/>
  <c r="F107" i="28"/>
  <c r="H24" i="28"/>
  <c r="H156" i="28"/>
  <c r="B131" i="28"/>
  <c r="B44" i="28"/>
  <c r="E233" i="28"/>
  <c r="G92" i="28"/>
  <c r="H161" i="28"/>
  <c r="D106" i="28"/>
  <c r="E24" i="28"/>
  <c r="F118" i="28"/>
  <c r="G224" i="28"/>
  <c r="B134" i="28"/>
  <c r="H55" i="28"/>
  <c r="G255" i="28"/>
  <c r="F242" i="28"/>
  <c r="H184" i="28"/>
  <c r="D92" i="28"/>
  <c r="D30" i="28"/>
  <c r="H65" i="28"/>
  <c r="G137" i="28"/>
  <c r="D56" i="28"/>
  <c r="E152" i="28"/>
  <c r="H223" i="28"/>
  <c r="B150" i="28"/>
  <c r="D154" i="28"/>
  <c r="B159" i="28"/>
  <c r="G60" i="28"/>
  <c r="B114" i="28"/>
  <c r="H20" i="28"/>
  <c r="F59" i="28"/>
  <c r="G32" i="28"/>
  <c r="D89" i="28"/>
  <c r="H188" i="28"/>
  <c r="B167" i="28"/>
  <c r="E105" i="28"/>
  <c r="G108" i="28"/>
  <c r="H207" i="28"/>
  <c r="E92" i="28"/>
  <c r="D61" i="28"/>
  <c r="B34" i="28"/>
  <c r="D112" i="28"/>
  <c r="F212" i="28"/>
  <c r="F128" i="28"/>
  <c r="D43" i="28"/>
  <c r="G115" i="28"/>
  <c r="E294" i="28"/>
  <c r="B20" i="28"/>
  <c r="E213" i="28"/>
  <c r="F258" i="28"/>
  <c r="E121" i="28"/>
  <c r="H143" i="28"/>
  <c r="B178" i="28"/>
  <c r="H313" i="28"/>
  <c r="F116" i="28"/>
  <c r="D84" i="28"/>
  <c r="G276" i="28"/>
  <c r="H251" i="28"/>
  <c r="F314" i="28"/>
  <c r="D338" i="28"/>
  <c r="F311" i="28"/>
  <c r="F371" i="28"/>
  <c r="G170" i="28"/>
  <c r="D120" i="28"/>
  <c r="F321" i="28"/>
  <c r="D297" i="28"/>
  <c r="B212" i="28"/>
  <c r="B109" i="28"/>
  <c r="G111" i="28"/>
  <c r="D162" i="28"/>
  <c r="H234" i="28"/>
  <c r="D249" i="28"/>
  <c r="F148" i="28"/>
  <c r="E38" i="28"/>
  <c r="E83" i="28"/>
  <c r="G51" i="28"/>
  <c r="H90" i="28"/>
  <c r="H31" i="28"/>
  <c r="G109" i="28"/>
  <c r="H18" i="28"/>
  <c r="F144" i="28"/>
  <c r="E207" i="28"/>
  <c r="F39" i="28"/>
  <c r="E147" i="28"/>
  <c r="H52" i="28"/>
  <c r="G47" i="28"/>
  <c r="F43" i="28"/>
  <c r="E77" i="28"/>
  <c r="B221" i="28"/>
  <c r="F204" i="28"/>
  <c r="D50" i="28"/>
  <c r="B19" i="28"/>
  <c r="G63" i="28"/>
  <c r="E69" i="28"/>
  <c r="B65" i="28"/>
  <c r="G98" i="28"/>
  <c r="G231" i="28"/>
  <c r="F216" i="28"/>
  <c r="H60" i="28"/>
  <c r="G29" i="28"/>
  <c r="F74" i="28"/>
  <c r="G90" i="28"/>
  <c r="F86" i="28"/>
  <c r="F34" i="28"/>
  <c r="E242" i="28"/>
  <c r="F228" i="28"/>
  <c r="H229" i="28"/>
  <c r="B164" i="28"/>
  <c r="E39" i="28"/>
  <c r="F75" i="28"/>
  <c r="G52" i="28"/>
  <c r="E66" i="28"/>
  <c r="Q103" i="21" s="1"/>
  <c r="H208" i="28"/>
  <c r="G57" i="28"/>
  <c r="D222" i="28"/>
  <c r="G54" i="28"/>
  <c r="H75" i="28"/>
  <c r="F158" i="28"/>
  <c r="F29" i="28"/>
  <c r="B71" i="28"/>
  <c r="G39" i="28"/>
  <c r="F60" i="28"/>
  <c r="F57" i="28"/>
  <c r="B187" i="28"/>
  <c r="G99" i="28"/>
  <c r="E91" i="28"/>
  <c r="F79" i="28"/>
  <c r="B269" i="28"/>
  <c r="G208" i="28"/>
  <c r="D93" i="28"/>
  <c r="H61" i="28"/>
  <c r="E30" i="28"/>
  <c r="B64" i="28"/>
  <c r="G74" i="28"/>
  <c r="D80" i="28"/>
  <c r="E274" i="28"/>
  <c r="H119" i="28"/>
  <c r="H157" i="28"/>
  <c r="D51" i="28"/>
  <c r="B27" i="28"/>
  <c r="E168" i="28"/>
  <c r="E61" i="28"/>
  <c r="F66" i="28"/>
  <c r="E211" i="28"/>
  <c r="F164" i="28"/>
  <c r="E227" i="28"/>
  <c r="B37" i="28"/>
  <c r="E202" i="28"/>
  <c r="E182" i="28"/>
  <c r="E226" i="28"/>
  <c r="E46" i="28"/>
  <c r="H171" i="28"/>
  <c r="E159" i="28"/>
  <c r="D116" i="28"/>
  <c r="E278" i="28"/>
  <c r="F38" i="28"/>
  <c r="B30" i="28"/>
  <c r="H51" i="28"/>
  <c r="G85" i="28"/>
  <c r="E37" i="28"/>
  <c r="B66" i="28"/>
  <c r="E170" i="28"/>
  <c r="D48" i="28"/>
  <c r="D218" i="28"/>
  <c r="B49" i="28"/>
  <c r="B94" i="28"/>
  <c r="F62" i="28"/>
  <c r="B107" i="28"/>
  <c r="H47" i="28"/>
  <c r="G121" i="28"/>
  <c r="G79" i="28"/>
  <c r="F156" i="28"/>
  <c r="G59" i="28"/>
  <c r="G104" i="28"/>
  <c r="E73" i="28"/>
  <c r="B119" i="28"/>
  <c r="E65" i="28"/>
  <c r="G26" i="28"/>
  <c r="F102" i="28"/>
  <c r="F168" i="28"/>
  <c r="G70" i="28"/>
  <c r="F24" i="28"/>
  <c r="B84" i="28"/>
  <c r="B24" i="28"/>
  <c r="H78" i="28"/>
  <c r="B40" i="28"/>
  <c r="H115" i="28"/>
  <c r="F180" i="28"/>
  <c r="E127" i="28"/>
  <c r="B88" i="28"/>
  <c r="H71" i="28"/>
  <c r="E40" i="28"/>
  <c r="D85" i="28"/>
  <c r="H37" i="28"/>
  <c r="D46" i="28"/>
  <c r="F167" i="28"/>
  <c r="B143" i="28"/>
  <c r="E68" i="28"/>
  <c r="F53" i="28"/>
  <c r="G183" i="28"/>
  <c r="B147" i="28"/>
  <c r="H39" i="28"/>
  <c r="H44" i="28"/>
  <c r="D187" i="28"/>
  <c r="D139" i="28"/>
  <c r="B202" i="28"/>
  <c r="F70" i="28"/>
  <c r="H180" i="28"/>
  <c r="B157" i="28"/>
  <c r="H220" i="28"/>
  <c r="G102" i="28"/>
  <c r="F56" i="28"/>
  <c r="F30" i="28"/>
  <c r="F61" i="28"/>
  <c r="E120" i="28"/>
  <c r="E76" i="28"/>
  <c r="B149" i="28"/>
  <c r="B218" i="28"/>
  <c r="G184" i="28"/>
  <c r="F101" i="28"/>
  <c r="B39" i="28"/>
  <c r="G105" i="28"/>
  <c r="E52" i="28"/>
  <c r="B76" i="28"/>
  <c r="E155" i="28"/>
  <c r="H105" i="28"/>
  <c r="G168" i="28"/>
  <c r="H98" i="28"/>
  <c r="B43" i="28"/>
  <c r="H100" i="28"/>
  <c r="E201" i="28"/>
  <c r="H34" i="28"/>
  <c r="H96" i="28"/>
  <c r="F147" i="28"/>
  <c r="H222" i="28"/>
  <c r="H227" i="28"/>
  <c r="H92" i="28"/>
  <c r="E340" i="28"/>
  <c r="G203" i="28"/>
  <c r="H233" i="28"/>
  <c r="D192" i="28"/>
  <c r="E206" i="28"/>
  <c r="F68" i="28"/>
  <c r="E114" i="28"/>
  <c r="G274" i="28"/>
  <c r="F340" i="28"/>
  <c r="D359" i="28"/>
  <c r="H309" i="28"/>
  <c r="B376" i="28"/>
  <c r="G152" i="28"/>
  <c r="G188" i="28"/>
  <c r="B97" i="28"/>
  <c r="B111" i="28"/>
  <c r="H282" i="28"/>
  <c r="G174" i="28"/>
  <c r="B153" i="28"/>
  <c r="B322" i="28"/>
  <c r="H167" i="28"/>
  <c r="B291" i="28"/>
  <c r="G348" i="28"/>
  <c r="H254" i="28"/>
  <c r="H206" i="28"/>
  <c r="H130" i="28"/>
  <c r="E124" i="28"/>
  <c r="E62" i="28"/>
  <c r="B98" i="28"/>
  <c r="G173" i="28"/>
  <c r="B127" i="28"/>
  <c r="E188" i="28"/>
  <c r="H255" i="28"/>
  <c r="E74" i="28"/>
  <c r="B72" i="28"/>
  <c r="G44" i="28"/>
  <c r="H125" i="28"/>
  <c r="F224" i="28"/>
  <c r="H141" i="28"/>
  <c r="G64" i="28"/>
  <c r="F127" i="28"/>
  <c r="F83" i="28"/>
  <c r="B28" i="28"/>
  <c r="D73" i="28"/>
  <c r="B61" i="28"/>
  <c r="G185" i="28"/>
  <c r="B139" i="28"/>
  <c r="H201" i="28"/>
  <c r="H69" i="28"/>
  <c r="G192" i="28"/>
  <c r="G38" i="28"/>
  <c r="H83" i="28"/>
  <c r="F28" i="28"/>
  <c r="H197" i="28"/>
  <c r="B151" i="28"/>
  <c r="H213" i="28"/>
  <c r="F96" i="28"/>
  <c r="F203" i="28"/>
  <c r="E49" i="28"/>
  <c r="E18" i="28"/>
  <c r="D39" i="28"/>
  <c r="H209" i="28"/>
  <c r="B163" i="28"/>
  <c r="H225" i="28"/>
  <c r="E36" i="28"/>
  <c r="D214" i="28"/>
  <c r="G239" i="28"/>
  <c r="D159" i="28"/>
  <c r="F81" i="28"/>
  <c r="F19" i="28"/>
  <c r="B55" i="28"/>
  <c r="B36" i="28"/>
  <c r="H94" i="28"/>
  <c r="B52" i="28"/>
  <c r="G127" i="28"/>
  <c r="F192" i="28"/>
  <c r="E151" i="28"/>
  <c r="H43" i="28"/>
  <c r="E103" i="28"/>
  <c r="F172" i="28"/>
  <c r="H25" i="28"/>
  <c r="G53" i="28"/>
  <c r="F219" i="28"/>
  <c r="G88" i="28"/>
  <c r="F72" i="28"/>
  <c r="B67" i="28"/>
  <c r="E42" i="28"/>
  <c r="D169" i="28"/>
  <c r="D87" i="28"/>
  <c r="G81" i="28"/>
  <c r="E50" i="28"/>
  <c r="E23" i="28"/>
  <c r="F95" i="28"/>
  <c r="D199" i="28"/>
  <c r="E115" i="28"/>
  <c r="H21" i="28"/>
  <c r="E102" i="28"/>
  <c r="E282" i="28"/>
  <c r="G232" i="28"/>
  <c r="D18" i="28"/>
  <c r="B126" i="28"/>
  <c r="F31" i="28"/>
  <c r="D81" i="28"/>
  <c r="B54" i="28"/>
  <c r="E34" i="28"/>
  <c r="G199" i="28"/>
  <c r="E180" i="28"/>
  <c r="E132" i="28"/>
  <c r="H120" i="28"/>
  <c r="G128" i="28"/>
  <c r="G172" i="28"/>
  <c r="E70" i="28"/>
  <c r="F54" i="28"/>
  <c r="G270" i="28"/>
  <c r="E161" i="28"/>
  <c r="G131" i="28"/>
  <c r="E311" i="28"/>
  <c r="D153" i="28"/>
  <c r="H278" i="28"/>
  <c r="B334" i="28"/>
  <c r="F229" i="28"/>
  <c r="G182" i="28"/>
  <c r="F103" i="28"/>
  <c r="G310" i="28"/>
  <c r="H304" i="28"/>
  <c r="D329" i="28"/>
  <c r="D121" i="28"/>
  <c r="G343" i="28"/>
  <c r="H219" i="28"/>
  <c r="E286" i="28"/>
  <c r="H63" i="28"/>
  <c r="B217" i="28"/>
  <c r="E75" i="28"/>
  <c r="F189" i="28"/>
  <c r="G37" i="28"/>
  <c r="B179" i="28"/>
  <c r="D72" i="28"/>
  <c r="D77" i="28"/>
  <c r="E223" i="28"/>
  <c r="F176" i="28"/>
  <c r="H26" i="28"/>
  <c r="E58" i="28"/>
  <c r="B213" i="28"/>
  <c r="E194" i="28"/>
  <c r="F99" i="28"/>
  <c r="G82" i="28"/>
  <c r="E55" i="28"/>
  <c r="H137" i="28"/>
  <c r="D67" i="28"/>
  <c r="H153" i="28"/>
  <c r="B38" i="28"/>
  <c r="D138" i="28"/>
  <c r="F113" i="28"/>
  <c r="E93" i="28"/>
  <c r="D66" i="28"/>
  <c r="H149" i="28"/>
  <c r="G97" i="28"/>
  <c r="H165" i="28"/>
  <c r="E59" i="28"/>
  <c r="H148" i="28"/>
  <c r="G125" i="28"/>
  <c r="F18" i="28"/>
  <c r="F23" i="28"/>
  <c r="D163" i="28"/>
  <c r="H113" i="28"/>
  <c r="H177" i="28"/>
  <c r="F27" i="28"/>
  <c r="F159" i="28"/>
  <c r="B133" i="28"/>
  <c r="B186" i="28"/>
  <c r="B60" i="28"/>
  <c r="B29" i="28"/>
  <c r="H49" i="28"/>
  <c r="D124" i="28"/>
  <c r="B87" i="28"/>
  <c r="E140" i="28"/>
  <c r="D213" i="28"/>
  <c r="B138" i="28"/>
  <c r="H140" i="28"/>
  <c r="G133" i="28"/>
  <c r="B50" i="28"/>
  <c r="H99" i="28"/>
  <c r="F63" i="28"/>
  <c r="D38" i="28"/>
  <c r="D59" i="28"/>
  <c r="H67" i="28"/>
  <c r="D178" i="28"/>
  <c r="B155" i="28"/>
  <c r="G93" i="28"/>
  <c r="F91" i="28"/>
  <c r="G195" i="28"/>
  <c r="G157" i="28"/>
  <c r="F50" i="28"/>
  <c r="F55" i="28"/>
  <c r="E199" i="28"/>
  <c r="F152" i="28"/>
  <c r="B214" i="28"/>
  <c r="H91" i="28"/>
  <c r="F191" i="28"/>
  <c r="B169" i="28"/>
  <c r="E86" i="28"/>
  <c r="G27" i="28"/>
  <c r="G72" i="28"/>
  <c r="B41" i="28"/>
  <c r="F77" i="28"/>
  <c r="B96" i="28"/>
  <c r="D96" i="28"/>
  <c r="B285" i="28"/>
  <c r="F132" i="28"/>
  <c r="H181" i="28"/>
  <c r="B46" i="28"/>
  <c r="B241" i="28"/>
  <c r="G50" i="28"/>
  <c r="H62" i="28"/>
  <c r="B75" i="28"/>
  <c r="G94" i="28"/>
  <c r="B106" i="28"/>
  <c r="E266" i="28"/>
  <c r="E164" i="28"/>
  <c r="B102" i="28"/>
  <c r="F136" i="28"/>
  <c r="E197" i="28"/>
  <c r="F283" i="28"/>
  <c r="H216" i="28"/>
  <c r="E363" i="28"/>
  <c r="H248" i="28"/>
  <c r="H311" i="28"/>
  <c r="E302" i="28"/>
  <c r="E89" i="28"/>
  <c r="E175" i="28"/>
  <c r="H68" i="28"/>
  <c r="F213" i="28"/>
  <c r="E230" i="28"/>
  <c r="B346" i="28"/>
  <c r="D322" i="28"/>
  <c r="E259" i="28"/>
  <c r="E351" i="28"/>
  <c r="F372" i="28"/>
  <c r="G194" i="28"/>
  <c r="G267" i="28"/>
  <c r="H342" i="28"/>
  <c r="G222" i="28"/>
  <c r="B135" i="28"/>
  <c r="H123" i="28"/>
  <c r="F175" i="28"/>
  <c r="H246" i="28"/>
  <c r="B63" i="28"/>
  <c r="B198" i="28"/>
  <c r="G361" i="28"/>
  <c r="G259" i="28"/>
  <c r="B268" i="28"/>
  <c r="D275" i="28"/>
  <c r="E96" i="28"/>
  <c r="G207" i="28"/>
  <c r="B193" i="28"/>
  <c r="F298" i="28"/>
  <c r="G223" i="28"/>
  <c r="H159" i="28"/>
  <c r="D197" i="28"/>
  <c r="E144" i="28"/>
  <c r="F226" i="28"/>
  <c r="B89" i="28"/>
  <c r="B339" i="28"/>
  <c r="F237" i="28"/>
  <c r="B317" i="28"/>
  <c r="F181" i="28"/>
  <c r="G251" i="28"/>
  <c r="H253" i="28"/>
  <c r="E261" i="28"/>
  <c r="F348" i="28"/>
  <c r="H300" i="28"/>
  <c r="F174" i="28"/>
  <c r="H343" i="28"/>
  <c r="F373" i="28"/>
  <c r="G95" i="28"/>
  <c r="F52" i="28"/>
  <c r="D129" i="28"/>
  <c r="E219" i="28"/>
  <c r="G210" i="28"/>
  <c r="F163" i="28"/>
  <c r="D315" i="28"/>
  <c r="F165" i="28"/>
  <c r="G165" i="28"/>
  <c r="G321" i="28"/>
  <c r="G218" i="28"/>
  <c r="D357" i="28"/>
  <c r="D238" i="28"/>
  <c r="G36" i="28"/>
  <c r="D285" i="28"/>
  <c r="F33" i="28"/>
  <c r="F194" i="28"/>
  <c r="F316" i="28"/>
  <c r="F366" i="28"/>
  <c r="E376" i="28"/>
  <c r="D356" i="28"/>
  <c r="F48" i="28"/>
  <c r="D181" i="28"/>
  <c r="D221" i="28"/>
  <c r="G193" i="28"/>
  <c r="D52" i="28"/>
  <c r="F196" i="28"/>
  <c r="E360" i="28"/>
  <c r="F261" i="28"/>
  <c r="B58" i="28"/>
  <c r="B223" i="28"/>
  <c r="B137" i="28"/>
  <c r="G280" i="28"/>
  <c r="F295" i="28"/>
  <c r="H264" i="28"/>
  <c r="D97" i="28"/>
  <c r="D115" i="28"/>
  <c r="E128" i="28"/>
  <c r="F26" i="28"/>
  <c r="D36" i="28"/>
  <c r="F254" i="28"/>
  <c r="F234" i="28"/>
  <c r="H93" i="28"/>
  <c r="D158" i="28"/>
  <c r="D260" i="28"/>
  <c r="G216" i="28"/>
  <c r="G178" i="28"/>
  <c r="D31" i="28"/>
  <c r="G335" i="28"/>
  <c r="F137" i="28"/>
  <c r="H274" i="28"/>
  <c r="F160" i="28"/>
  <c r="G275" i="28"/>
  <c r="B216" i="28"/>
  <c r="G260" i="28"/>
  <c r="F198" i="28"/>
  <c r="H376" i="28"/>
  <c r="G292" i="28"/>
  <c r="D335" i="28"/>
  <c r="D326" i="28"/>
  <c r="E346" i="28"/>
  <c r="H232" i="28"/>
  <c r="H228" i="28"/>
  <c r="D330" i="28"/>
  <c r="G69" i="28"/>
  <c r="H185" i="28"/>
  <c r="F209" i="28"/>
  <c r="B289" i="28"/>
  <c r="H162" i="28"/>
  <c r="G230" i="28"/>
  <c r="D194" i="28"/>
  <c r="H224" i="28"/>
  <c r="H215" i="28"/>
  <c r="G356" i="28"/>
  <c r="D230" i="28"/>
  <c r="E221" i="28"/>
  <c r="H155" i="28"/>
  <c r="E137" i="28"/>
  <c r="E220" i="28"/>
  <c r="E231" i="28"/>
  <c r="G100" i="28"/>
  <c r="F117" i="28"/>
  <c r="D195" i="28"/>
  <c r="H195" i="28"/>
  <c r="D134" i="28"/>
  <c r="H273" i="28"/>
  <c r="F153" i="28"/>
  <c r="G116" i="28"/>
  <c r="B311" i="28"/>
  <c r="D185" i="28"/>
  <c r="F346" i="28"/>
  <c r="H333" i="28"/>
  <c r="D354" i="28"/>
  <c r="E268" i="28"/>
  <c r="D244" i="28"/>
  <c r="E94" i="28"/>
  <c r="E275" i="28"/>
  <c r="F218" i="28"/>
  <c r="F105" i="28"/>
  <c r="G214" i="28"/>
  <c r="H38" i="28"/>
  <c r="E173" i="28"/>
  <c r="G151" i="28"/>
  <c r="G58" i="28"/>
  <c r="G297" i="28"/>
  <c r="D28" i="28"/>
  <c r="G229" i="28"/>
  <c r="H77" i="28"/>
  <c r="G220" i="28"/>
  <c r="E172" i="28"/>
  <c r="B108" i="28"/>
  <c r="D365" i="28"/>
  <c r="G313" i="28"/>
  <c r="D259" i="28"/>
  <c r="F302" i="28"/>
  <c r="G326" i="28"/>
  <c r="D362" i="28"/>
  <c r="E288" i="28"/>
  <c r="D83" i="28"/>
  <c r="E47" i="28"/>
  <c r="H139" i="28"/>
  <c r="H58" i="28"/>
  <c r="E229" i="28"/>
  <c r="H192" i="28"/>
  <c r="B215" i="28"/>
  <c r="H178" i="28"/>
  <c r="D215" i="28"/>
  <c r="E332" i="28"/>
  <c r="B77" i="28"/>
  <c r="D369" i="28"/>
  <c r="E263" i="28"/>
  <c r="G78" i="28"/>
  <c r="B301" i="28"/>
  <c r="H108" i="28"/>
  <c r="G114" i="28"/>
  <c r="F100" i="28"/>
  <c r="F356" i="28"/>
  <c r="F35" i="28"/>
  <c r="H46" i="28"/>
  <c r="G166" i="28"/>
  <c r="B233" i="28"/>
  <c r="E113" i="28"/>
  <c r="H163" i="28"/>
  <c r="F215" i="28"/>
  <c r="G213" i="28"/>
  <c r="G139" i="28"/>
  <c r="B314" i="28"/>
  <c r="B363" i="28"/>
  <c r="D20" i="28"/>
  <c r="G179" i="28"/>
  <c r="F166" i="28"/>
  <c r="D341" i="28"/>
  <c r="B302" i="28"/>
  <c r="G299" i="28"/>
  <c r="E169" i="28"/>
  <c r="H310" i="28"/>
  <c r="G227" i="28"/>
  <c r="F143" i="28"/>
  <c r="H166" i="28"/>
  <c r="D143" i="28"/>
  <c r="E348" i="28"/>
  <c r="D248" i="28"/>
  <c r="G83" i="28"/>
  <c r="E216" i="28"/>
  <c r="H106" i="28"/>
  <c r="F355" i="28"/>
  <c r="B294" i="28"/>
  <c r="D250" i="28"/>
  <c r="D172" i="28"/>
  <c r="G309" i="28"/>
  <c r="H377" i="28"/>
  <c r="D364" i="28"/>
  <c r="B182" i="28"/>
  <c r="B181" i="28"/>
  <c r="G191" i="28"/>
  <c r="F202" i="28"/>
  <c r="G31" i="28"/>
  <c r="B31" i="28"/>
  <c r="E198" i="28"/>
  <c r="G160" i="28"/>
  <c r="F40" i="28"/>
  <c r="B188" i="28"/>
  <c r="D58" i="28"/>
  <c r="B177" i="28"/>
  <c r="E224" i="28"/>
  <c r="H30" i="28"/>
  <c r="F362" i="28"/>
  <c r="B337" i="28"/>
  <c r="F353" i="28"/>
  <c r="H172" i="28"/>
  <c r="F37" i="28"/>
  <c r="G65" i="28"/>
  <c r="B351" i="28"/>
  <c r="G138" i="28"/>
  <c r="D69" i="28"/>
  <c r="H341" i="28"/>
  <c r="F351" i="28"/>
  <c r="D155" i="28"/>
  <c r="H286" i="28"/>
  <c r="H260" i="28"/>
  <c r="D274" i="28"/>
  <c r="F279" i="28"/>
  <c r="B170" i="28"/>
  <c r="D206" i="28"/>
  <c r="H111" i="28"/>
  <c r="E53" i="28"/>
  <c r="B295" i="28"/>
  <c r="G186" i="28"/>
  <c r="E174" i="28"/>
  <c r="G332" i="28"/>
  <c r="F186" i="28"/>
  <c r="D302" i="28"/>
  <c r="B362" i="28"/>
  <c r="H84" i="28"/>
  <c r="D232" i="28"/>
  <c r="H154" i="28"/>
  <c r="B332" i="28"/>
  <c r="F206" i="28"/>
  <c r="D76" i="28"/>
  <c r="B204" i="28"/>
  <c r="D210" i="28"/>
  <c r="B160" i="28"/>
  <c r="E130" i="28"/>
  <c r="G117" i="28"/>
  <c r="H285" i="28"/>
  <c r="E191" i="28"/>
  <c r="H325" i="28"/>
  <c r="H250" i="28"/>
  <c r="H122" i="28"/>
  <c r="E84" i="28"/>
  <c r="E183" i="28"/>
  <c r="G367" i="28"/>
  <c r="B292" i="28"/>
  <c r="G357" i="28"/>
  <c r="B377" i="28"/>
  <c r="G142" i="28"/>
  <c r="E184" i="28"/>
  <c r="E145" i="28"/>
  <c r="B205" i="28"/>
  <c r="H54" i="28"/>
  <c r="F130" i="28"/>
  <c r="B142" i="28"/>
  <c r="H276" i="28"/>
  <c r="D94" i="28"/>
  <c r="E292" i="28"/>
  <c r="E320" i="28"/>
  <c r="E178" i="28"/>
  <c r="E98" i="28"/>
  <c r="F87" i="28"/>
  <c r="H319" i="28"/>
  <c r="B271" i="28"/>
  <c r="H353" i="28"/>
  <c r="F97" i="28"/>
  <c r="F276" i="28"/>
  <c r="F231" i="28"/>
  <c r="H176" i="28"/>
  <c r="F114" i="28"/>
  <c r="G22" i="28"/>
  <c r="E225" i="28"/>
  <c r="E100" i="28"/>
  <c r="E185" i="28"/>
  <c r="G167" i="28"/>
  <c r="H88" i="28"/>
  <c r="E308" i="28"/>
  <c r="D117" i="28"/>
  <c r="B255" i="28"/>
  <c r="B118" i="28"/>
  <c r="B162" i="28"/>
  <c r="F124" i="28"/>
  <c r="D166" i="28"/>
  <c r="E208" i="28"/>
  <c r="B335" i="28"/>
  <c r="B263" i="28"/>
  <c r="F370" i="28"/>
  <c r="G338" i="28"/>
  <c r="D135" i="28"/>
  <c r="B130" i="28"/>
  <c r="D252" i="28"/>
  <c r="F47" i="28"/>
  <c r="F239" i="28"/>
  <c r="E133" i="28"/>
  <c r="H72" i="28"/>
  <c r="E289" i="28"/>
  <c r="D119" i="28"/>
  <c r="D251" i="28"/>
  <c r="B306" i="28"/>
  <c r="E181" i="28"/>
  <c r="B128" i="28"/>
  <c r="H238" i="28"/>
  <c r="F288" i="28"/>
  <c r="G272" i="28"/>
  <c r="H295" i="28"/>
  <c r="H358" i="28"/>
  <c r="G244" i="28"/>
  <c r="E158" i="28"/>
  <c r="E258" i="28"/>
  <c r="D54" i="28"/>
  <c r="H160" i="28"/>
  <c r="D311" i="28"/>
  <c r="D164" i="28"/>
  <c r="B232" i="28"/>
  <c r="F331" i="28"/>
  <c r="D216" i="28"/>
  <c r="E298" i="28"/>
  <c r="H259" i="28"/>
  <c r="D292" i="28"/>
  <c r="D295" i="28"/>
  <c r="F266" i="28"/>
  <c r="B117" i="28"/>
  <c r="E123" i="28"/>
  <c r="B276" i="28"/>
  <c r="F161" i="28"/>
  <c r="G330" i="28"/>
  <c r="F271" i="28"/>
  <c r="F332" i="28"/>
  <c r="D308" i="28"/>
  <c r="G339" i="28"/>
  <c r="D317" i="28"/>
  <c r="F232" i="28"/>
  <c r="H196" i="28"/>
  <c r="B93" i="28"/>
  <c r="H110" i="28"/>
  <c r="G124" i="28"/>
  <c r="D53" i="28"/>
  <c r="E54" i="28"/>
  <c r="H102" i="28"/>
  <c r="H168" i="28"/>
  <c r="G112" i="28"/>
  <c r="F177" i="28"/>
  <c r="H136" i="28"/>
  <c r="E125" i="28"/>
  <c r="F307" i="28"/>
  <c r="D196" i="28"/>
  <c r="G21" i="28"/>
  <c r="E301" i="28"/>
  <c r="F345" i="28"/>
  <c r="B173" i="28"/>
  <c r="G187" i="28"/>
  <c r="G317" i="28"/>
  <c r="D319" i="28"/>
  <c r="D240" i="28"/>
  <c r="F139" i="28"/>
  <c r="D325" i="28"/>
  <c r="B25" i="28"/>
  <c r="E154" i="28"/>
  <c r="H375" i="28"/>
  <c r="G344" i="28"/>
  <c r="E354" i="28"/>
  <c r="G331" i="28"/>
  <c r="E270" i="28"/>
  <c r="D186" i="28"/>
  <c r="B199" i="28"/>
  <c r="E135" i="28"/>
  <c r="D266" i="28"/>
  <c r="D99" i="28"/>
  <c r="F146" i="28"/>
  <c r="H275" i="28"/>
  <c r="B152" i="28"/>
  <c r="B207" i="28"/>
  <c r="H336" i="28"/>
  <c r="B323" i="28"/>
  <c r="H279" i="28"/>
  <c r="G373" i="28"/>
  <c r="D25" i="28"/>
  <c r="B132" i="28"/>
  <c r="E160" i="28"/>
  <c r="G134" i="28"/>
  <c r="D190" i="28"/>
  <c r="H258" i="28"/>
  <c r="B110" i="28"/>
  <c r="G71" i="28"/>
  <c r="E372" i="28"/>
  <c r="G287" i="28"/>
  <c r="D280" i="28"/>
  <c r="B299" i="28"/>
  <c r="B141" i="28"/>
  <c r="B265" i="28"/>
  <c r="H235" i="28"/>
  <c r="D309" i="28"/>
  <c r="B251" i="28"/>
  <c r="H356" i="28"/>
  <c r="H366" i="28"/>
  <c r="F25" i="28"/>
  <c r="B234" i="28"/>
  <c r="H230" i="28"/>
  <c r="F64" i="28"/>
  <c r="H186" i="28"/>
  <c r="B101" i="28"/>
  <c r="E250" i="28"/>
  <c r="G264" i="28"/>
  <c r="D253" i="28"/>
  <c r="D303" i="28"/>
  <c r="B274" i="28"/>
  <c r="G126" i="28"/>
  <c r="G226" i="28"/>
  <c r="G190" i="28"/>
  <c r="H263" i="28"/>
  <c r="G225" i="28"/>
  <c r="B256" i="28"/>
  <c r="E333" i="28"/>
  <c r="G91" i="28"/>
  <c r="H365" i="28"/>
  <c r="B239" i="28"/>
  <c r="E153" i="28"/>
  <c r="F208" i="28"/>
  <c r="B156" i="28"/>
  <c r="E218" i="28"/>
  <c r="B95" i="28"/>
  <c r="D145" i="28"/>
  <c r="G180" i="28"/>
  <c r="H317" i="28"/>
  <c r="E117" i="28"/>
  <c r="E303" i="28"/>
  <c r="G341" i="28"/>
  <c r="D217" i="28"/>
  <c r="E142" i="28"/>
  <c r="D133" i="28"/>
  <c r="F330" i="28"/>
  <c r="D286" i="28"/>
  <c r="H266" i="28"/>
  <c r="E126" i="28"/>
  <c r="G288" i="28"/>
  <c r="F155" i="28"/>
  <c r="D130" i="28"/>
  <c r="D156" i="28"/>
  <c r="D75" i="28"/>
  <c r="G337" i="28"/>
  <c r="D236" i="28"/>
  <c r="F250" i="28"/>
  <c r="E375" i="28"/>
  <c r="H80" i="28"/>
  <c r="D49" i="28"/>
  <c r="H59" i="28"/>
  <c r="H70" i="28"/>
  <c r="D126" i="28"/>
  <c r="B253" i="28"/>
  <c r="E131" i="28"/>
  <c r="H40" i="28"/>
  <c r="B183" i="28"/>
  <c r="B91" i="28"/>
  <c r="B261" i="28"/>
  <c r="F111" i="28"/>
  <c r="D144" i="28"/>
  <c r="B373" i="28"/>
  <c r="B338" i="28"/>
  <c r="H239" i="28"/>
  <c r="F341" i="28"/>
  <c r="F106" i="28"/>
  <c r="F182" i="28"/>
  <c r="G130" i="28"/>
  <c r="B68" i="28"/>
  <c r="D263" i="28"/>
  <c r="F157" i="28"/>
  <c r="B113" i="28"/>
  <c r="B83" i="28"/>
  <c r="F151" i="28"/>
  <c r="B105" i="28"/>
  <c r="E321" i="28"/>
  <c r="D318" i="28"/>
  <c r="H347" i="28"/>
  <c r="G228" i="28"/>
  <c r="H231" i="28"/>
  <c r="D40" i="28"/>
  <c r="D21" i="28"/>
  <c r="E246" i="28"/>
  <c r="G24" i="28"/>
  <c r="G201" i="28"/>
  <c r="E119" i="28"/>
  <c r="F363" i="28"/>
  <c r="F253" i="28"/>
  <c r="D68" i="28"/>
  <c r="G307" i="28"/>
  <c r="F275" i="28"/>
  <c r="E240" i="28"/>
  <c r="G312" i="28"/>
  <c r="F179" i="28"/>
  <c r="D24" i="28"/>
  <c r="B210" i="28"/>
  <c r="D220" i="28"/>
  <c r="G61" i="28"/>
  <c r="H174" i="28"/>
  <c r="E64" i="28"/>
  <c r="E222" i="28"/>
  <c r="G248" i="28"/>
  <c r="D237" i="28"/>
  <c r="E367" i="28"/>
  <c r="E257" i="28"/>
  <c r="F84" i="28"/>
  <c r="D189" i="28"/>
  <c r="E165" i="28"/>
  <c r="F247" i="28"/>
  <c r="G372" i="28"/>
  <c r="D375" i="28"/>
  <c r="B252" i="28"/>
  <c r="H128" i="28"/>
  <c r="D90" i="28"/>
  <c r="H134" i="28"/>
  <c r="G141" i="28"/>
  <c r="E316" i="28"/>
  <c r="D212" i="28"/>
  <c r="H211" i="28"/>
  <c r="B354" i="28"/>
  <c r="B220" i="28"/>
  <c r="F323" i="28"/>
  <c r="H237" i="28"/>
  <c r="H146" i="28"/>
  <c r="F88" i="28"/>
  <c r="E212" i="28"/>
  <c r="E353" i="28"/>
  <c r="H360" i="28"/>
  <c r="D239" i="28"/>
  <c r="E186" i="28"/>
  <c r="E305" i="28"/>
  <c r="B340" i="28"/>
  <c r="F377" i="28"/>
  <c r="D109" i="28"/>
  <c r="D102" i="28"/>
  <c r="F241" i="28"/>
  <c r="E63" i="28"/>
  <c r="E200" i="28"/>
  <c r="H117" i="28"/>
  <c r="G279" i="28"/>
  <c r="D277" i="28"/>
  <c r="D91" i="28"/>
  <c r="B231" i="28"/>
  <c r="H290" i="28"/>
  <c r="G154" i="28"/>
  <c r="G87" i="28"/>
  <c r="H214" i="28"/>
  <c r="E276" i="28"/>
  <c r="E255" i="28"/>
  <c r="D276" i="28"/>
  <c r="G282" i="28"/>
  <c r="D246" i="28"/>
  <c r="E146" i="28"/>
  <c r="G243" i="28"/>
  <c r="H64" i="28"/>
  <c r="F131" i="28"/>
  <c r="E269" i="28"/>
  <c r="D152" i="28"/>
  <c r="E217" i="28"/>
  <c r="H320" i="28"/>
  <c r="G40" i="28"/>
  <c r="E51" i="28"/>
  <c r="D62" i="28"/>
  <c r="E107" i="28"/>
  <c r="E78" i="28"/>
  <c r="B238" i="28"/>
  <c r="G76" i="28"/>
  <c r="H33" i="28"/>
  <c r="F42" i="28"/>
  <c r="D191" i="28"/>
  <c r="B244" i="28"/>
  <c r="E364" i="28"/>
  <c r="D88" i="28"/>
  <c r="D203" i="28"/>
  <c r="D184" i="28"/>
  <c r="B318" i="28"/>
  <c r="E45" i="28"/>
  <c r="H198" i="28"/>
  <c r="H150" i="28"/>
  <c r="H164" i="28"/>
  <c r="H352" i="28"/>
  <c r="H288" i="28"/>
  <c r="H202" i="28"/>
  <c r="E262" i="28"/>
  <c r="D122" i="28"/>
  <c r="E352" i="28"/>
  <c r="B69" i="28"/>
  <c r="G289" i="28"/>
  <c r="E313" i="28"/>
  <c r="H22" i="28"/>
  <c r="D149" i="28"/>
  <c r="B185" i="28"/>
  <c r="G119" i="28"/>
  <c r="D205" i="28"/>
  <c r="B195" i="28"/>
  <c r="E328" i="28"/>
  <c r="F225" i="28"/>
  <c r="E306" i="28"/>
  <c r="F169" i="28"/>
  <c r="F195" i="28"/>
  <c r="D235" i="28"/>
  <c r="F240" i="28"/>
  <c r="B366" i="28"/>
  <c r="H284" i="28"/>
  <c r="D141" i="28"/>
  <c r="D111" i="28"/>
  <c r="F223" i="28"/>
  <c r="B124" i="28"/>
  <c r="D71" i="28"/>
  <c r="G305" i="28"/>
  <c r="D200" i="28"/>
  <c r="E190" i="28"/>
  <c r="E343" i="28"/>
  <c r="E205" i="28"/>
  <c r="H312" i="28"/>
  <c r="G376" i="28"/>
  <c r="B121" i="28"/>
  <c r="D256" i="28"/>
  <c r="D180" i="28"/>
  <c r="G342" i="28"/>
  <c r="F347" i="28"/>
  <c r="F344" i="28"/>
  <c r="E290" i="28"/>
  <c r="B122" i="28"/>
  <c r="G215" i="28"/>
  <c r="D27" i="28"/>
  <c r="F207" i="28"/>
  <c r="F360" i="28"/>
  <c r="D128" i="28"/>
  <c r="H183" i="28"/>
  <c r="F299" i="28"/>
  <c r="B180" i="28"/>
  <c r="G261" i="28"/>
  <c r="H364" i="28"/>
  <c r="G365" i="28"/>
  <c r="E324" i="28"/>
  <c r="G252" i="28"/>
  <c r="G122" i="28"/>
  <c r="G327" i="28"/>
  <c r="E349" i="28"/>
  <c r="E312" i="28"/>
  <c r="D32" i="28"/>
  <c r="D290" i="28"/>
  <c r="D347" i="28"/>
  <c r="D142" i="28"/>
  <c r="D114" i="28"/>
  <c r="F145" i="28"/>
  <c r="B191" i="28"/>
  <c r="B327" i="28"/>
  <c r="D224" i="28"/>
  <c r="D229" i="28"/>
  <c r="G364" i="28"/>
  <c r="E237" i="28"/>
  <c r="D334" i="28"/>
  <c r="F259" i="28"/>
  <c r="H170" i="28"/>
  <c r="F122" i="28"/>
  <c r="F262" i="28"/>
  <c r="B364" i="28"/>
  <c r="F375" i="28"/>
  <c r="D258" i="28"/>
  <c r="G106" i="28"/>
  <c r="G354" i="28"/>
  <c r="B103" i="28"/>
  <c r="G135" i="28"/>
  <c r="B32" i="28"/>
  <c r="B129" i="28"/>
  <c r="E116" i="28"/>
  <c r="E284" i="28"/>
  <c r="B176" i="28"/>
  <c r="H257" i="28"/>
  <c r="F119" i="28"/>
  <c r="E203" i="28"/>
  <c r="G351" i="28"/>
  <c r="G336" i="28"/>
  <c r="G308" i="28"/>
  <c r="B370" i="28"/>
  <c r="G163" i="28"/>
  <c r="H289" i="28"/>
  <c r="D320" i="28"/>
  <c r="G217" i="28"/>
  <c r="G211" i="28"/>
  <c r="H79" i="28"/>
  <c r="D161" i="28"/>
  <c r="E139" i="28"/>
  <c r="B99" i="28"/>
  <c r="B249" i="28"/>
  <c r="B26" i="28"/>
  <c r="B203" i="28"/>
  <c r="D167" i="28"/>
  <c r="G353" i="28"/>
  <c r="G150" i="28"/>
  <c r="G23" i="28"/>
  <c r="D294" i="28"/>
  <c r="G101" i="28"/>
  <c r="B325" i="28"/>
  <c r="D160" i="28"/>
  <c r="H374" i="28"/>
  <c r="B250" i="28"/>
  <c r="D182" i="28"/>
  <c r="H339" i="28"/>
  <c r="H306" i="28"/>
  <c r="D270" i="28"/>
  <c r="G253" i="28"/>
  <c r="D227" i="28"/>
  <c r="F365" i="28"/>
  <c r="D299" i="28"/>
  <c r="B23" i="28"/>
  <c r="G33" i="28"/>
  <c r="E44" i="28"/>
  <c r="E81" i="28"/>
  <c r="G107" i="28"/>
  <c r="B146" i="28"/>
  <c r="G149" i="28"/>
  <c r="H193" i="28"/>
  <c r="F190" i="28"/>
  <c r="H138" i="28"/>
  <c r="F278" i="28"/>
  <c r="E335" i="28"/>
  <c r="F154" i="28"/>
  <c r="G234" i="28"/>
  <c r="B330" i="28"/>
  <c r="G257" i="28"/>
  <c r="B257" i="28"/>
  <c r="D188" i="28"/>
  <c r="G369" i="28"/>
  <c r="H131" i="28"/>
  <c r="G295" i="28"/>
  <c r="B375" i="28"/>
  <c r="B246" i="28"/>
  <c r="H187" i="28"/>
  <c r="F252" i="28"/>
  <c r="B298" i="28"/>
  <c r="H121" i="28"/>
  <c r="D307" i="28"/>
  <c r="D262" i="28"/>
  <c r="H205" i="28"/>
  <c r="B47" i="28"/>
  <c r="H104" i="28"/>
  <c r="H169" i="28"/>
  <c r="D177" i="28"/>
  <c r="E104" i="28"/>
  <c r="F248" i="28"/>
  <c r="F141" i="28"/>
  <c r="G77" i="28"/>
  <c r="E300" i="28"/>
  <c r="H151" i="28"/>
  <c r="H335" i="28"/>
  <c r="F367" i="28"/>
  <c r="F339" i="28"/>
  <c r="E249" i="28"/>
  <c r="H218" i="28"/>
  <c r="G283" i="28"/>
  <c r="B201" i="28"/>
  <c r="G68" i="28"/>
  <c r="B174" i="28"/>
  <c r="F304" i="28"/>
  <c r="H114" i="28"/>
  <c r="D165" i="28"/>
  <c r="B288" i="28"/>
  <c r="B168" i="28"/>
  <c r="H244" i="28"/>
  <c r="D350" i="28"/>
  <c r="E344" i="28"/>
  <c r="B303" i="28"/>
  <c r="H321" i="28"/>
  <c r="G34" i="28"/>
  <c r="G315" i="28"/>
  <c r="E337" i="28"/>
  <c r="F236" i="28"/>
  <c r="D257" i="28"/>
  <c r="H109" i="28"/>
  <c r="H86" i="28"/>
  <c r="H50" i="28"/>
  <c r="G66" i="28"/>
  <c r="B259" i="28"/>
  <c r="E149" i="28"/>
  <c r="D363" i="28"/>
  <c r="B81" i="28"/>
  <c r="G153" i="28"/>
  <c r="E330" i="28"/>
  <c r="E307" i="28"/>
  <c r="G278" i="28"/>
  <c r="G340" i="28"/>
  <c r="G291" i="28"/>
  <c r="E265" i="28"/>
  <c r="H298" i="28"/>
  <c r="F319" i="28"/>
  <c r="D316" i="28"/>
  <c r="D376" i="28"/>
  <c r="D225" i="28"/>
  <c r="E134" i="28"/>
  <c r="B229" i="28"/>
  <c r="B22" i="28"/>
  <c r="H95" i="28"/>
  <c r="E244" i="28"/>
  <c r="D140" i="28"/>
  <c r="G198" i="28"/>
  <c r="D310" i="28"/>
  <c r="B192" i="28"/>
  <c r="F274" i="28"/>
  <c r="F308" i="28"/>
  <c r="G290" i="28"/>
  <c r="G345" i="28"/>
  <c r="D323" i="28"/>
  <c r="F220" i="28"/>
  <c r="E338" i="28"/>
  <c r="E361" i="28"/>
  <c r="E368" i="28"/>
  <c r="E43" i="28"/>
  <c r="H191" i="28"/>
  <c r="D233" i="28"/>
  <c r="H217" i="28"/>
  <c r="F108" i="28"/>
  <c r="F67" i="28"/>
  <c r="B371" i="28"/>
  <c r="D74" i="28"/>
  <c r="F90" i="28"/>
  <c r="E248" i="28"/>
  <c r="G175" i="28"/>
  <c r="H292" i="28"/>
  <c r="H308" i="28"/>
  <c r="H281" i="28"/>
  <c r="F343" i="28"/>
  <c r="D113" i="28"/>
  <c r="G89" i="28"/>
  <c r="D367" i="28"/>
  <c r="B258" i="28"/>
  <c r="D137" i="28"/>
  <c r="E72" i="28"/>
  <c r="D70" i="28"/>
  <c r="H132" i="28"/>
  <c r="H210" i="28"/>
  <c r="F210" i="28"/>
  <c r="E196" i="28"/>
  <c r="G329" i="28"/>
  <c r="D174" i="28"/>
  <c r="F328" i="28"/>
  <c r="D168" i="28"/>
  <c r="D150" i="28"/>
  <c r="E163" i="28"/>
  <c r="B281" i="28"/>
  <c r="H261" i="28"/>
  <c r="H332" i="28"/>
  <c r="F284" i="28"/>
  <c r="H354" i="28"/>
  <c r="D269" i="28"/>
  <c r="B35" i="28"/>
  <c r="H297" i="28"/>
  <c r="B242" i="28"/>
  <c r="F257" i="28"/>
  <c r="E239" i="28"/>
  <c r="H283" i="28"/>
  <c r="D370" i="28"/>
  <c r="E291" i="28"/>
  <c r="B309" i="28"/>
  <c r="E315" i="28"/>
  <c r="D348" i="28"/>
  <c r="H249" i="28"/>
  <c r="E314" i="28"/>
  <c r="B342" i="28"/>
  <c r="G35" i="28"/>
  <c r="G265" i="28"/>
  <c r="B282" i="28"/>
  <c r="F125" i="28"/>
  <c r="H318" i="28"/>
  <c r="G221" i="28"/>
  <c r="B352" i="28"/>
  <c r="H256" i="28"/>
  <c r="E110" i="28"/>
  <c r="G258" i="28"/>
  <c r="F368" i="28"/>
  <c r="E336" i="28"/>
  <c r="F286" i="28"/>
  <c r="D123" i="28"/>
  <c r="G294" i="28"/>
  <c r="E366" i="28"/>
  <c r="F45" i="28"/>
  <c r="F92" i="28"/>
  <c r="F110" i="28"/>
  <c r="D35" i="28"/>
  <c r="G45" i="28"/>
  <c r="F69" i="28"/>
  <c r="D95" i="28"/>
  <c r="D47" i="28"/>
  <c r="B45" i="28"/>
  <c r="B359" i="28"/>
  <c r="B247" i="28"/>
  <c r="D366" i="28"/>
  <c r="D278" i="28"/>
  <c r="B331" i="28"/>
  <c r="H272" i="28"/>
  <c r="B196" i="28"/>
  <c r="F138" i="28"/>
  <c r="H81" i="28"/>
  <c r="G145" i="28"/>
  <c r="D103" i="28"/>
  <c r="E109" i="28"/>
  <c r="H252" i="28"/>
  <c r="B283" i="28"/>
  <c r="G301" i="28"/>
  <c r="F296" i="28"/>
  <c r="G269" i="28"/>
  <c r="F98" i="28"/>
  <c r="F322" i="28"/>
  <c r="D352" i="28"/>
  <c r="F120" i="28"/>
  <c r="D45" i="28"/>
  <c r="D193" i="28"/>
  <c r="B194" i="28"/>
  <c r="G146" i="28"/>
  <c r="E111" i="28"/>
  <c r="G62" i="28"/>
  <c r="G273" i="28"/>
  <c r="G156" i="28"/>
  <c r="B286" i="28"/>
  <c r="H226" i="28"/>
  <c r="B171" i="28"/>
  <c r="F89" i="28"/>
  <c r="H89" i="28"/>
  <c r="B357" i="28"/>
  <c r="F267" i="28"/>
  <c r="H243" i="28"/>
  <c r="E90" i="28"/>
  <c r="D57" i="28"/>
  <c r="B273" i="28"/>
  <c r="H56" i="28"/>
  <c r="H241" i="28"/>
  <c r="B136" i="28"/>
  <c r="D374" i="28"/>
  <c r="F265" i="28"/>
  <c r="F65" i="28"/>
  <c r="G319" i="28"/>
  <c r="H293" i="28"/>
  <c r="D261" i="28"/>
  <c r="E327" i="28"/>
  <c r="B237" i="28"/>
  <c r="G249" i="28"/>
  <c r="D287" i="28"/>
  <c r="E234" i="28"/>
  <c r="F170" i="28"/>
  <c r="D209" i="28"/>
  <c r="G169" i="28"/>
  <c r="H247" i="28"/>
  <c r="D147" i="28"/>
  <c r="G349" i="28"/>
  <c r="F249" i="28"/>
  <c r="F20" i="28"/>
  <c r="F193" i="28"/>
  <c r="F76" i="28"/>
  <c r="F268" i="28"/>
  <c r="E280" i="28"/>
  <c r="G242" i="28"/>
  <c r="F315" i="28"/>
  <c r="B208" i="28"/>
  <c r="F354" i="28"/>
  <c r="H270" i="28"/>
  <c r="E374" i="28"/>
  <c r="G123" i="28"/>
  <c r="B361" i="28"/>
  <c r="G333" i="28"/>
  <c r="H76" i="28"/>
  <c r="F123" i="28"/>
  <c r="B115" i="28"/>
  <c r="F104" i="28"/>
  <c r="F58" i="28"/>
  <c r="D272" i="28"/>
  <c r="G162" i="28"/>
  <c r="G240" i="28"/>
  <c r="D105" i="28"/>
  <c r="H101" i="28"/>
  <c r="B341" i="28"/>
  <c r="G320" i="28"/>
  <c r="E295" i="28"/>
  <c r="E355" i="28"/>
  <c r="B125" i="28"/>
  <c r="G277" i="28"/>
  <c r="F309" i="28"/>
  <c r="F359" i="28"/>
  <c r="F126" i="28"/>
  <c r="F197" i="28"/>
  <c r="H144" i="28"/>
  <c r="E277" i="28"/>
  <c r="D148" i="28"/>
  <c r="G374" i="28"/>
  <c r="E273" i="28"/>
  <c r="E252" i="28"/>
  <c r="G147" i="28"/>
  <c r="E150" i="28"/>
  <c r="E296" i="28"/>
  <c r="E271" i="28"/>
  <c r="G148" i="28"/>
  <c r="B350" i="28"/>
  <c r="H369" i="28"/>
  <c r="E322" i="28"/>
  <c r="F324" i="28"/>
  <c r="D368" i="28"/>
  <c r="H348" i="28"/>
  <c r="B287" i="28"/>
  <c r="B304" i="28"/>
  <c r="G209" i="28"/>
  <c r="D273" i="28"/>
  <c r="H203" i="28"/>
  <c r="B280" i="28"/>
  <c r="D247" i="28"/>
  <c r="E331" i="28"/>
  <c r="B211" i="28"/>
  <c r="G352" i="28"/>
  <c r="H368" i="28"/>
  <c r="H314" i="28"/>
  <c r="G241" i="28"/>
  <c r="E347" i="28"/>
  <c r="H367" i="28"/>
  <c r="G158" i="28"/>
  <c r="G235" i="28"/>
  <c r="F245" i="28"/>
  <c r="G316" i="28"/>
  <c r="G311" i="28"/>
  <c r="G366" i="28"/>
  <c r="D321" i="28"/>
  <c r="H359" i="28"/>
  <c r="H327" i="28"/>
  <c r="H271" i="28"/>
  <c r="B264" i="28"/>
  <c r="E377" i="28"/>
  <c r="D219" i="28"/>
  <c r="H372" i="28"/>
  <c r="D284" i="28"/>
  <c r="F260" i="28"/>
  <c r="B336" i="28"/>
  <c r="E256" i="28"/>
  <c r="H269" i="28"/>
  <c r="D282" i="28"/>
  <c r="D293" i="28"/>
  <c r="H268" i="28"/>
  <c r="E232" i="28"/>
  <c r="F364" i="28"/>
  <c r="E299" i="28"/>
  <c r="H36" i="28"/>
  <c r="G219" i="28"/>
  <c r="D204" i="28"/>
  <c r="B235" i="28"/>
  <c r="B367" i="28"/>
  <c r="H173" i="28"/>
  <c r="E373" i="28"/>
  <c r="D100" i="28"/>
  <c r="F246" i="28"/>
  <c r="D125" i="28"/>
  <c r="E272" i="28"/>
  <c r="B100" i="28"/>
  <c r="F214" i="28"/>
  <c r="H324" i="28"/>
  <c r="D358" i="28"/>
  <c r="B290" i="28"/>
  <c r="B320" i="28"/>
  <c r="F94" i="28"/>
  <c r="D372" i="28"/>
  <c r="B266" i="28"/>
  <c r="H265" i="28"/>
  <c r="B344" i="28"/>
  <c r="F294" i="28"/>
  <c r="B209" i="28"/>
  <c r="D353" i="28"/>
  <c r="B267" i="28"/>
  <c r="H307" i="28"/>
  <c r="E329" i="28"/>
  <c r="E342" i="28"/>
  <c r="H334" i="28"/>
  <c r="D327" i="28"/>
  <c r="H338" i="28"/>
  <c r="H315" i="28"/>
  <c r="D312" i="28"/>
  <c r="B326" i="28"/>
  <c r="F185" i="28"/>
  <c r="E339" i="28"/>
  <c r="D301" i="28"/>
  <c r="F115" i="28"/>
  <c r="F303" i="28"/>
  <c r="E236" i="28"/>
  <c r="G322" i="28"/>
  <c r="G298" i="28"/>
  <c r="E359" i="28"/>
  <c r="G245" i="28"/>
  <c r="F333" i="28"/>
  <c r="D107" i="28"/>
  <c r="E357" i="28"/>
  <c r="H370" i="28"/>
  <c r="H350" i="28"/>
  <c r="G268" i="28"/>
  <c r="B184" i="28"/>
  <c r="E260" i="28"/>
  <c r="H277" i="28"/>
  <c r="E251" i="28"/>
  <c r="F357" i="28"/>
  <c r="G346" i="28"/>
  <c r="G285" i="28"/>
  <c r="H328" i="28"/>
  <c r="G46" i="28"/>
  <c r="B189" i="28"/>
  <c r="B343" i="28"/>
  <c r="H29" i="28"/>
  <c r="B123" i="28"/>
  <c r="D136" i="28"/>
  <c r="F217" i="28"/>
  <c r="F78" i="28"/>
  <c r="E177" i="28"/>
  <c r="H126" i="28"/>
  <c r="E106" i="28"/>
  <c r="G155" i="28"/>
  <c r="F281" i="28"/>
  <c r="F222" i="28"/>
  <c r="H351" i="28"/>
  <c r="B296" i="28"/>
  <c r="E341" i="28"/>
  <c r="G246" i="28"/>
  <c r="G296" i="28"/>
  <c r="E129" i="28"/>
  <c r="E195" i="28"/>
  <c r="E293" i="28"/>
  <c r="G303" i="28"/>
  <c r="G293" i="28"/>
  <c r="F238" i="28"/>
  <c r="B356" i="28"/>
  <c r="B284" i="28"/>
  <c r="F269" i="28"/>
  <c r="F350" i="28"/>
  <c r="F305" i="28"/>
  <c r="H294" i="28"/>
  <c r="E41" i="28"/>
  <c r="F263" i="28"/>
  <c r="B144" i="28"/>
  <c r="E310" i="28"/>
  <c r="D268" i="28"/>
  <c r="E318" i="28"/>
  <c r="B321" i="28"/>
  <c r="H158" i="28"/>
  <c r="F318" i="28"/>
  <c r="D336" i="28"/>
  <c r="B272" i="28"/>
  <c r="F243" i="28"/>
  <c r="D333" i="28"/>
  <c r="B270" i="28"/>
  <c r="G281" i="28"/>
  <c r="E253" i="28"/>
  <c r="D241" i="28"/>
  <c r="E238" i="28"/>
  <c r="B365" i="28"/>
  <c r="B172" i="28"/>
  <c r="D355" i="28"/>
  <c r="D332" i="28"/>
  <c r="E228" i="28"/>
  <c r="G164" i="28"/>
  <c r="D331" i="28"/>
  <c r="D296" i="28"/>
  <c r="D291" i="28"/>
  <c r="F21" i="28"/>
  <c r="F150" i="28"/>
  <c r="B78" i="28"/>
  <c r="F287" i="28"/>
  <c r="F49" i="28"/>
  <c r="B225" i="28"/>
  <c r="E356" i="28"/>
  <c r="E279" i="28"/>
  <c r="H97" i="28"/>
  <c r="H262" i="28"/>
  <c r="G256" i="28"/>
  <c r="H112" i="28"/>
  <c r="F134" i="28"/>
  <c r="E319" i="28"/>
  <c r="E157" i="28"/>
  <c r="B300" i="28"/>
  <c r="H199" i="28"/>
  <c r="D243" i="28"/>
  <c r="F255" i="28"/>
  <c r="F235" i="28"/>
  <c r="G302" i="28"/>
  <c r="F256" i="28"/>
  <c r="H236" i="28"/>
  <c r="E304" i="28"/>
  <c r="B140" i="28"/>
  <c r="B358" i="28"/>
  <c r="D304" i="28"/>
  <c r="D110" i="28"/>
  <c r="D279" i="28"/>
  <c r="B328" i="28"/>
  <c r="G238" i="28"/>
  <c r="F199" i="28"/>
  <c r="H349" i="28"/>
  <c r="G368" i="28"/>
  <c r="E317" i="28"/>
  <c r="D305" i="28"/>
  <c r="E350" i="28"/>
  <c r="F310" i="28"/>
  <c r="H330" i="28"/>
  <c r="G375" i="28"/>
  <c r="H182" i="28"/>
  <c r="H287" i="28"/>
  <c r="D360" i="28"/>
  <c r="D340" i="28"/>
  <c r="G371" i="28"/>
  <c r="H152" i="28"/>
  <c r="E267" i="28"/>
  <c r="B345" i="28"/>
  <c r="B347" i="28"/>
  <c r="G197" i="28"/>
  <c r="F293" i="28"/>
  <c r="G370" i="28"/>
  <c r="F289" i="28"/>
  <c r="H302" i="28"/>
  <c r="D344" i="28"/>
  <c r="F173" i="28"/>
  <c r="H326" i="28"/>
  <c r="G262" i="28"/>
  <c r="F317" i="28"/>
  <c r="G67" i="28"/>
  <c r="B236" i="28"/>
  <c r="E148" i="28"/>
  <c r="H344" i="28"/>
  <c r="H194" i="28"/>
  <c r="E287" i="28"/>
  <c r="D226" i="28"/>
  <c r="G206" i="28"/>
  <c r="B116" i="28"/>
  <c r="B56" i="28"/>
  <c r="E57" i="28"/>
  <c r="E189" i="28"/>
  <c r="D132" i="28"/>
  <c r="E362" i="28"/>
  <c r="E323" i="28"/>
  <c r="D201" i="28"/>
  <c r="H301" i="28"/>
  <c r="F335" i="28"/>
  <c r="B254" i="28"/>
  <c r="E345" i="28"/>
  <c r="F376" i="28"/>
  <c r="D339" i="28"/>
  <c r="F282" i="28"/>
  <c r="E325" i="28"/>
  <c r="G323" i="28"/>
  <c r="H291" i="28"/>
  <c r="D289" i="28"/>
  <c r="F300" i="28"/>
  <c r="G362" i="28"/>
  <c r="F301" i="28"/>
  <c r="G284" i="28"/>
  <c r="E371" i="28"/>
  <c r="B227" i="28"/>
  <c r="G129" i="28"/>
  <c r="D242" i="28"/>
  <c r="H280" i="28"/>
  <c r="F342" i="28"/>
  <c r="F285" i="28"/>
  <c r="G205" i="28"/>
  <c r="E243" i="28"/>
  <c r="H35" i="28"/>
  <c r="D288" i="28"/>
  <c r="G75" i="28"/>
  <c r="H340" i="28"/>
  <c r="H362" i="28"/>
  <c r="G254" i="28"/>
  <c r="G347" i="28"/>
  <c r="F338" i="28"/>
  <c r="D346" i="28"/>
  <c r="D271" i="28"/>
  <c r="B369" i="28"/>
  <c r="H175" i="28"/>
  <c r="D179" i="28"/>
  <c r="F358" i="28"/>
  <c r="F292" i="28"/>
  <c r="D298" i="28"/>
  <c r="D173" i="28"/>
  <c r="E162" i="28"/>
  <c r="D343" i="28"/>
  <c r="F312" i="28"/>
  <c r="F112" i="28"/>
  <c r="H190" i="28"/>
  <c r="G286" i="28"/>
  <c r="G233" i="28"/>
  <c r="F244" i="28"/>
  <c r="B349" i="28"/>
  <c r="F264" i="28"/>
  <c r="G202" i="28"/>
  <c r="D82" i="28"/>
  <c r="G140" i="28"/>
  <c r="D101" i="28"/>
  <c r="E264" i="28"/>
  <c r="H303" i="28"/>
  <c r="H296" i="28"/>
  <c r="E141" i="28"/>
  <c r="H299" i="28"/>
  <c r="D377" i="28"/>
  <c r="G358" i="28"/>
  <c r="D255" i="28"/>
  <c r="E209" i="28"/>
  <c r="F374" i="28"/>
  <c r="E33" i="28"/>
  <c r="F149" i="28"/>
  <c r="F334" i="28"/>
  <c r="B308" i="28"/>
  <c r="E369" i="28"/>
  <c r="B372" i="28"/>
  <c r="B243" i="28"/>
  <c r="F320" i="28"/>
  <c r="E285" i="28"/>
  <c r="B333" i="28"/>
  <c r="H316" i="28"/>
  <c r="D44" i="28"/>
  <c r="G177" i="28"/>
  <c r="H337" i="28"/>
  <c r="E309" i="28"/>
  <c r="F329" i="28"/>
  <c r="H331" i="28"/>
  <c r="E365" i="28"/>
  <c r="F221" i="28"/>
  <c r="G143" i="28"/>
  <c r="F133" i="28"/>
  <c r="H357" i="28"/>
  <c r="F306" i="28"/>
  <c r="F327" i="28"/>
  <c r="H135" i="28"/>
  <c r="G306" i="28"/>
  <c r="F352" i="28"/>
  <c r="B353" i="28"/>
  <c r="D361" i="28"/>
  <c r="F251" i="28"/>
  <c r="D313" i="28"/>
  <c r="B293" i="28"/>
  <c r="F313" i="28"/>
  <c r="G363" i="28"/>
  <c r="D351" i="28"/>
  <c r="D314" i="28"/>
  <c r="F297" i="28"/>
  <c r="B219" i="28"/>
  <c r="G118" i="28"/>
  <c r="B319" i="28"/>
  <c r="E122" i="28"/>
  <c r="B279" i="28"/>
  <c r="B313" i="28"/>
  <c r="E193" i="28"/>
  <c r="E241" i="28"/>
  <c r="G110" i="28"/>
  <c r="G247" i="28"/>
  <c r="F178" i="28"/>
  <c r="G250" i="28"/>
  <c r="G324" i="28"/>
  <c r="G120" i="28"/>
  <c r="B200" i="28"/>
  <c r="B165" i="28"/>
  <c r="F291" i="28"/>
  <c r="D373" i="28"/>
  <c r="F41" i="28"/>
  <c r="B297" i="28"/>
  <c r="F272" i="28"/>
  <c r="H118" i="28"/>
  <c r="H345" i="28"/>
  <c r="G355" i="28"/>
  <c r="B316" i="28"/>
  <c r="F142" i="28"/>
  <c r="D131" i="28"/>
  <c r="G377" i="28"/>
  <c r="E281" i="28"/>
  <c r="F233" i="28"/>
  <c r="D267" i="28"/>
  <c r="F326" i="28"/>
  <c r="B275" i="28"/>
  <c r="D234" i="28"/>
  <c r="E326" i="28"/>
  <c r="F325" i="28"/>
  <c r="F349" i="28"/>
  <c r="H329" i="28"/>
  <c r="B248" i="28"/>
  <c r="H322" i="28"/>
  <c r="G360" i="28"/>
  <c r="F290" i="28"/>
  <c r="B374" i="28"/>
  <c r="D265" i="28"/>
  <c r="E283" i="28"/>
  <c r="B260" i="28"/>
  <c r="H373" i="28"/>
  <c r="D254" i="28"/>
  <c r="H305" i="28"/>
  <c r="D345" i="28"/>
  <c r="F273" i="28"/>
  <c r="H267" i="28"/>
  <c r="D300" i="28"/>
  <c r="B315" i="28"/>
  <c r="F227" i="28"/>
  <c r="H355" i="28"/>
  <c r="H371" i="28"/>
  <c r="B324" i="28"/>
  <c r="H41" i="28"/>
  <c r="F109" i="28"/>
  <c r="H42" i="28"/>
  <c r="H116" i="28"/>
  <c r="H142" i="28"/>
  <c r="B222" i="28"/>
  <c r="E245" i="28"/>
  <c r="G304" i="28"/>
  <c r="G350" i="28"/>
  <c r="B154" i="28"/>
  <c r="B57" i="28"/>
  <c r="B148" i="28"/>
  <c r="G300" i="28"/>
  <c r="G266" i="28"/>
  <c r="F205" i="28"/>
  <c r="D264" i="28"/>
  <c r="H363" i="28"/>
  <c r="F280" i="28"/>
  <c r="D281" i="28"/>
  <c r="B355" i="28"/>
  <c r="F337" i="28"/>
  <c r="B305" i="28"/>
  <c r="H240" i="28"/>
  <c r="B348" i="28"/>
  <c r="G314" i="28"/>
  <c r="B278" i="28"/>
  <c r="H361" i="28"/>
  <c r="H242" i="28"/>
  <c r="G359" i="28"/>
  <c r="D208" i="28"/>
  <c r="H23" i="28"/>
  <c r="B368" i="28"/>
  <c r="E297" i="28"/>
  <c r="D324" i="28"/>
  <c r="E358" i="28"/>
  <c r="D157" i="28"/>
  <c r="F369" i="28"/>
  <c r="D171" i="28"/>
  <c r="F336" i="28"/>
  <c r="D337" i="28"/>
  <c r="G325" i="28"/>
  <c r="B329" i="28"/>
  <c r="D306" i="28"/>
  <c r="E334" i="28"/>
  <c r="F270" i="28"/>
  <c r="D349" i="28"/>
  <c r="B262" i="28"/>
  <c r="G328" i="28"/>
  <c r="H346" i="28"/>
  <c r="G334" i="28"/>
  <c r="B312" i="28"/>
  <c r="H323" i="28"/>
  <c r="D328" i="28"/>
  <c r="D26" i="28"/>
  <c r="D231" i="28"/>
  <c r="B228" i="28"/>
  <c r="G318" i="28"/>
  <c r="E247" i="28"/>
  <c r="F361" i="28"/>
  <c r="B360" i="28"/>
  <c r="I23" i="33"/>
  <c r="J23" i="33" s="1"/>
  <c r="K23" i="33" s="1"/>
  <c r="L23" i="33" s="1"/>
  <c r="D49" i="31"/>
  <c r="D225" i="21"/>
  <c r="E11" i="28"/>
  <c r="E10" i="28" s="1"/>
  <c r="D24" i="33"/>
  <c r="E24" i="33" s="1"/>
  <c r="C25" i="33"/>
  <c r="E9" i="27"/>
  <c r="E11" i="27"/>
  <c r="E10" i="27" s="1"/>
  <c r="E8" i="27"/>
  <c r="Q30" i="21" s="1"/>
  <c r="G103" i="33"/>
  <c r="H103" i="33" s="1"/>
  <c r="I103" i="33" s="1"/>
  <c r="J103" i="33" s="1"/>
  <c r="K103" i="33" s="1"/>
  <c r="L103" i="33" s="1"/>
  <c r="F104" i="33"/>
  <c r="M139" i="21" l="1"/>
  <c r="N139" i="21"/>
  <c r="L139" i="21"/>
  <c r="D106" i="33"/>
  <c r="E106" i="33" s="1"/>
  <c r="C107" i="33"/>
  <c r="C26" i="33"/>
  <c r="D25" i="33"/>
  <c r="E25" i="33" s="1"/>
  <c r="I24" i="33"/>
  <c r="J24" i="33" s="1"/>
  <c r="K24" i="33" s="1"/>
  <c r="L24" i="33" s="1"/>
  <c r="G25" i="33"/>
  <c r="H25" i="33" s="1"/>
  <c r="F26" i="33"/>
  <c r="G65" i="33"/>
  <c r="H65" i="33" s="1"/>
  <c r="I65" i="33" s="1"/>
  <c r="J65" i="33" s="1"/>
  <c r="K65" i="33" s="1"/>
  <c r="L65" i="33" s="1"/>
  <c r="F66" i="33"/>
  <c r="G104" i="33"/>
  <c r="H104" i="33" s="1"/>
  <c r="I104" i="33" s="1"/>
  <c r="J104" i="33" s="1"/>
  <c r="K104" i="33" s="1"/>
  <c r="L104" i="33" s="1"/>
  <c r="F105" i="33"/>
  <c r="K66" i="21"/>
  <c r="J66" i="21"/>
  <c r="L66" i="21"/>
  <c r="N66" i="21"/>
  <c r="N50" i="31" s="1"/>
  <c r="M66" i="21"/>
  <c r="E16" i="29"/>
  <c r="N213" i="21" s="1"/>
  <c r="B135" i="27"/>
  <c r="G35" i="27"/>
  <c r="B67" i="27"/>
  <c r="F87" i="27"/>
  <c r="B159" i="27"/>
  <c r="G201" i="27"/>
  <c r="B26" i="27"/>
  <c r="H112" i="27"/>
  <c r="B55" i="27"/>
  <c r="D132" i="27"/>
  <c r="E166" i="27"/>
  <c r="E65" i="27"/>
  <c r="D105" i="27"/>
  <c r="B143" i="27"/>
  <c r="F156" i="27"/>
  <c r="E93" i="27"/>
  <c r="H139" i="27"/>
  <c r="H104" i="27"/>
  <c r="E58" i="27"/>
  <c r="B25" i="27"/>
  <c r="H153" i="27"/>
  <c r="D80" i="27"/>
  <c r="H44" i="27"/>
  <c r="H169" i="27"/>
  <c r="E134" i="27"/>
  <c r="F132" i="27"/>
  <c r="H92" i="27"/>
  <c r="B71" i="27"/>
  <c r="F39" i="27"/>
  <c r="E124" i="27"/>
  <c r="D52" i="27"/>
  <c r="B195" i="27"/>
  <c r="H146" i="27"/>
  <c r="G270" i="27"/>
  <c r="B62" i="27"/>
  <c r="G96" i="27"/>
  <c r="B45" i="27"/>
  <c r="E67" i="27"/>
  <c r="H21" i="27"/>
  <c r="E39" i="27"/>
  <c r="F27" i="27"/>
  <c r="B267" i="27"/>
  <c r="H20" i="27"/>
  <c r="G44" i="27"/>
  <c r="H65" i="27"/>
  <c r="F173" i="27"/>
  <c r="B65" i="27"/>
  <c r="E100" i="27"/>
  <c r="H69" i="27"/>
  <c r="E32" i="27"/>
  <c r="B131" i="27"/>
  <c r="B102" i="27"/>
  <c r="G221" i="27"/>
  <c r="E41" i="27"/>
  <c r="F72" i="27"/>
  <c r="D95" i="27"/>
  <c r="D19" i="27"/>
  <c r="H106" i="27"/>
  <c r="B29" i="27"/>
  <c r="E127" i="27"/>
  <c r="E151" i="27"/>
  <c r="E261" i="27"/>
  <c r="H101" i="27"/>
  <c r="F116" i="27"/>
  <c r="E256" i="27"/>
  <c r="F114" i="27"/>
  <c r="H107" i="27"/>
  <c r="H262" i="27"/>
  <c r="D48" i="27"/>
  <c r="B77" i="27"/>
  <c r="B282" i="27"/>
  <c r="D305" i="27"/>
  <c r="B358" i="27"/>
  <c r="B226" i="27"/>
  <c r="F176" i="27"/>
  <c r="G109" i="27"/>
  <c r="H34" i="27"/>
  <c r="B126" i="27"/>
  <c r="G50" i="27"/>
  <c r="D189" i="27"/>
  <c r="H111" i="27"/>
  <c r="E175" i="27"/>
  <c r="H96" i="27"/>
  <c r="H29" i="27"/>
  <c r="F133" i="27"/>
  <c r="G53" i="27"/>
  <c r="D168" i="27"/>
  <c r="D244" i="27"/>
  <c r="H162" i="27"/>
  <c r="G153" i="27"/>
  <c r="B51" i="27"/>
  <c r="H158" i="27"/>
  <c r="D94" i="27"/>
  <c r="E172" i="27"/>
  <c r="E92" i="27"/>
  <c r="F80" i="27"/>
  <c r="H167" i="27"/>
  <c r="B101" i="27"/>
  <c r="F160" i="27"/>
  <c r="D203" i="27"/>
  <c r="D115" i="27"/>
  <c r="D84" i="27"/>
  <c r="H122" i="27"/>
  <c r="H84" i="27"/>
  <c r="E253" i="27"/>
  <c r="D41" i="27"/>
  <c r="D240" i="27"/>
  <c r="G169" i="27"/>
  <c r="D100" i="27"/>
  <c r="D96" i="27"/>
  <c r="F24" i="27"/>
  <c r="D49" i="27"/>
  <c r="G148" i="27"/>
  <c r="D86" i="27"/>
  <c r="D70" i="27"/>
  <c r="B105" i="27"/>
  <c r="E132" i="27"/>
  <c r="E70" i="27"/>
  <c r="B155" i="27"/>
  <c r="G249" i="27"/>
  <c r="F23" i="27"/>
  <c r="D108" i="27"/>
  <c r="D123" i="27"/>
  <c r="H56" i="27"/>
  <c r="F92" i="27"/>
  <c r="D62" i="27"/>
  <c r="G22" i="27"/>
  <c r="B175" i="27"/>
  <c r="F69" i="27"/>
  <c r="B138" i="27"/>
  <c r="E228" i="27"/>
  <c r="G62" i="27"/>
  <c r="F41" i="27"/>
  <c r="H74" i="27"/>
  <c r="E121" i="27"/>
  <c r="E183" i="27"/>
  <c r="B56" i="27"/>
  <c r="B27" i="27"/>
  <c r="D18" i="27"/>
  <c r="B223" i="27"/>
  <c r="H81" i="27"/>
  <c r="F21" i="27"/>
  <c r="B165" i="27"/>
  <c r="G135" i="27"/>
  <c r="H208" i="27"/>
  <c r="F63" i="27"/>
  <c r="F222" i="27"/>
  <c r="D30" i="27"/>
  <c r="D226" i="27"/>
  <c r="F31" i="27"/>
  <c r="G117" i="27"/>
  <c r="G116" i="27"/>
  <c r="D65" i="27"/>
  <c r="D71" i="27"/>
  <c r="E97" i="27"/>
  <c r="D136" i="27"/>
  <c r="H53" i="27"/>
  <c r="G133" i="27"/>
  <c r="F161" i="27"/>
  <c r="D21" i="27"/>
  <c r="E19" i="27"/>
  <c r="G20" i="27"/>
  <c r="E128" i="27"/>
  <c r="H35" i="27"/>
  <c r="H164" i="27"/>
  <c r="H303" i="27"/>
  <c r="D161" i="27"/>
  <c r="B235" i="27"/>
  <c r="B239" i="27"/>
  <c r="F86" i="27"/>
  <c r="F56" i="27"/>
  <c r="D129" i="27"/>
  <c r="H78" i="27"/>
  <c r="B93" i="27"/>
  <c r="B70" i="27"/>
  <c r="D93" i="27"/>
  <c r="B83" i="27"/>
  <c r="E116" i="27"/>
  <c r="F137" i="27"/>
  <c r="E224" i="27"/>
  <c r="G57" i="27"/>
  <c r="D44" i="27"/>
  <c r="B203" i="27"/>
  <c r="B73" i="27"/>
  <c r="B81" i="27"/>
  <c r="G257" i="27"/>
  <c r="E26" i="27"/>
  <c r="F121" i="27"/>
  <c r="B54" i="27"/>
  <c r="D144" i="27"/>
  <c r="G19" i="27"/>
  <c r="D180" i="27"/>
  <c r="F165" i="27"/>
  <c r="B98" i="27"/>
  <c r="H24" i="27"/>
  <c r="E38" i="27"/>
  <c r="B191" i="27"/>
  <c r="G233" i="27"/>
  <c r="B76" i="27"/>
  <c r="D36" i="27"/>
  <c r="G164" i="27"/>
  <c r="E186" i="27"/>
  <c r="B47" i="27"/>
  <c r="G97" i="27"/>
  <c r="G188" i="27"/>
  <c r="F145" i="27"/>
  <c r="H89" i="27"/>
  <c r="H72" i="27"/>
  <c r="D188" i="27"/>
  <c r="E48" i="27"/>
  <c r="B174" i="27"/>
  <c r="E131" i="27"/>
  <c r="F162" i="27"/>
  <c r="H114" i="27"/>
  <c r="B119" i="27"/>
  <c r="E146" i="27"/>
  <c r="H19" i="27"/>
  <c r="D176" i="27"/>
  <c r="G119" i="27"/>
  <c r="B190" i="27"/>
  <c r="F182" i="27"/>
  <c r="F52" i="27"/>
  <c r="H257" i="27"/>
  <c r="D313" i="27"/>
  <c r="G100" i="27"/>
  <c r="D101" i="27"/>
  <c r="F155" i="27"/>
  <c r="B122" i="27"/>
  <c r="E315" i="27"/>
  <c r="G158" i="27"/>
  <c r="B95" i="27"/>
  <c r="H87" i="27"/>
  <c r="E24" i="27"/>
  <c r="D167" i="27"/>
  <c r="G246" i="27"/>
  <c r="G131" i="27"/>
  <c r="E113" i="27"/>
  <c r="G162" i="27"/>
  <c r="E245" i="27"/>
  <c r="F170" i="27"/>
  <c r="D156" i="27"/>
  <c r="G125" i="27"/>
  <c r="G27" i="27"/>
  <c r="E52" i="27"/>
  <c r="H154" i="27"/>
  <c r="G37" i="27"/>
  <c r="E123" i="27"/>
  <c r="B50" i="27"/>
  <c r="B74" i="27"/>
  <c r="H182" i="27"/>
  <c r="E236" i="27"/>
  <c r="G95" i="27"/>
  <c r="E244" i="27"/>
  <c r="D23" i="27"/>
  <c r="F60" i="27"/>
  <c r="G51" i="27"/>
  <c r="B63" i="27"/>
  <c r="D139" i="27"/>
  <c r="F229" i="27"/>
  <c r="H145" i="27"/>
  <c r="B231" i="27"/>
  <c r="H88" i="27"/>
  <c r="F282" i="27"/>
  <c r="E237" i="27"/>
  <c r="E267" i="27"/>
  <c r="D117" i="27"/>
  <c r="F33" i="27"/>
  <c r="G175" i="27"/>
  <c r="E156" i="27"/>
  <c r="H31" i="27"/>
  <c r="G205" i="27"/>
  <c r="E98" i="27"/>
  <c r="G64" i="27"/>
  <c r="E56" i="27"/>
  <c r="D61" i="27"/>
  <c r="G269" i="27"/>
  <c r="H41" i="27"/>
  <c r="H32" i="27"/>
  <c r="D92" i="27"/>
  <c r="D192" i="27"/>
  <c r="B139" i="27"/>
  <c r="B194" i="27"/>
  <c r="H283" i="27"/>
  <c r="E160" i="27"/>
  <c r="G84" i="27"/>
  <c r="D38" i="27"/>
  <c r="D25" i="27"/>
  <c r="D66" i="27"/>
  <c r="F108" i="27"/>
  <c r="E229" i="27"/>
  <c r="G155" i="27"/>
  <c r="G147" i="27"/>
  <c r="D141" i="27"/>
  <c r="B251" i="27"/>
  <c r="B227" i="27"/>
  <c r="H178" i="27"/>
  <c r="E47" i="27"/>
  <c r="B263" i="27"/>
  <c r="B222" i="27"/>
  <c r="F191" i="27"/>
  <c r="H271" i="27"/>
  <c r="B125" i="27"/>
  <c r="F35" i="27"/>
  <c r="D175" i="27"/>
  <c r="E220" i="27"/>
  <c r="D119" i="27"/>
  <c r="D116" i="27"/>
  <c r="H219" i="27"/>
  <c r="H125" i="27"/>
  <c r="E54" i="27"/>
  <c r="F59" i="27"/>
  <c r="F184" i="27"/>
  <c r="H185" i="27"/>
  <c r="E108" i="27"/>
  <c r="F177" i="27"/>
  <c r="B87" i="27"/>
  <c r="H217" i="27"/>
  <c r="F107" i="27"/>
  <c r="G87" i="27"/>
  <c r="D157" i="27"/>
  <c r="D126" i="27"/>
  <c r="E31" i="27"/>
  <c r="B85" i="27"/>
  <c r="B179" i="27"/>
  <c r="E176" i="27"/>
  <c r="H165" i="27"/>
  <c r="F73" i="27"/>
  <c r="D169" i="27"/>
  <c r="H36" i="27"/>
  <c r="E50" i="27"/>
  <c r="D90" i="27"/>
  <c r="H133" i="27"/>
  <c r="E49" i="27"/>
  <c r="G24" i="27"/>
  <c r="E42" i="27"/>
  <c r="F50" i="27"/>
  <c r="D202" i="27"/>
  <c r="G33" i="27"/>
  <c r="G59" i="27"/>
  <c r="G72" i="27"/>
  <c r="D34" i="27"/>
  <c r="H52" i="27"/>
  <c r="F115" i="27"/>
  <c r="E53" i="27"/>
  <c r="D107" i="27"/>
  <c r="E99" i="27"/>
  <c r="G262" i="27"/>
  <c r="E103" i="27"/>
  <c r="G237" i="27"/>
  <c r="G73" i="27"/>
  <c r="F152" i="27"/>
  <c r="F143" i="27"/>
  <c r="D27" i="27"/>
  <c r="E248" i="27"/>
  <c r="E44" i="27"/>
  <c r="H174" i="27"/>
  <c r="H183" i="27"/>
  <c r="F105" i="27"/>
  <c r="F30" i="27"/>
  <c r="G103" i="27"/>
  <c r="B266" i="27"/>
  <c r="F291" i="27"/>
  <c r="H129" i="27"/>
  <c r="G189" i="27"/>
  <c r="G173" i="27"/>
  <c r="D91" i="27"/>
  <c r="E114" i="27"/>
  <c r="F294" i="27"/>
  <c r="B20" i="27"/>
  <c r="H152" i="27"/>
  <c r="G174" i="27"/>
  <c r="D104" i="27"/>
  <c r="E51" i="27"/>
  <c r="H95" i="27"/>
  <c r="E188" i="27"/>
  <c r="E264" i="27"/>
  <c r="E46" i="27"/>
  <c r="E82" i="27"/>
  <c r="B42" i="27"/>
  <c r="D152" i="27"/>
  <c r="F43" i="27"/>
  <c r="G39" i="27"/>
  <c r="D83" i="27"/>
  <c r="E140" i="27"/>
  <c r="E25" i="27"/>
  <c r="H64" i="27"/>
  <c r="D127" i="27"/>
  <c r="F95" i="27"/>
  <c r="H86" i="27"/>
  <c r="E111" i="27"/>
  <c r="H250" i="27"/>
  <c r="B232" i="27"/>
  <c r="G43" i="27"/>
  <c r="B137" i="27"/>
  <c r="F125" i="27"/>
  <c r="B259" i="27"/>
  <c r="F88" i="27"/>
  <c r="G21" i="27"/>
  <c r="B211" i="27"/>
  <c r="B33" i="27"/>
  <c r="B21" i="27"/>
  <c r="D29" i="27"/>
  <c r="F189" i="27"/>
  <c r="H46" i="27"/>
  <c r="D74" i="27"/>
  <c r="F130" i="27"/>
  <c r="B18" i="27"/>
  <c r="D78" i="27"/>
  <c r="G145" i="27"/>
  <c r="H71" i="27"/>
  <c r="F124" i="27"/>
  <c r="B212" i="27"/>
  <c r="H118" i="27"/>
  <c r="B219" i="27"/>
  <c r="G106" i="27"/>
  <c r="H73" i="27"/>
  <c r="B216" i="27"/>
  <c r="F157" i="27"/>
  <c r="H135" i="27"/>
  <c r="H85" i="27"/>
  <c r="D181" i="27"/>
  <c r="B183" i="27"/>
  <c r="D148" i="27"/>
  <c r="G83" i="27"/>
  <c r="E170" i="27"/>
  <c r="G250" i="27"/>
  <c r="H130" i="27"/>
  <c r="B114" i="27"/>
  <c r="H134" i="27"/>
  <c r="F103" i="27"/>
  <c r="B106" i="27"/>
  <c r="D87" i="27"/>
  <c r="F131" i="27"/>
  <c r="G56" i="27"/>
  <c r="B32" i="27"/>
  <c r="G161" i="27"/>
  <c r="H79" i="27"/>
  <c r="D285" i="27"/>
  <c r="B84" i="27"/>
  <c r="B35" i="27"/>
  <c r="F113" i="27"/>
  <c r="D135" i="27"/>
  <c r="F117" i="27"/>
  <c r="B97" i="27"/>
  <c r="E23" i="27"/>
  <c r="F55" i="27"/>
  <c r="G210" i="27"/>
  <c r="G28" i="27"/>
  <c r="G112" i="27"/>
  <c r="D164" i="27"/>
  <c r="E118" i="27"/>
  <c r="F51" i="27"/>
  <c r="E347" i="27"/>
  <c r="F22" i="27"/>
  <c r="H173" i="27"/>
  <c r="D259" i="27"/>
  <c r="G139" i="27"/>
  <c r="D37" i="27"/>
  <c r="D39" i="27"/>
  <c r="F247" i="27"/>
  <c r="H28" i="27"/>
  <c r="E185" i="27"/>
  <c r="H194" i="27"/>
  <c r="G242" i="27"/>
  <c r="H203" i="27"/>
  <c r="E110" i="27"/>
  <c r="F153" i="27"/>
  <c r="D140" i="27"/>
  <c r="F71" i="27"/>
  <c r="F38" i="27"/>
  <c r="F54" i="27"/>
  <c r="G177" i="27"/>
  <c r="F163" i="27"/>
  <c r="F44" i="27"/>
  <c r="G110" i="27"/>
  <c r="E241" i="27"/>
  <c r="D28" i="27"/>
  <c r="G200" i="27"/>
  <c r="E120" i="27"/>
  <c r="H142" i="27"/>
  <c r="H126" i="27"/>
  <c r="G69" i="27"/>
  <c r="B61" i="27"/>
  <c r="D207" i="27"/>
  <c r="B220" i="27"/>
  <c r="D76" i="27"/>
  <c r="B113" i="27"/>
  <c r="D56" i="27"/>
  <c r="E212" i="27"/>
  <c r="H58" i="27"/>
  <c r="G47" i="27"/>
  <c r="F193" i="27"/>
  <c r="D111" i="27"/>
  <c r="D120" i="27"/>
  <c r="D63" i="27"/>
  <c r="F36" i="27"/>
  <c r="G254" i="27"/>
  <c r="B36" i="27"/>
  <c r="E200" i="27"/>
  <c r="H68" i="27"/>
  <c r="E178" i="27"/>
  <c r="B228" i="27"/>
  <c r="H155" i="27"/>
  <c r="H40" i="27"/>
  <c r="G225" i="27"/>
  <c r="B127" i="27"/>
  <c r="E164" i="27"/>
  <c r="B92" i="27"/>
  <c r="B249" i="27"/>
  <c r="H136" i="27"/>
  <c r="G141" i="27"/>
  <c r="G41" i="27"/>
  <c r="G229" i="27"/>
  <c r="D79" i="27"/>
  <c r="E94" i="27"/>
  <c r="E180" i="27"/>
  <c r="G181" i="27"/>
  <c r="E59" i="27"/>
  <c r="B167" i="27"/>
  <c r="B96" i="27"/>
  <c r="H138" i="27"/>
  <c r="E55" i="27"/>
  <c r="B255" i="27"/>
  <c r="G31" i="27"/>
  <c r="D82" i="27"/>
  <c r="E69" i="27"/>
  <c r="F49" i="27"/>
  <c r="F96" i="27"/>
  <c r="F70" i="27"/>
  <c r="E232" i="27"/>
  <c r="D146" i="27"/>
  <c r="F48" i="27"/>
  <c r="D131" i="27"/>
  <c r="E193" i="27"/>
  <c r="H75" i="27"/>
  <c r="E34" i="27"/>
  <c r="F100" i="27"/>
  <c r="G207" i="27"/>
  <c r="E74" i="27"/>
  <c r="F245" i="27"/>
  <c r="F84" i="27"/>
  <c r="G226" i="27"/>
  <c r="H26" i="27"/>
  <c r="B37" i="27"/>
  <c r="G102" i="27"/>
  <c r="B204" i="27"/>
  <c r="F274" i="27"/>
  <c r="D143" i="27"/>
  <c r="H18" i="27"/>
  <c r="H62" i="27"/>
  <c r="B258" i="27"/>
  <c r="B38" i="27"/>
  <c r="H361" i="27"/>
  <c r="F254" i="27"/>
  <c r="G180" i="27"/>
  <c r="E257" i="27"/>
  <c r="H168" i="27"/>
  <c r="F149" i="27"/>
  <c r="F77" i="27"/>
  <c r="F32" i="27"/>
  <c r="E364" i="27"/>
  <c r="B91" i="27"/>
  <c r="F202" i="27"/>
  <c r="F74" i="27"/>
  <c r="B269" i="27"/>
  <c r="D206" i="27"/>
  <c r="B111" i="27"/>
  <c r="B271" i="27"/>
  <c r="G129" i="27"/>
  <c r="G236" i="27"/>
  <c r="E89" i="27"/>
  <c r="E225" i="27"/>
  <c r="E88" i="27"/>
  <c r="G156" i="27"/>
  <c r="E126" i="27"/>
  <c r="G92" i="27"/>
  <c r="B277" i="27"/>
  <c r="B247" i="27"/>
  <c r="G280" i="27"/>
  <c r="G264" i="27"/>
  <c r="G25" i="27"/>
  <c r="H196" i="27"/>
  <c r="F228" i="27"/>
  <c r="H270" i="27"/>
  <c r="D26" i="27"/>
  <c r="F280" i="27"/>
  <c r="F231" i="27"/>
  <c r="B237" i="27"/>
  <c r="H91" i="27"/>
  <c r="G322" i="27"/>
  <c r="E61" i="27"/>
  <c r="D45" i="27"/>
  <c r="E115" i="27"/>
  <c r="D344" i="27"/>
  <c r="B314" i="27"/>
  <c r="F209" i="27"/>
  <c r="E336" i="27"/>
  <c r="F360" i="27"/>
  <c r="B156" i="27"/>
  <c r="D373" i="27"/>
  <c r="E168" i="27"/>
  <c r="D339" i="27"/>
  <c r="G124" i="27"/>
  <c r="G111" i="27"/>
  <c r="G144" i="27"/>
  <c r="H254" i="27"/>
  <c r="E373" i="27"/>
  <c r="F224" i="27"/>
  <c r="E281" i="27"/>
  <c r="G40" i="27"/>
  <c r="G222" i="27"/>
  <c r="G235" i="27"/>
  <c r="E162" i="27"/>
  <c r="E320" i="27"/>
  <c r="G321" i="27"/>
  <c r="H322" i="27"/>
  <c r="G65" i="27"/>
  <c r="D197" i="27"/>
  <c r="G248" i="27"/>
  <c r="E218" i="27"/>
  <c r="G277" i="27"/>
  <c r="G287" i="27"/>
  <c r="G374" i="27"/>
  <c r="F188" i="27"/>
  <c r="E173" i="27"/>
  <c r="F207" i="27"/>
  <c r="B347" i="27"/>
  <c r="E350" i="27"/>
  <c r="G327" i="27"/>
  <c r="D149" i="27"/>
  <c r="F219" i="27"/>
  <c r="F198" i="27"/>
  <c r="F365" i="27"/>
  <c r="H214" i="27"/>
  <c r="G231" i="27"/>
  <c r="B75" i="27"/>
  <c r="G68" i="27"/>
  <c r="H324" i="27"/>
  <c r="E337" i="27"/>
  <c r="G132" i="27"/>
  <c r="G339" i="27"/>
  <c r="D265" i="27"/>
  <c r="D376" i="27"/>
  <c r="E334" i="27"/>
  <c r="B302" i="27"/>
  <c r="E205" i="27"/>
  <c r="E153" i="27"/>
  <c r="F208" i="27"/>
  <c r="B325" i="27"/>
  <c r="E296" i="27"/>
  <c r="H199" i="27"/>
  <c r="G298" i="27"/>
  <c r="D200" i="27"/>
  <c r="G146" i="27"/>
  <c r="F158" i="27"/>
  <c r="F62" i="27"/>
  <c r="H188" i="27"/>
  <c r="B371" i="27"/>
  <c r="G220" i="27"/>
  <c r="B160" i="27"/>
  <c r="G324" i="27"/>
  <c r="D185" i="27"/>
  <c r="G366" i="27"/>
  <c r="B290" i="27"/>
  <c r="D290" i="27"/>
  <c r="F364" i="27"/>
  <c r="D330" i="27"/>
  <c r="F28" i="27"/>
  <c r="F225" i="27"/>
  <c r="B265" i="27"/>
  <c r="G223" i="27"/>
  <c r="E199" i="27"/>
  <c r="D187" i="27"/>
  <c r="H263" i="27"/>
  <c r="F260" i="27"/>
  <c r="B331" i="27"/>
  <c r="H30" i="27"/>
  <c r="F330" i="27"/>
  <c r="F339" i="27"/>
  <c r="H245" i="27"/>
  <c r="E321" i="27"/>
  <c r="F353" i="27"/>
  <c r="E255" i="27"/>
  <c r="G296" i="27"/>
  <c r="D237" i="27"/>
  <c r="B279" i="27"/>
  <c r="B286" i="27"/>
  <c r="B361" i="27"/>
  <c r="G134" i="27"/>
  <c r="F19" i="27"/>
  <c r="H252" i="27"/>
  <c r="D199" i="27"/>
  <c r="F268" i="27"/>
  <c r="B285" i="27"/>
  <c r="E374" i="27"/>
  <c r="E326" i="27"/>
  <c r="H226" i="27"/>
  <c r="F323" i="27"/>
  <c r="E352" i="27"/>
  <c r="E107" i="27"/>
  <c r="G256" i="27"/>
  <c r="E330" i="27"/>
  <c r="E154" i="27"/>
  <c r="F154" i="27"/>
  <c r="E133" i="27"/>
  <c r="H290" i="27"/>
  <c r="G286" i="27"/>
  <c r="B328" i="27"/>
  <c r="F326" i="27"/>
  <c r="E353" i="27"/>
  <c r="E361" i="27"/>
  <c r="G291" i="27"/>
  <c r="B289" i="27"/>
  <c r="B344" i="27"/>
  <c r="H357" i="27"/>
  <c r="E263" i="27"/>
  <c r="B339" i="27"/>
  <c r="D345" i="27"/>
  <c r="B103" i="27"/>
  <c r="H350" i="27"/>
  <c r="F276" i="27"/>
  <c r="H305" i="27"/>
  <c r="F346" i="27"/>
  <c r="F368" i="27"/>
  <c r="H284" i="27"/>
  <c r="B303" i="27"/>
  <c r="D124" i="27"/>
  <c r="B82" i="27"/>
  <c r="F141" i="27"/>
  <c r="F223" i="27"/>
  <c r="E240" i="27"/>
  <c r="B123" i="27"/>
  <c r="B89" i="27"/>
  <c r="D155" i="27"/>
  <c r="H47" i="27"/>
  <c r="B254" i="27"/>
  <c r="G90" i="27"/>
  <c r="H321" i="27"/>
  <c r="D102" i="27"/>
  <c r="G99" i="27"/>
  <c r="D53" i="27"/>
  <c r="E139" i="27"/>
  <c r="D173" i="27"/>
  <c r="D138" i="27"/>
  <c r="B199" i="27"/>
  <c r="G114" i="27"/>
  <c r="B150" i="27"/>
  <c r="B68" i="27"/>
  <c r="H127" i="27"/>
  <c r="F169" i="27"/>
  <c r="D20" i="27"/>
  <c r="D264" i="27"/>
  <c r="H170" i="27"/>
  <c r="F181" i="27"/>
  <c r="D153" i="27"/>
  <c r="E221" i="27"/>
  <c r="G227" i="27"/>
  <c r="F273" i="27"/>
  <c r="H278" i="27"/>
  <c r="E83" i="27"/>
  <c r="G239" i="27"/>
  <c r="B207" i="27"/>
  <c r="E102" i="27"/>
  <c r="E91" i="27"/>
  <c r="G185" i="27"/>
  <c r="D54" i="27"/>
  <c r="H211" i="27"/>
  <c r="G253" i="27"/>
  <c r="B108" i="27"/>
  <c r="B200" i="27"/>
  <c r="B110" i="27"/>
  <c r="F90" i="27"/>
  <c r="E270" i="27"/>
  <c r="E119" i="27"/>
  <c r="G240" i="27"/>
  <c r="B147" i="27"/>
  <c r="E45" i="27"/>
  <c r="E104" i="27"/>
  <c r="E158" i="27"/>
  <c r="D47" i="27"/>
  <c r="F242" i="27"/>
  <c r="D106" i="27"/>
  <c r="B148" i="27"/>
  <c r="D158" i="27"/>
  <c r="D150" i="27"/>
  <c r="B41" i="27"/>
  <c r="F314" i="27"/>
  <c r="H186" i="27"/>
  <c r="D145" i="27"/>
  <c r="B58" i="27"/>
  <c r="G355" i="27"/>
  <c r="F299" i="27"/>
  <c r="G294" i="27"/>
  <c r="G143" i="27"/>
  <c r="E75" i="27"/>
  <c r="B161" i="27"/>
  <c r="D147" i="27"/>
  <c r="E308" i="27"/>
  <c r="B334" i="27"/>
  <c r="E242" i="27"/>
  <c r="H288" i="27"/>
  <c r="B90" i="27"/>
  <c r="E291" i="27"/>
  <c r="B329" i="27"/>
  <c r="B78" i="27"/>
  <c r="G29" i="27"/>
  <c r="B193" i="27"/>
  <c r="E35" i="27"/>
  <c r="G266" i="27"/>
  <c r="G26" i="27"/>
  <c r="E355" i="27"/>
  <c r="F215" i="27"/>
  <c r="B377" i="27"/>
  <c r="B117" i="27"/>
  <c r="F109" i="27"/>
  <c r="E159" i="27"/>
  <c r="F236" i="27"/>
  <c r="H289" i="27"/>
  <c r="E271" i="27"/>
  <c r="E161" i="27"/>
  <c r="B66" i="27"/>
  <c r="E230" i="27"/>
  <c r="F218" i="27"/>
  <c r="H82" i="27"/>
  <c r="H117" i="27"/>
  <c r="D89" i="27"/>
  <c r="E284" i="27"/>
  <c r="H215" i="27"/>
  <c r="F262" i="27"/>
  <c r="F249" i="27"/>
  <c r="D201" i="27"/>
  <c r="G295" i="27"/>
  <c r="F65" i="27"/>
  <c r="H210" i="27"/>
  <c r="G130" i="27"/>
  <c r="B256" i="27"/>
  <c r="G297" i="27"/>
  <c r="H216" i="27"/>
  <c r="H221" i="27"/>
  <c r="B225" i="27"/>
  <c r="H119" i="27"/>
  <c r="H304" i="27"/>
  <c r="H360" i="27"/>
  <c r="G105" i="27"/>
  <c r="D368" i="27"/>
  <c r="H356" i="27"/>
  <c r="D370" i="27"/>
  <c r="D350" i="27"/>
  <c r="G304" i="27"/>
  <c r="D109" i="27"/>
  <c r="H70" i="27"/>
  <c r="B60" i="27"/>
  <c r="H353" i="27"/>
  <c r="H224" i="27"/>
  <c r="E318" i="27"/>
  <c r="E95" i="27"/>
  <c r="H366" i="27"/>
  <c r="F211" i="27"/>
  <c r="D190" i="27"/>
  <c r="E344" i="27"/>
  <c r="F292" i="27"/>
  <c r="H241" i="27"/>
  <c r="H233" i="27"/>
  <c r="E288" i="27"/>
  <c r="G350" i="27"/>
  <c r="D267" i="27"/>
  <c r="E195" i="27"/>
  <c r="H248" i="27"/>
  <c r="H236" i="27"/>
  <c r="E293" i="27"/>
  <c r="B354" i="27"/>
  <c r="G313" i="27"/>
  <c r="G331" i="27"/>
  <c r="H338" i="27"/>
  <c r="H330" i="27"/>
  <c r="E305" i="27"/>
  <c r="G190" i="27"/>
  <c r="E338" i="27"/>
  <c r="E215" i="27"/>
  <c r="G150" i="27"/>
  <c r="E363" i="27"/>
  <c r="B340" i="27"/>
  <c r="G260" i="27"/>
  <c r="B308" i="27"/>
  <c r="E358" i="27"/>
  <c r="F271" i="27"/>
  <c r="D340" i="27"/>
  <c r="F327" i="27"/>
  <c r="B372" i="27"/>
  <c r="D231" i="27"/>
  <c r="F172" i="27"/>
  <c r="F147" i="27"/>
  <c r="F344" i="27"/>
  <c r="E223" i="27"/>
  <c r="E279" i="27"/>
  <c r="D251" i="27"/>
  <c r="G363" i="27"/>
  <c r="H354" i="27"/>
  <c r="D88" i="27"/>
  <c r="D311" i="27"/>
  <c r="B116" i="27"/>
  <c r="D301" i="27"/>
  <c r="B298" i="27"/>
  <c r="D312" i="27"/>
  <c r="D284" i="27"/>
  <c r="D338" i="27"/>
  <c r="B64" i="27"/>
  <c r="G163" i="27"/>
  <c r="D215" i="27"/>
  <c r="G284" i="27"/>
  <c r="E372" i="27"/>
  <c r="F325" i="27"/>
  <c r="B206" i="27"/>
  <c r="B257" i="27"/>
  <c r="F363" i="27"/>
  <c r="F338" i="27"/>
  <c r="D342" i="27"/>
  <c r="E348" i="27"/>
  <c r="E370" i="27"/>
  <c r="B364" i="27"/>
  <c r="D319" i="27"/>
  <c r="E333" i="27"/>
  <c r="B337" i="27"/>
  <c r="D336" i="27"/>
  <c r="E106" i="27"/>
  <c r="H231" i="27"/>
  <c r="E339" i="27"/>
  <c r="D320" i="27"/>
  <c r="E329" i="27"/>
  <c r="H294" i="27"/>
  <c r="E40" i="27"/>
  <c r="F68" i="27"/>
  <c r="E78" i="27"/>
  <c r="E260" i="27"/>
  <c r="E33" i="27"/>
  <c r="G63" i="27"/>
  <c r="F142" i="27"/>
  <c r="E148" i="27"/>
  <c r="E22" i="27"/>
  <c r="H22" i="27"/>
  <c r="D67" i="27"/>
  <c r="G234" i="27"/>
  <c r="E251" i="27"/>
  <c r="B151" i="27"/>
  <c r="D165" i="27"/>
  <c r="D293" i="27"/>
  <c r="E184" i="27"/>
  <c r="E167" i="27"/>
  <c r="H121" i="27"/>
  <c r="B53" i="27"/>
  <c r="D172" i="27"/>
  <c r="B23" i="27"/>
  <c r="H291" i="27"/>
  <c r="G49" i="27"/>
  <c r="H23" i="27"/>
  <c r="G107" i="27"/>
  <c r="F302" i="27"/>
  <c r="G151" i="27"/>
  <c r="E71" i="27"/>
  <c r="F174" i="27"/>
  <c r="F127" i="27"/>
  <c r="D194" i="27"/>
  <c r="D309" i="27"/>
  <c r="B273" i="27"/>
  <c r="E138" i="27"/>
  <c r="D133" i="27"/>
  <c r="G91" i="27"/>
  <c r="G152" i="27"/>
  <c r="G89" i="27"/>
  <c r="H190" i="27"/>
  <c r="H179" i="27"/>
  <c r="B144" i="27"/>
  <c r="G61" i="27"/>
  <c r="G42" i="27"/>
  <c r="G166" i="27"/>
  <c r="D110" i="27"/>
  <c r="G209" i="27"/>
  <c r="F78" i="27"/>
  <c r="D60" i="27"/>
  <c r="F64" i="27"/>
  <c r="F190" i="27"/>
  <c r="F112" i="27"/>
  <c r="B152" i="27"/>
  <c r="E216" i="27"/>
  <c r="H67" i="27"/>
  <c r="B107" i="27"/>
  <c r="F42" i="27"/>
  <c r="E18" i="27"/>
  <c r="F281" i="27"/>
  <c r="F25" i="27"/>
  <c r="B343" i="27"/>
  <c r="E43" i="27"/>
  <c r="G18" i="27"/>
  <c r="B198" i="27"/>
  <c r="E201" i="27"/>
  <c r="D288" i="27"/>
  <c r="H293" i="27"/>
  <c r="F306" i="27"/>
  <c r="B262" i="27"/>
  <c r="H159" i="27"/>
  <c r="G178" i="27"/>
  <c r="F122" i="27"/>
  <c r="B351" i="27"/>
  <c r="F220" i="27"/>
  <c r="E292" i="27"/>
  <c r="G211" i="27"/>
  <c r="G318" i="27"/>
  <c r="F248" i="27"/>
  <c r="H160" i="27"/>
  <c r="H99" i="27"/>
  <c r="H77" i="27"/>
  <c r="G171" i="27"/>
  <c r="F235" i="27"/>
  <c r="D278" i="27"/>
  <c r="E311" i="27"/>
  <c r="E77" i="27"/>
  <c r="E360" i="27"/>
  <c r="B356" i="27"/>
  <c r="D272" i="27"/>
  <c r="G197" i="27"/>
  <c r="E235" i="27"/>
  <c r="F348" i="27"/>
  <c r="D317" i="27"/>
  <c r="E149" i="27"/>
  <c r="G76" i="27"/>
  <c r="B238" i="27"/>
  <c r="E306" i="27"/>
  <c r="D253" i="27"/>
  <c r="H308" i="27"/>
  <c r="B115" i="27"/>
  <c r="D160" i="27"/>
  <c r="E328" i="27"/>
  <c r="H128" i="27"/>
  <c r="H249" i="27"/>
  <c r="F372" i="27"/>
  <c r="E76" i="27"/>
  <c r="G183" i="27"/>
  <c r="H124" i="27"/>
  <c r="G159" i="27"/>
  <c r="G80" i="27"/>
  <c r="H349" i="27"/>
  <c r="F256" i="27"/>
  <c r="G252" i="27"/>
  <c r="B154" i="27"/>
  <c r="D346" i="27"/>
  <c r="D310" i="27"/>
  <c r="H222" i="27"/>
  <c r="H319" i="27"/>
  <c r="F345" i="27"/>
  <c r="H274" i="27"/>
  <c r="H298" i="27"/>
  <c r="F288" i="27"/>
  <c r="D254" i="27"/>
  <c r="F46" i="27"/>
  <c r="E249" i="27"/>
  <c r="G352" i="27"/>
  <c r="G303" i="27"/>
  <c r="H280" i="27"/>
  <c r="G342" i="27"/>
  <c r="D271" i="27"/>
  <c r="E323" i="27"/>
  <c r="D358" i="27"/>
  <c r="G255" i="27"/>
  <c r="G320" i="27"/>
  <c r="H331" i="27"/>
  <c r="D234" i="27"/>
  <c r="H374" i="27"/>
  <c r="B374" i="27"/>
  <c r="F304" i="27"/>
  <c r="D134" i="27"/>
  <c r="G347" i="27"/>
  <c r="G191" i="27"/>
  <c r="D268" i="27"/>
  <c r="H332" i="27"/>
  <c r="H325" i="27"/>
  <c r="G70" i="27"/>
  <c r="H347" i="27"/>
  <c r="G360" i="27"/>
  <c r="G259" i="27"/>
  <c r="E28" i="27"/>
  <c r="H320" i="27"/>
  <c r="D213" i="27"/>
  <c r="G293" i="27"/>
  <c r="F336" i="27"/>
  <c r="F343" i="27"/>
  <c r="F216" i="27"/>
  <c r="H102" i="27"/>
  <c r="D328" i="27"/>
  <c r="D322" i="27"/>
  <c r="H376" i="27"/>
  <c r="F175" i="27"/>
  <c r="H247" i="27"/>
  <c r="G274" i="27"/>
  <c r="F196" i="27"/>
  <c r="B168" i="27"/>
  <c r="G251" i="27"/>
  <c r="E349" i="27"/>
  <c r="E351" i="27"/>
  <c r="H57" i="27"/>
  <c r="B321" i="27"/>
  <c r="D193" i="27"/>
  <c r="G372" i="27"/>
  <c r="E125" i="27"/>
  <c r="B318" i="27"/>
  <c r="F226" i="27"/>
  <c r="E290" i="27"/>
  <c r="D248" i="27"/>
  <c r="F258" i="27"/>
  <c r="F376" i="27"/>
  <c r="G319" i="27"/>
  <c r="F354" i="27"/>
  <c r="H318" i="27"/>
  <c r="B309" i="27"/>
  <c r="H228" i="27"/>
  <c r="B320" i="27"/>
  <c r="D327" i="27"/>
  <c r="F232" i="27"/>
  <c r="G351" i="27"/>
  <c r="D356" i="27"/>
  <c r="H260" i="27"/>
  <c r="E96" i="27"/>
  <c r="E274" i="27"/>
  <c r="F358" i="27"/>
  <c r="D364" i="27"/>
  <c r="E272" i="27"/>
  <c r="E331" i="27"/>
  <c r="B341" i="27"/>
  <c r="E239" i="27"/>
  <c r="F347" i="27"/>
  <c r="E343" i="27"/>
  <c r="D270" i="27"/>
  <c r="E287" i="27"/>
  <c r="D377" i="27"/>
  <c r="G268" i="27"/>
  <c r="G323" i="27"/>
  <c r="G67" i="27"/>
  <c r="F97" i="27"/>
  <c r="B43" i="27"/>
  <c r="E112" i="27"/>
  <c r="B30" i="27"/>
  <c r="E208" i="27"/>
  <c r="F76" i="27"/>
  <c r="H150" i="27"/>
  <c r="B72" i="27"/>
  <c r="F269" i="27"/>
  <c r="H171" i="27"/>
  <c r="H83" i="27"/>
  <c r="H115" i="27"/>
  <c r="B170" i="27"/>
  <c r="B59" i="27"/>
  <c r="B142" i="27"/>
  <c r="F199" i="27"/>
  <c r="B118" i="27"/>
  <c r="B233" i="27"/>
  <c r="E135" i="27"/>
  <c r="F79" i="27"/>
  <c r="E141" i="27"/>
  <c r="H156" i="27"/>
  <c r="D162" i="27"/>
  <c r="B224" i="27"/>
  <c r="D298" i="27"/>
  <c r="G38" i="27"/>
  <c r="F135" i="27"/>
  <c r="D69" i="27"/>
  <c r="H141" i="27"/>
  <c r="F111" i="27"/>
  <c r="E252" i="27"/>
  <c r="B163" i="27"/>
  <c r="F210" i="27"/>
  <c r="G187" i="27"/>
  <c r="H51" i="27"/>
  <c r="E258" i="27"/>
  <c r="D198" i="27"/>
  <c r="D113" i="27"/>
  <c r="B79" i="27"/>
  <c r="H149" i="27"/>
  <c r="G247" i="27"/>
  <c r="G85" i="27"/>
  <c r="G168" i="27"/>
  <c r="B335" i="27"/>
  <c r="H300" i="27"/>
  <c r="F67" i="27"/>
  <c r="D210" i="27"/>
  <c r="D42" i="27"/>
  <c r="F164" i="27"/>
  <c r="G241" i="27"/>
  <c r="B243" i="27"/>
  <c r="E207" i="27"/>
  <c r="H63" i="27"/>
  <c r="G127" i="27"/>
  <c r="D68" i="27"/>
  <c r="E231" i="27"/>
  <c r="F20" i="27"/>
  <c r="D97" i="27"/>
  <c r="G82" i="27"/>
  <c r="G309" i="27"/>
  <c r="B264" i="27"/>
  <c r="B187" i="27"/>
  <c r="E204" i="27"/>
  <c r="D249" i="27"/>
  <c r="H309" i="27"/>
  <c r="B246" i="27"/>
  <c r="D223" i="27"/>
  <c r="G213" i="27"/>
  <c r="H292" i="27"/>
  <c r="B162" i="27"/>
  <c r="F47" i="27"/>
  <c r="H105" i="27"/>
  <c r="G176" i="27"/>
  <c r="G344" i="27"/>
  <c r="F214" i="27"/>
  <c r="H326" i="27"/>
  <c r="G217" i="27"/>
  <c r="E129" i="27"/>
  <c r="B213" i="27"/>
  <c r="B48" i="27"/>
  <c r="G288" i="27"/>
  <c r="H265" i="27"/>
  <c r="D323" i="27"/>
  <c r="B242" i="27"/>
  <c r="B28" i="27"/>
  <c r="B109" i="27"/>
  <c r="H172" i="27"/>
  <c r="D216" i="27"/>
  <c r="G315" i="27"/>
  <c r="G136" i="27"/>
  <c r="F296" i="27"/>
  <c r="H49" i="27"/>
  <c r="D256" i="27"/>
  <c r="H246" i="27"/>
  <c r="G272" i="27"/>
  <c r="F194" i="27"/>
  <c r="F275" i="27"/>
  <c r="G74" i="27"/>
  <c r="G23" i="27"/>
  <c r="F26" i="27"/>
  <c r="H363" i="27"/>
  <c r="G301" i="27"/>
  <c r="F187" i="27"/>
  <c r="F264" i="27"/>
  <c r="D217" i="27"/>
  <c r="B284" i="27"/>
  <c r="H100" i="27"/>
  <c r="D59" i="27"/>
  <c r="B40" i="27"/>
  <c r="G212" i="27"/>
  <c r="H218" i="27"/>
  <c r="D332" i="27"/>
  <c r="E169" i="27"/>
  <c r="H339" i="27"/>
  <c r="F289" i="27"/>
  <c r="G305" i="27"/>
  <c r="H343" i="27"/>
  <c r="B362" i="27"/>
  <c r="G118" i="27"/>
  <c r="F309" i="27"/>
  <c r="E310" i="27"/>
  <c r="D341" i="27"/>
  <c r="D291" i="27"/>
  <c r="F119" i="27"/>
  <c r="E340" i="27"/>
  <c r="F250" i="27"/>
  <c r="H261" i="27"/>
  <c r="G276" i="27"/>
  <c r="B315" i="27"/>
  <c r="B124" i="27"/>
  <c r="E81" i="27"/>
  <c r="B294" i="27"/>
  <c r="B353" i="27"/>
  <c r="E157" i="27"/>
  <c r="E312" i="27"/>
  <c r="E367" i="27"/>
  <c r="D280" i="27"/>
  <c r="E356" i="27"/>
  <c r="F230" i="27"/>
  <c r="H163" i="27"/>
  <c r="E117" i="27"/>
  <c r="H351" i="27"/>
  <c r="B366" i="27"/>
  <c r="D262" i="27"/>
  <c r="H282" i="27"/>
  <c r="F349" i="27"/>
  <c r="D294" i="27"/>
  <c r="E313" i="27"/>
  <c r="E68" i="27"/>
  <c r="D276" i="27"/>
  <c r="D246" i="27"/>
  <c r="B355" i="27"/>
  <c r="D304" i="27"/>
  <c r="D255" i="27"/>
  <c r="B376" i="27"/>
  <c r="H323" i="27"/>
  <c r="D353" i="27"/>
  <c r="F310" i="27"/>
  <c r="F351" i="27"/>
  <c r="D212" i="27"/>
  <c r="H103" i="27"/>
  <c r="D314" i="27"/>
  <c r="B121" i="27"/>
  <c r="B39" i="27"/>
  <c r="G267" i="27"/>
  <c r="H328" i="27"/>
  <c r="E262" i="27"/>
  <c r="G138" i="27"/>
  <c r="F366" i="27"/>
  <c r="G172" i="27"/>
  <c r="H201" i="27"/>
  <c r="H345" i="27"/>
  <c r="G353" i="27"/>
  <c r="D269" i="27"/>
  <c r="G170" i="27"/>
  <c r="H334" i="27"/>
  <c r="H251" i="27"/>
  <c r="B327" i="27"/>
  <c r="G354" i="27"/>
  <c r="E307" i="27"/>
  <c r="F333" i="27"/>
  <c r="H259" i="27"/>
  <c r="B296" i="27"/>
  <c r="F251" i="27"/>
  <c r="D329" i="27"/>
  <c r="E346" i="27"/>
  <c r="G359" i="27"/>
  <c r="F286" i="27"/>
  <c r="F277" i="27"/>
  <c r="G228" i="27"/>
  <c r="D315" i="27"/>
  <c r="H337" i="27"/>
  <c r="E202" i="27"/>
  <c r="E226" i="27"/>
  <c r="D238" i="27"/>
  <c r="B370" i="27"/>
  <c r="E222" i="27"/>
  <c r="D35" i="27"/>
  <c r="H256" i="27"/>
  <c r="B281" i="27"/>
  <c r="E203" i="27"/>
  <c r="B185" i="27"/>
  <c r="G232" i="27"/>
  <c r="F315" i="27"/>
  <c r="G46" i="27"/>
  <c r="G157" i="27"/>
  <c r="G206" i="27"/>
  <c r="G52" i="27"/>
  <c r="D142" i="27"/>
  <c r="D128" i="27"/>
  <c r="E109" i="27"/>
  <c r="G86" i="27"/>
  <c r="D166" i="27"/>
  <c r="E254" i="27"/>
  <c r="F167" i="27"/>
  <c r="E268" i="27"/>
  <c r="E144" i="27"/>
  <c r="F311" i="27"/>
  <c r="D55" i="27"/>
  <c r="B186" i="27"/>
  <c r="D40" i="27"/>
  <c r="F203" i="27"/>
  <c r="D261" i="27"/>
  <c r="H43" i="27"/>
  <c r="D125" i="27"/>
  <c r="E324" i="27"/>
  <c r="H147" i="27"/>
  <c r="B158" i="27"/>
  <c r="B129" i="27"/>
  <c r="H195" i="27"/>
  <c r="B153" i="27"/>
  <c r="D159" i="27"/>
  <c r="F106" i="27"/>
  <c r="F128" i="27"/>
  <c r="H93" i="27"/>
  <c r="F45" i="27"/>
  <c r="H108" i="27"/>
  <c r="H175" i="27"/>
  <c r="G261" i="27"/>
  <c r="D99" i="27"/>
  <c r="E84" i="27"/>
  <c r="F139" i="27"/>
  <c r="B217" i="27"/>
  <c r="H148" i="27"/>
  <c r="D137" i="27"/>
  <c r="D22" i="27"/>
  <c r="D112" i="27"/>
  <c r="E90" i="27"/>
  <c r="B189" i="27"/>
  <c r="H242" i="27"/>
  <c r="D31" i="27"/>
  <c r="F126" i="27"/>
  <c r="E163" i="27"/>
  <c r="B80" i="27"/>
  <c r="D118" i="27"/>
  <c r="F81" i="27"/>
  <c r="G325" i="27"/>
  <c r="D171" i="27"/>
  <c r="E233" i="27"/>
  <c r="H220" i="27"/>
  <c r="E155" i="27"/>
  <c r="B171" i="27"/>
  <c r="D33" i="27"/>
  <c r="E165" i="27"/>
  <c r="F335" i="27"/>
  <c r="D205" i="27"/>
  <c r="E196" i="27"/>
  <c r="B157" i="27"/>
  <c r="B214" i="27"/>
  <c r="G224" i="27"/>
  <c r="G115" i="27"/>
  <c r="F293" i="27"/>
  <c r="E21" i="27"/>
  <c r="B146" i="27"/>
  <c r="B261" i="27"/>
  <c r="G337" i="27"/>
  <c r="B244" i="27"/>
  <c r="D182" i="27"/>
  <c r="G34" i="27"/>
  <c r="G71" i="27"/>
  <c r="B312" i="27"/>
  <c r="G299" i="27"/>
  <c r="F200" i="27"/>
  <c r="F146" i="27"/>
  <c r="H258" i="27"/>
  <c r="H80" i="27"/>
  <c r="F342" i="27"/>
  <c r="H287" i="27"/>
  <c r="F61" i="27"/>
  <c r="B180" i="27"/>
  <c r="E243" i="27"/>
  <c r="F89" i="27"/>
  <c r="B307" i="27"/>
  <c r="D241" i="27"/>
  <c r="G215" i="27"/>
  <c r="G285" i="27"/>
  <c r="E194" i="27"/>
  <c r="F179" i="27"/>
  <c r="F118" i="27"/>
  <c r="B268" i="27"/>
  <c r="G66" i="27"/>
  <c r="F240" i="27"/>
  <c r="D221" i="27"/>
  <c r="B120" i="27"/>
  <c r="F212" i="27"/>
  <c r="B349" i="27"/>
  <c r="E246" i="27"/>
  <c r="F85" i="27"/>
  <c r="H197" i="27"/>
  <c r="E316" i="27"/>
  <c r="D263" i="27"/>
  <c r="B272" i="27"/>
  <c r="F171" i="27"/>
  <c r="H302" i="27"/>
  <c r="F324" i="27"/>
  <c r="B173" i="27"/>
  <c r="B164" i="27"/>
  <c r="G60" i="27"/>
  <c r="H329" i="27"/>
  <c r="G375" i="27"/>
  <c r="H327" i="27"/>
  <c r="D306" i="27"/>
  <c r="D230" i="27"/>
  <c r="E362" i="27"/>
  <c r="H209" i="27"/>
  <c r="B306" i="27"/>
  <c r="F234" i="27"/>
  <c r="B270" i="27"/>
  <c r="B346" i="27"/>
  <c r="D204" i="27"/>
  <c r="F362" i="27"/>
  <c r="D337" i="27"/>
  <c r="B260" i="27"/>
  <c r="G182" i="27"/>
  <c r="H359" i="27"/>
  <c r="F295" i="27"/>
  <c r="H45" i="27"/>
  <c r="H344" i="27"/>
  <c r="D218" i="27"/>
  <c r="D361" i="27"/>
  <c r="F359" i="27"/>
  <c r="B350" i="27"/>
  <c r="F350" i="27"/>
  <c r="H342" i="27"/>
  <c r="G121" i="27"/>
  <c r="H230" i="27"/>
  <c r="E280" i="27"/>
  <c r="F98" i="27"/>
  <c r="B360" i="27"/>
  <c r="E297" i="27"/>
  <c r="F244" i="27"/>
  <c r="H213" i="27"/>
  <c r="F272" i="27"/>
  <c r="H33" i="27"/>
  <c r="H295" i="27"/>
  <c r="D77" i="27"/>
  <c r="H189" i="27"/>
  <c r="H368" i="27"/>
  <c r="D266" i="27"/>
  <c r="G349" i="27"/>
  <c r="D299" i="27"/>
  <c r="H240" i="27"/>
  <c r="G367" i="27"/>
  <c r="E283" i="27"/>
  <c r="H348" i="27"/>
  <c r="B250" i="27"/>
  <c r="F352" i="27"/>
  <c r="D43" i="27"/>
  <c r="B288" i="27"/>
  <c r="B280" i="27"/>
  <c r="H207" i="27"/>
  <c r="G263" i="27"/>
  <c r="E300" i="27"/>
  <c r="E79" i="27"/>
  <c r="D183" i="27"/>
  <c r="F29" i="27"/>
  <c r="B188" i="27"/>
  <c r="E177" i="27"/>
  <c r="E309" i="27"/>
  <c r="E285" i="27"/>
  <c r="G371" i="27"/>
  <c r="E210" i="27"/>
  <c r="B333" i="27"/>
  <c r="B291" i="27"/>
  <c r="G199" i="27"/>
  <c r="D219" i="27"/>
  <c r="B132" i="27"/>
  <c r="F237" i="27"/>
  <c r="B209" i="27"/>
  <c r="E354" i="27"/>
  <c r="B197" i="27"/>
  <c r="G341" i="27"/>
  <c r="B310" i="27"/>
  <c r="H315" i="27"/>
  <c r="F357" i="27"/>
  <c r="E174" i="27"/>
  <c r="D321" i="27"/>
  <c r="E371" i="27"/>
  <c r="F313" i="27"/>
  <c r="D260" i="27"/>
  <c r="D211" i="27"/>
  <c r="D369" i="27"/>
  <c r="B324" i="27"/>
  <c r="B365" i="27"/>
  <c r="G361" i="27"/>
  <c r="G369" i="27"/>
  <c r="B181" i="27"/>
  <c r="F284" i="27"/>
  <c r="G186" i="27"/>
  <c r="H66" i="27"/>
  <c r="F134" i="27"/>
  <c r="G149" i="27"/>
  <c r="H151" i="27"/>
  <c r="G137" i="27"/>
  <c r="B94" i="27"/>
  <c r="B52" i="27"/>
  <c r="G77" i="27"/>
  <c r="E87" i="27"/>
  <c r="F317" i="27"/>
  <c r="H253" i="27"/>
  <c r="F99" i="27"/>
  <c r="H299" i="27"/>
  <c r="H255" i="27"/>
  <c r="E152" i="27"/>
  <c r="B34" i="27"/>
  <c r="G198" i="27"/>
  <c r="D250" i="27"/>
  <c r="D274" i="27"/>
  <c r="H48" i="27"/>
  <c r="H42" i="27"/>
  <c r="F206" i="27"/>
  <c r="G54" i="27"/>
  <c r="E277" i="27"/>
  <c r="F151" i="27"/>
  <c r="F227" i="27"/>
  <c r="D258" i="27"/>
  <c r="E62" i="27"/>
  <c r="D154" i="27"/>
  <c r="F91" i="27"/>
  <c r="D209" i="27"/>
  <c r="G196" i="27"/>
  <c r="G128" i="27"/>
  <c r="D289" i="27"/>
  <c r="D85" i="27"/>
  <c r="E73" i="27"/>
  <c r="H161" i="27"/>
  <c r="G238" i="27"/>
  <c r="G216" i="27"/>
  <c r="D72" i="27"/>
  <c r="H38" i="27"/>
  <c r="D281" i="27"/>
  <c r="F101" i="27"/>
  <c r="G88" i="27"/>
  <c r="D227" i="27"/>
  <c r="F195" i="27"/>
  <c r="G214" i="27"/>
  <c r="E27" i="27"/>
  <c r="F34" i="27"/>
  <c r="F75" i="27"/>
  <c r="H200" i="27"/>
  <c r="H166" i="27"/>
  <c r="F246" i="27"/>
  <c r="B326" i="27"/>
  <c r="B205" i="27"/>
  <c r="F178" i="27"/>
  <c r="E171" i="27"/>
  <c r="G113" i="27"/>
  <c r="E247" i="27"/>
  <c r="B292" i="27"/>
  <c r="F57" i="27"/>
  <c r="H61" i="27"/>
  <c r="B316" i="27"/>
  <c r="H187" i="27"/>
  <c r="B295" i="27"/>
  <c r="D121" i="27"/>
  <c r="B283" i="27"/>
  <c r="F261" i="27"/>
  <c r="B99" i="27"/>
  <c r="H76" i="27"/>
  <c r="G195" i="27"/>
  <c r="H227" i="27"/>
  <c r="F166" i="27"/>
  <c r="D98" i="27"/>
  <c r="G282" i="27"/>
  <c r="H244" i="27"/>
  <c r="D334" i="27"/>
  <c r="H314" i="27"/>
  <c r="E63" i="27"/>
  <c r="F233" i="27"/>
  <c r="E299" i="27"/>
  <c r="G120" i="27"/>
  <c r="E357" i="27"/>
  <c r="B177" i="27"/>
  <c r="H55" i="27"/>
  <c r="H272" i="27"/>
  <c r="B305" i="27"/>
  <c r="F265" i="27"/>
  <c r="D81" i="27"/>
  <c r="E273" i="27"/>
  <c r="H25" i="27"/>
  <c r="H205" i="27"/>
  <c r="F341" i="27"/>
  <c r="H239" i="27"/>
  <c r="G292" i="27"/>
  <c r="H273" i="27"/>
  <c r="H212" i="27"/>
  <c r="G265" i="27"/>
  <c r="F120" i="27"/>
  <c r="E130" i="27"/>
  <c r="E122" i="27"/>
  <c r="B208" i="27"/>
  <c r="E105" i="27"/>
  <c r="F371" i="27"/>
  <c r="B245" i="27"/>
  <c r="G308" i="27"/>
  <c r="G208" i="27"/>
  <c r="G310" i="27"/>
  <c r="E317" i="27"/>
  <c r="B141" i="27"/>
  <c r="D352" i="27"/>
  <c r="H39" i="27"/>
  <c r="F297" i="27"/>
  <c r="G281" i="27"/>
  <c r="E259" i="27"/>
  <c r="D279" i="27"/>
  <c r="H358" i="27"/>
  <c r="B252" i="27"/>
  <c r="G78" i="27"/>
  <c r="B363" i="27"/>
  <c r="H296" i="27"/>
  <c r="B136" i="27"/>
  <c r="F367" i="27"/>
  <c r="B299" i="27"/>
  <c r="E319" i="27"/>
  <c r="E143" i="27"/>
  <c r="D303" i="27"/>
  <c r="F266" i="27"/>
  <c r="G348" i="27"/>
  <c r="F331" i="27"/>
  <c r="D347" i="27"/>
  <c r="B44" i="27"/>
  <c r="D46" i="27"/>
  <c r="B236" i="27"/>
  <c r="H27" i="27"/>
  <c r="D354" i="27"/>
  <c r="F278" i="27"/>
  <c r="B368" i="27"/>
  <c r="E304" i="27"/>
  <c r="D348" i="27"/>
  <c r="B172" i="27"/>
  <c r="E101" i="27"/>
  <c r="G98" i="27"/>
  <c r="D174" i="27"/>
  <c r="H313" i="27"/>
  <c r="G357" i="27"/>
  <c r="F316" i="27"/>
  <c r="F239" i="27"/>
  <c r="D366" i="27"/>
  <c r="B317" i="27"/>
  <c r="B221" i="27"/>
  <c r="D252" i="27"/>
  <c r="E298" i="27"/>
  <c r="F253" i="27"/>
  <c r="F285" i="27"/>
  <c r="G376" i="27"/>
  <c r="F303" i="27"/>
  <c r="H317" i="27"/>
  <c r="F361" i="27"/>
  <c r="D335" i="27"/>
  <c r="B240" i="27"/>
  <c r="B274" i="27"/>
  <c r="F66" i="27"/>
  <c r="G123" i="27"/>
  <c r="H277" i="27"/>
  <c r="F238" i="27"/>
  <c r="G330" i="27"/>
  <c r="D297" i="27"/>
  <c r="F183" i="27"/>
  <c r="E286" i="27"/>
  <c r="D371" i="27"/>
  <c r="B184" i="27"/>
  <c r="H276" i="27"/>
  <c r="D224" i="27"/>
  <c r="H335" i="27"/>
  <c r="F270" i="27"/>
  <c r="F369" i="27"/>
  <c r="D243" i="27"/>
  <c r="H367" i="27"/>
  <c r="F53" i="27"/>
  <c r="D163" i="27"/>
  <c r="B253" i="27"/>
  <c r="F298" i="27"/>
  <c r="G306" i="27"/>
  <c r="H364" i="27"/>
  <c r="D362" i="27"/>
  <c r="G230" i="27"/>
  <c r="E365" i="27"/>
  <c r="E266" i="27"/>
  <c r="D287" i="27"/>
  <c r="E325" i="27"/>
  <c r="D365" i="27"/>
  <c r="G244" i="27"/>
  <c r="D296" i="27"/>
  <c r="B287" i="27"/>
  <c r="F259" i="27"/>
  <c r="F318" i="27"/>
  <c r="B348" i="27"/>
  <c r="B369" i="27"/>
  <c r="D275" i="27"/>
  <c r="G340" i="27"/>
  <c r="B352" i="27"/>
  <c r="G289" i="27"/>
  <c r="H176" i="27"/>
  <c r="F110" i="27"/>
  <c r="E72" i="27"/>
  <c r="H204" i="27"/>
  <c r="F104" i="27"/>
  <c r="B31" i="27"/>
  <c r="D24" i="27"/>
  <c r="G79" i="27"/>
  <c r="D184" i="27"/>
  <c r="F140" i="27"/>
  <c r="F58" i="27"/>
  <c r="G243" i="27"/>
  <c r="F213" i="27"/>
  <c r="H198" i="27"/>
  <c r="E181" i="27"/>
  <c r="H144" i="27"/>
  <c r="E182" i="27"/>
  <c r="G160" i="27"/>
  <c r="H269" i="27"/>
  <c r="G45" i="27"/>
  <c r="E29" i="27"/>
  <c r="D58" i="27"/>
  <c r="D220" i="27"/>
  <c r="G142" i="27"/>
  <c r="H180" i="27"/>
  <c r="B278" i="27"/>
  <c r="E30" i="27"/>
  <c r="B140" i="27"/>
  <c r="D277" i="27"/>
  <c r="D32" i="27"/>
  <c r="G36" i="27"/>
  <c r="H116" i="27"/>
  <c r="D170" i="27"/>
  <c r="D57" i="27"/>
  <c r="G55" i="27"/>
  <c r="E66" i="27"/>
  <c r="F18" i="27"/>
  <c r="E192" i="27"/>
  <c r="G202" i="27"/>
  <c r="G48" i="27"/>
  <c r="G345" i="27"/>
  <c r="D195" i="27"/>
  <c r="G278" i="27"/>
  <c r="E20" i="27"/>
  <c r="F159" i="27"/>
  <c r="B134" i="27"/>
  <c r="H60" i="27"/>
  <c r="E265" i="27"/>
  <c r="F102" i="27"/>
  <c r="E86" i="27"/>
  <c r="H54" i="27"/>
  <c r="H177" i="27"/>
  <c r="B169" i="27"/>
  <c r="H94" i="27"/>
  <c r="F241" i="27"/>
  <c r="H123" i="27"/>
  <c r="E295" i="27"/>
  <c r="F129" i="27"/>
  <c r="E289" i="27"/>
  <c r="B46" i="27"/>
  <c r="G275" i="27"/>
  <c r="B69" i="27"/>
  <c r="G346" i="27"/>
  <c r="B145" i="27"/>
  <c r="E213" i="27"/>
  <c r="E64" i="27"/>
  <c r="D343" i="27"/>
  <c r="H365" i="27"/>
  <c r="D196" i="27"/>
  <c r="G126" i="27"/>
  <c r="B149" i="27"/>
  <c r="G108" i="27"/>
  <c r="B130" i="27"/>
  <c r="F356" i="27"/>
  <c r="G328" i="27"/>
  <c r="D233" i="27"/>
  <c r="E301" i="27"/>
  <c r="G194" i="27"/>
  <c r="H243" i="27"/>
  <c r="G329" i="27"/>
  <c r="H232" i="27"/>
  <c r="E80" i="27"/>
  <c r="H191" i="27"/>
  <c r="F267" i="27"/>
  <c r="D324" i="27"/>
  <c r="G362" i="27"/>
  <c r="H279" i="27"/>
  <c r="B192" i="27"/>
  <c r="E359" i="27"/>
  <c r="F332" i="27"/>
  <c r="E147" i="27"/>
  <c r="G193" i="27"/>
  <c r="H225" i="27"/>
  <c r="F374" i="27"/>
  <c r="B24" i="27"/>
  <c r="H372" i="27"/>
  <c r="B323" i="27"/>
  <c r="B345" i="27"/>
  <c r="H202" i="27"/>
  <c r="G192" i="27"/>
  <c r="F180" i="27"/>
  <c r="D229" i="27"/>
  <c r="E190" i="27"/>
  <c r="F328" i="27"/>
  <c r="E238" i="27"/>
  <c r="H362" i="27"/>
  <c r="D122" i="27"/>
  <c r="F243" i="27"/>
  <c r="B202" i="27"/>
  <c r="E142" i="27"/>
  <c r="D73" i="27"/>
  <c r="F150" i="27"/>
  <c r="G373" i="27"/>
  <c r="D64" i="27"/>
  <c r="D208" i="27"/>
  <c r="H333" i="27"/>
  <c r="G140" i="27"/>
  <c r="D325" i="27"/>
  <c r="G307" i="27"/>
  <c r="E278" i="27"/>
  <c r="D242" i="27"/>
  <c r="E369" i="27"/>
  <c r="F204" i="27"/>
  <c r="F301" i="27"/>
  <c r="E327" i="27"/>
  <c r="F334" i="27"/>
  <c r="F185" i="27"/>
  <c r="B215" i="27"/>
  <c r="H352" i="27"/>
  <c r="D283" i="27"/>
  <c r="F308" i="27"/>
  <c r="F319" i="27"/>
  <c r="D374" i="27"/>
  <c r="H301" i="27"/>
  <c r="E150" i="27"/>
  <c r="E217" i="27"/>
  <c r="E214" i="27"/>
  <c r="F279" i="27"/>
  <c r="G317" i="27"/>
  <c r="H235" i="27"/>
  <c r="F300" i="27"/>
  <c r="E276" i="27"/>
  <c r="E368" i="27"/>
  <c r="H275" i="27"/>
  <c r="D178" i="27"/>
  <c r="B338" i="27"/>
  <c r="B234" i="27"/>
  <c r="E219" i="27"/>
  <c r="F192" i="27"/>
  <c r="H140" i="27"/>
  <c r="E335" i="27"/>
  <c r="F217" i="27"/>
  <c r="H223" i="27"/>
  <c r="G377" i="27"/>
  <c r="D363" i="27"/>
  <c r="D355" i="27"/>
  <c r="G104" i="27"/>
  <c r="D292" i="27"/>
  <c r="D326" i="27"/>
  <c r="F375" i="27"/>
  <c r="B100" i="27"/>
  <c r="H229" i="27"/>
  <c r="D307" i="27"/>
  <c r="E85" i="27"/>
  <c r="E198" i="27"/>
  <c r="G279" i="27"/>
  <c r="D333" i="27"/>
  <c r="E269" i="27"/>
  <c r="B241" i="27"/>
  <c r="F355" i="27"/>
  <c r="D222" i="27"/>
  <c r="H311" i="27"/>
  <c r="D359" i="27"/>
  <c r="E376" i="27"/>
  <c r="G101" i="27"/>
  <c r="B196" i="27"/>
  <c r="B332" i="27"/>
  <c r="H340" i="27"/>
  <c r="F221" i="27"/>
  <c r="D318" i="27"/>
  <c r="H268" i="27"/>
  <c r="E303" i="27"/>
  <c r="B133" i="27"/>
  <c r="F93" i="27"/>
  <c r="D316" i="27"/>
  <c r="D130" i="27"/>
  <c r="G364" i="27"/>
  <c r="B293" i="27"/>
  <c r="H281" i="27"/>
  <c r="B128" i="27"/>
  <c r="H346" i="27"/>
  <c r="H316" i="27"/>
  <c r="D349" i="27"/>
  <c r="E322" i="27"/>
  <c r="G311" i="27"/>
  <c r="F257" i="27"/>
  <c r="G343" i="27"/>
  <c r="B304" i="27"/>
  <c r="E345" i="27"/>
  <c r="E145" i="27"/>
  <c r="B311" i="27"/>
  <c r="B182" i="27"/>
  <c r="H297" i="27"/>
  <c r="D360" i="27"/>
  <c r="H371" i="27"/>
  <c r="F312" i="27"/>
  <c r="G271" i="27"/>
  <c r="E57" i="27"/>
  <c r="E179" i="27"/>
  <c r="H234" i="27"/>
  <c r="H110" i="27"/>
  <c r="F144" i="27"/>
  <c r="E36" i="27"/>
  <c r="B57" i="27"/>
  <c r="D50" i="27"/>
  <c r="D179" i="27"/>
  <c r="G167" i="27"/>
  <c r="G316" i="27"/>
  <c r="H131" i="27"/>
  <c r="E211" i="27"/>
  <c r="B330" i="27"/>
  <c r="F123" i="27"/>
  <c r="F340" i="27"/>
  <c r="D331" i="27"/>
  <c r="G184" i="27"/>
  <c r="B49" i="27"/>
  <c r="B22" i="27"/>
  <c r="E60" i="27"/>
  <c r="E191" i="27"/>
  <c r="H312" i="27"/>
  <c r="D273" i="27"/>
  <c r="H113" i="27"/>
  <c r="G93" i="27"/>
  <c r="G219" i="27"/>
  <c r="F83" i="27"/>
  <c r="B19" i="27"/>
  <c r="B248" i="27"/>
  <c r="G300" i="27"/>
  <c r="H59" i="27"/>
  <c r="G245" i="27"/>
  <c r="G32" i="27"/>
  <c r="D191" i="27"/>
  <c r="G81" i="27"/>
  <c r="B86" i="27"/>
  <c r="H97" i="27"/>
  <c r="E294" i="27"/>
  <c r="G58" i="27"/>
  <c r="F252" i="27"/>
  <c r="E197" i="27"/>
  <c r="D257" i="27"/>
  <c r="B201" i="27"/>
  <c r="D114" i="27"/>
  <c r="G333" i="27"/>
  <c r="G75" i="27"/>
  <c r="E187" i="27"/>
  <c r="F37" i="27"/>
  <c r="H181" i="27"/>
  <c r="G165" i="27"/>
  <c r="F94" i="27"/>
  <c r="G204" i="27"/>
  <c r="H37" i="27"/>
  <c r="D51" i="27"/>
  <c r="G94" i="27"/>
  <c r="G365" i="27"/>
  <c r="F82" i="27"/>
  <c r="H341" i="27"/>
  <c r="D214" i="27"/>
  <c r="G290" i="27"/>
  <c r="F138" i="27"/>
  <c r="H109" i="27"/>
  <c r="D351" i="27"/>
  <c r="H50" i="27"/>
  <c r="H157" i="27"/>
  <c r="D300" i="27"/>
  <c r="H264" i="27"/>
  <c r="H143" i="27"/>
  <c r="H266" i="27"/>
  <c r="H98" i="27"/>
  <c r="F370" i="27"/>
  <c r="G312" i="27"/>
  <c r="H132" i="27"/>
  <c r="G302" i="27"/>
  <c r="B367" i="27"/>
  <c r="F168" i="27"/>
  <c r="B112" i="27"/>
  <c r="D103" i="27"/>
  <c r="H193" i="27"/>
  <c r="D235" i="27"/>
  <c r="F290" i="27"/>
  <c r="D286" i="27"/>
  <c r="H377" i="27"/>
  <c r="F377" i="27"/>
  <c r="B375" i="27"/>
  <c r="E250" i="27"/>
  <c r="E37" i="27"/>
  <c r="B297" i="27"/>
  <c r="B218" i="27"/>
  <c r="F40" i="27"/>
  <c r="D75" i="27"/>
  <c r="H286" i="27"/>
  <c r="F321" i="27"/>
  <c r="H373" i="27"/>
  <c r="H310" i="27"/>
  <c r="G30" i="27"/>
  <c r="B166" i="27"/>
  <c r="F148" i="27"/>
  <c r="E227" i="27"/>
  <c r="H238" i="27"/>
  <c r="D177" i="27"/>
  <c r="F136" i="27"/>
  <c r="H306" i="27"/>
  <c r="D302" i="27"/>
  <c r="D232" i="27"/>
  <c r="G338" i="27"/>
  <c r="F205" i="27"/>
  <c r="E136" i="27"/>
  <c r="H90" i="27"/>
  <c r="F305" i="27"/>
  <c r="G283" i="27"/>
  <c r="G335" i="27"/>
  <c r="G273" i="27"/>
  <c r="G336" i="27"/>
  <c r="H237" i="27"/>
  <c r="H137" i="27"/>
  <c r="B322" i="27"/>
  <c r="F322" i="27"/>
  <c r="H184" i="27"/>
  <c r="H206" i="27"/>
  <c r="H370" i="27"/>
  <c r="H375" i="27"/>
  <c r="B229" i="27"/>
  <c r="D367" i="27"/>
  <c r="F186" i="27"/>
  <c r="F255" i="27"/>
  <c r="E206" i="27"/>
  <c r="D282" i="27"/>
  <c r="D372" i="27"/>
  <c r="G356" i="27"/>
  <c r="H120" i="27"/>
  <c r="B104" i="27"/>
  <c r="B276" i="27"/>
  <c r="F197" i="27"/>
  <c r="H336" i="27"/>
  <c r="D239" i="27"/>
  <c r="G122" i="27"/>
  <c r="B342" i="27"/>
  <c r="B88" i="27"/>
  <c r="E209" i="27"/>
  <c r="D225" i="27"/>
  <c r="B275" i="27"/>
  <c r="D186" i="27"/>
  <c r="G358" i="27"/>
  <c r="G258" i="27"/>
  <c r="G154" i="27"/>
  <c r="D308" i="27"/>
  <c r="E282" i="27"/>
  <c r="B313" i="27"/>
  <c r="H192" i="27"/>
  <c r="E314" i="27"/>
  <c r="B359" i="27"/>
  <c r="B300" i="27"/>
  <c r="D375" i="27"/>
  <c r="B319" i="27"/>
  <c r="G203" i="27"/>
  <c r="D151" i="27"/>
  <c r="F283" i="27"/>
  <c r="D357" i="27"/>
  <c r="B178" i="27"/>
  <c r="B230" i="27"/>
  <c r="G314" i="27"/>
  <c r="B373" i="27"/>
  <c r="B357" i="27"/>
  <c r="H267" i="27"/>
  <c r="D247" i="27"/>
  <c r="D236" i="27"/>
  <c r="H285" i="27"/>
  <c r="F373" i="27"/>
  <c r="E332" i="27"/>
  <c r="G218" i="27"/>
  <c r="G368" i="27"/>
  <c r="G326" i="27"/>
  <c r="H355" i="27"/>
  <c r="F287" i="27"/>
  <c r="D228" i="27"/>
  <c r="D295" i="27"/>
  <c r="E377" i="27"/>
  <c r="G370" i="27"/>
  <c r="B301" i="27"/>
  <c r="G332" i="27"/>
  <c r="H307" i="27"/>
  <c r="E275" i="27"/>
  <c r="E366" i="27"/>
  <c r="B176" i="27"/>
  <c r="F263" i="27"/>
  <c r="F307" i="27"/>
  <c r="E137" i="27"/>
  <c r="E302" i="27"/>
  <c r="G334" i="27"/>
  <c r="F337" i="27"/>
  <c r="B210" i="27"/>
  <c r="F201" i="27"/>
  <c r="B336" i="27"/>
  <c r="F329" i="27"/>
  <c r="E375" i="27"/>
  <c r="G179" i="27"/>
  <c r="E341" i="27"/>
  <c r="E234" i="27"/>
  <c r="H369" i="27"/>
  <c r="E189" i="27"/>
  <c r="F320" i="27"/>
  <c r="E342" i="27"/>
  <c r="D245" i="27"/>
  <c r="E16" i="28"/>
  <c r="N140" i="21" s="1"/>
  <c r="D66" i="33"/>
  <c r="E66" i="33" s="1"/>
  <c r="C67" i="33"/>
  <c r="F106" i="33" l="1"/>
  <c r="G105" i="33"/>
  <c r="H105" i="33" s="1"/>
  <c r="I105" i="33" s="1"/>
  <c r="J105" i="33" s="1"/>
  <c r="K105" i="33" s="1"/>
  <c r="L105" i="33" s="1"/>
  <c r="C27" i="33"/>
  <c r="D26" i="33"/>
  <c r="E26" i="33" s="1"/>
  <c r="D107" i="33"/>
  <c r="E107" i="33" s="1"/>
  <c r="C108" i="33"/>
  <c r="F67" i="33"/>
  <c r="G66" i="33"/>
  <c r="H66" i="33" s="1"/>
  <c r="I66" i="33" s="1"/>
  <c r="J66" i="33" s="1"/>
  <c r="K66" i="33" s="1"/>
  <c r="L66" i="33" s="1"/>
  <c r="E16" i="27"/>
  <c r="N67" i="21" s="1"/>
  <c r="F27" i="33"/>
  <c r="G26" i="33"/>
  <c r="H26" i="33" s="1"/>
  <c r="I26" i="33" s="1"/>
  <c r="J26" i="33" s="1"/>
  <c r="K26" i="33" s="1"/>
  <c r="L26" i="33" s="1"/>
  <c r="D67" i="33"/>
  <c r="E67" i="33" s="1"/>
  <c r="C68" i="33"/>
  <c r="I25" i="33"/>
  <c r="J25" i="33" s="1"/>
  <c r="K25" i="33" s="1"/>
  <c r="L25" i="33" s="1"/>
  <c r="F68" i="33" l="1"/>
  <c r="G67" i="33"/>
  <c r="H67" i="33" s="1"/>
  <c r="I67" i="33" s="1"/>
  <c r="J67" i="33" s="1"/>
  <c r="K67" i="33" s="1"/>
  <c r="L67" i="33" s="1"/>
  <c r="C109" i="33"/>
  <c r="D108" i="33"/>
  <c r="E108" i="33" s="1"/>
  <c r="D68" i="33"/>
  <c r="E68" i="33" s="1"/>
  <c r="C69" i="33"/>
  <c r="G27" i="33"/>
  <c r="H27" i="33" s="1"/>
  <c r="I27" i="33" s="1"/>
  <c r="J27" i="33" s="1"/>
  <c r="K27" i="33" s="1"/>
  <c r="L27" i="33" s="1"/>
  <c r="F28" i="33"/>
  <c r="C28" i="33"/>
  <c r="D27" i="33"/>
  <c r="E27" i="33" s="1"/>
  <c r="F107" i="33"/>
  <c r="G106" i="33"/>
  <c r="H106" i="33" s="1"/>
  <c r="I106" i="33" s="1"/>
  <c r="J106" i="33" s="1"/>
  <c r="K106" i="33" s="1"/>
  <c r="L106" i="33" s="1"/>
  <c r="G28" i="33" l="1"/>
  <c r="H28" i="33" s="1"/>
  <c r="F29" i="33"/>
  <c r="C70" i="33"/>
  <c r="D69" i="33"/>
  <c r="E69" i="33" s="1"/>
  <c r="C110" i="33"/>
  <c r="D109" i="33"/>
  <c r="E109" i="33" s="1"/>
  <c r="F108" i="33"/>
  <c r="G107" i="33"/>
  <c r="H107" i="33" s="1"/>
  <c r="I107" i="33" s="1"/>
  <c r="J107" i="33" s="1"/>
  <c r="K107" i="33" s="1"/>
  <c r="L107" i="33" s="1"/>
  <c r="D28" i="33"/>
  <c r="E28" i="33" s="1"/>
  <c r="C29" i="33"/>
  <c r="F69" i="33"/>
  <c r="G68" i="33"/>
  <c r="H68" i="33" s="1"/>
  <c r="I68" i="33" s="1"/>
  <c r="J68" i="33" s="1"/>
  <c r="K68" i="33" s="1"/>
  <c r="L68" i="33" s="1"/>
  <c r="G108" i="33" l="1"/>
  <c r="H108" i="33" s="1"/>
  <c r="I108" i="33" s="1"/>
  <c r="J108" i="33" s="1"/>
  <c r="K108" i="33" s="1"/>
  <c r="L108" i="33" s="1"/>
  <c r="F109" i="33"/>
  <c r="C111" i="33"/>
  <c r="D110" i="33"/>
  <c r="E110" i="33" s="1"/>
  <c r="G69" i="33"/>
  <c r="H69" i="33" s="1"/>
  <c r="I69" i="33" s="1"/>
  <c r="J69" i="33" s="1"/>
  <c r="K69" i="33" s="1"/>
  <c r="L69" i="33" s="1"/>
  <c r="F70" i="33"/>
  <c r="D70" i="33"/>
  <c r="E70" i="33" s="1"/>
  <c r="C71" i="33"/>
  <c r="C30" i="33"/>
  <c r="D29" i="33"/>
  <c r="E29" i="33" s="1"/>
  <c r="F30" i="33"/>
  <c r="G29" i="33"/>
  <c r="H29" i="33" s="1"/>
  <c r="I29" i="33" s="1"/>
  <c r="J29" i="33" s="1"/>
  <c r="K29" i="33" s="1"/>
  <c r="L29" i="33" s="1"/>
  <c r="I28" i="33"/>
  <c r="J28" i="33" s="1"/>
  <c r="K28" i="33" s="1"/>
  <c r="L28" i="33" s="1"/>
  <c r="C31" i="33" l="1"/>
  <c r="D30" i="33"/>
  <c r="E30" i="33" s="1"/>
  <c r="F31" i="33"/>
  <c r="G30" i="33"/>
  <c r="H30" i="33" s="1"/>
  <c r="I30" i="33" s="1"/>
  <c r="J30" i="33" s="1"/>
  <c r="K30" i="33" s="1"/>
  <c r="L30" i="33" s="1"/>
  <c r="D111" i="33"/>
  <c r="E111" i="33" s="1"/>
  <c r="C112" i="33"/>
  <c r="C72" i="33"/>
  <c r="D71" i="33"/>
  <c r="E71" i="33" s="1"/>
  <c r="G70" i="33"/>
  <c r="H70" i="33" s="1"/>
  <c r="I70" i="33" s="1"/>
  <c r="J70" i="33" s="1"/>
  <c r="K70" i="33" s="1"/>
  <c r="L70" i="33" s="1"/>
  <c r="F71" i="33"/>
  <c r="F110" i="33"/>
  <c r="G109" i="33"/>
  <c r="H109" i="33" s="1"/>
  <c r="I109" i="33" s="1"/>
  <c r="J109" i="33" s="1"/>
  <c r="K109" i="33" s="1"/>
  <c r="L109" i="33" s="1"/>
  <c r="G31" i="33" l="1"/>
  <c r="H31" i="33" s="1"/>
  <c r="I31" i="33" s="1"/>
  <c r="J31" i="33" s="1"/>
  <c r="K31" i="33" s="1"/>
  <c r="L31" i="33" s="1"/>
  <c r="F32" i="33"/>
  <c r="C113" i="33"/>
  <c r="D112" i="33"/>
  <c r="E112" i="33" s="1"/>
  <c r="F111" i="33"/>
  <c r="G110" i="33"/>
  <c r="H110" i="33" s="1"/>
  <c r="I110" i="33" s="1"/>
  <c r="J110" i="33" s="1"/>
  <c r="K110" i="33" s="1"/>
  <c r="L110" i="33" s="1"/>
  <c r="C73" i="33"/>
  <c r="D72" i="33"/>
  <c r="E72" i="33" s="1"/>
  <c r="G71" i="33"/>
  <c r="H71" i="33" s="1"/>
  <c r="I71" i="33" s="1"/>
  <c r="J71" i="33" s="1"/>
  <c r="K71" i="33" s="1"/>
  <c r="L71" i="33" s="1"/>
  <c r="F72" i="33"/>
  <c r="C32" i="33"/>
  <c r="D31" i="33"/>
  <c r="E31" i="33" s="1"/>
  <c r="D32" i="33" l="1"/>
  <c r="E32" i="33" s="1"/>
  <c r="C33" i="33"/>
  <c r="D113" i="33"/>
  <c r="E113" i="33" s="1"/>
  <c r="C114" i="33"/>
  <c r="D73" i="33"/>
  <c r="E73" i="33" s="1"/>
  <c r="C74" i="33"/>
  <c r="F112" i="33"/>
  <c r="G111" i="33"/>
  <c r="H111" i="33" s="1"/>
  <c r="I111" i="33" s="1"/>
  <c r="J111" i="33" s="1"/>
  <c r="K111" i="33" s="1"/>
  <c r="L111" i="33" s="1"/>
  <c r="F73" i="33"/>
  <c r="G72" i="33"/>
  <c r="H72" i="33" s="1"/>
  <c r="I72" i="33" s="1"/>
  <c r="J72" i="33" s="1"/>
  <c r="K72" i="33" s="1"/>
  <c r="L72" i="33" s="1"/>
  <c r="G32" i="33"/>
  <c r="H32" i="33" s="1"/>
  <c r="I32" i="33" s="1"/>
  <c r="J32" i="33" s="1"/>
  <c r="K32" i="33" s="1"/>
  <c r="L32" i="33" s="1"/>
  <c r="F33" i="33"/>
  <c r="F34" i="33" l="1"/>
  <c r="G33" i="33"/>
  <c r="H33" i="33" s="1"/>
  <c r="G112" i="33"/>
  <c r="H112" i="33" s="1"/>
  <c r="I112" i="33" s="1"/>
  <c r="J112" i="33" s="1"/>
  <c r="K112" i="33" s="1"/>
  <c r="L112" i="33" s="1"/>
  <c r="F113" i="33"/>
  <c r="D74" i="33"/>
  <c r="E74" i="33" s="1"/>
  <c r="C75" i="33"/>
  <c r="C34" i="33"/>
  <c r="D33" i="33"/>
  <c r="E33" i="33" s="1"/>
  <c r="C115" i="33"/>
  <c r="D114" i="33"/>
  <c r="E114" i="33" s="1"/>
  <c r="G73" i="33"/>
  <c r="H73" i="33" s="1"/>
  <c r="I73" i="33" s="1"/>
  <c r="J73" i="33" s="1"/>
  <c r="K73" i="33" s="1"/>
  <c r="L73" i="33" s="1"/>
  <c r="F74" i="33"/>
  <c r="G74" i="33" l="1"/>
  <c r="H74" i="33" s="1"/>
  <c r="I74" i="33" s="1"/>
  <c r="J74" i="33" s="1"/>
  <c r="K74" i="33" s="1"/>
  <c r="L74" i="33" s="1"/>
  <c r="F75" i="33"/>
  <c r="C35" i="33"/>
  <c r="D34" i="33"/>
  <c r="E34" i="33" s="1"/>
  <c r="G113" i="33"/>
  <c r="H113" i="33" s="1"/>
  <c r="I113" i="33" s="1"/>
  <c r="J113" i="33" s="1"/>
  <c r="K113" i="33" s="1"/>
  <c r="L113" i="33" s="1"/>
  <c r="F114" i="33"/>
  <c r="I33" i="33"/>
  <c r="J33" i="33" s="1"/>
  <c r="K33" i="33" s="1"/>
  <c r="L33" i="33" s="1"/>
  <c r="C76" i="33"/>
  <c r="D75" i="33"/>
  <c r="E75" i="33" s="1"/>
  <c r="D115" i="33"/>
  <c r="E115" i="33" s="1"/>
  <c r="C116" i="33"/>
  <c r="F35" i="33"/>
  <c r="G34" i="33"/>
  <c r="H34" i="33" s="1"/>
  <c r="I34" i="33" s="1"/>
  <c r="J34" i="33" s="1"/>
  <c r="K34" i="33" s="1"/>
  <c r="L34" i="33" s="1"/>
  <c r="C77" i="33" l="1"/>
  <c r="D76" i="33"/>
  <c r="E76" i="33" s="1"/>
  <c r="F115" i="33"/>
  <c r="G114" i="33"/>
  <c r="H114" i="33" s="1"/>
  <c r="I114" i="33" s="1"/>
  <c r="J114" i="33" s="1"/>
  <c r="K114" i="33" s="1"/>
  <c r="L114" i="33" s="1"/>
  <c r="F36" i="33"/>
  <c r="G35" i="33"/>
  <c r="H35" i="33" s="1"/>
  <c r="I35" i="33" s="1"/>
  <c r="J35" i="33" s="1"/>
  <c r="K35" i="33" s="1"/>
  <c r="L35" i="33" s="1"/>
  <c r="C117" i="33"/>
  <c r="D116" i="33"/>
  <c r="E116" i="33" s="1"/>
  <c r="C36" i="33"/>
  <c r="D35" i="33"/>
  <c r="E35" i="33" s="1"/>
  <c r="F76" i="33"/>
  <c r="G75" i="33"/>
  <c r="H75" i="33" s="1"/>
  <c r="I75" i="33" s="1"/>
  <c r="J75" i="33" s="1"/>
  <c r="K75" i="33" s="1"/>
  <c r="L75" i="33" s="1"/>
  <c r="G36" i="33" l="1"/>
  <c r="H36" i="33" s="1"/>
  <c r="F37" i="33"/>
  <c r="F77" i="33"/>
  <c r="G76" i="33"/>
  <c r="H76" i="33" s="1"/>
  <c r="I76" i="33" s="1"/>
  <c r="J76" i="33" s="1"/>
  <c r="K76" i="33" s="1"/>
  <c r="L76" i="33" s="1"/>
  <c r="C118" i="33"/>
  <c r="D117" i="33"/>
  <c r="E117" i="33" s="1"/>
  <c r="F116" i="33"/>
  <c r="G115" i="33"/>
  <c r="H115" i="33" s="1"/>
  <c r="I115" i="33" s="1"/>
  <c r="J115" i="33" s="1"/>
  <c r="K115" i="33" s="1"/>
  <c r="L115" i="33" s="1"/>
  <c r="D36" i="33"/>
  <c r="E36" i="33" s="1"/>
  <c r="C37" i="33"/>
  <c r="D77" i="33"/>
  <c r="E77" i="33" s="1"/>
  <c r="C78" i="33"/>
  <c r="F117" i="33" l="1"/>
  <c r="G116" i="33"/>
  <c r="H116" i="33" s="1"/>
  <c r="I116" i="33" s="1"/>
  <c r="J116" i="33" s="1"/>
  <c r="K116" i="33" s="1"/>
  <c r="L116" i="33" s="1"/>
  <c r="F78" i="33"/>
  <c r="G77" i="33"/>
  <c r="H77" i="33" s="1"/>
  <c r="I77" i="33" s="1"/>
  <c r="J77" i="33" s="1"/>
  <c r="K77" i="33" s="1"/>
  <c r="L77" i="33" s="1"/>
  <c r="C119" i="33"/>
  <c r="D118" i="33"/>
  <c r="E118" i="33" s="1"/>
  <c r="D78" i="33"/>
  <c r="E78" i="33" s="1"/>
  <c r="C79" i="33"/>
  <c r="C38" i="33"/>
  <c r="D37" i="33"/>
  <c r="E37" i="33" s="1"/>
  <c r="G37" i="33"/>
  <c r="H37" i="33" s="1"/>
  <c r="I37" i="33" s="1"/>
  <c r="J37" i="33" s="1"/>
  <c r="K37" i="33" s="1"/>
  <c r="L37" i="33" s="1"/>
  <c r="F38" i="33"/>
  <c r="I36" i="33"/>
  <c r="J36" i="33" s="1"/>
  <c r="K36" i="33" s="1"/>
  <c r="L36" i="33" s="1"/>
  <c r="D79" i="33" l="1"/>
  <c r="E79" i="33" s="1"/>
  <c r="C80" i="33"/>
  <c r="D119" i="33"/>
  <c r="E119" i="33" s="1"/>
  <c r="C120" i="33"/>
  <c r="C39" i="33"/>
  <c r="D38" i="33"/>
  <c r="E38" i="33" s="1"/>
  <c r="F39" i="33"/>
  <c r="G38" i="33"/>
  <c r="H38" i="33" s="1"/>
  <c r="I38" i="33" s="1"/>
  <c r="J38" i="33" s="1"/>
  <c r="K38" i="33" s="1"/>
  <c r="L38" i="33" s="1"/>
  <c r="F79" i="33"/>
  <c r="G78" i="33"/>
  <c r="H78" i="33" s="1"/>
  <c r="I78" i="33" s="1"/>
  <c r="J78" i="33" s="1"/>
  <c r="K78" i="33" s="1"/>
  <c r="L78" i="33" s="1"/>
  <c r="F118" i="33"/>
  <c r="G117" i="33"/>
  <c r="H117" i="33" s="1"/>
  <c r="I117" i="33" s="1"/>
  <c r="J117" i="33" s="1"/>
  <c r="K117" i="33" s="1"/>
  <c r="L117" i="33" s="1"/>
  <c r="D120" i="33" l="1"/>
  <c r="E120" i="33" s="1"/>
  <c r="C121" i="33"/>
  <c r="D121" i="33" s="1"/>
  <c r="E121" i="33" s="1"/>
  <c r="G39" i="33"/>
  <c r="H39" i="33" s="1"/>
  <c r="F40" i="33"/>
  <c r="C81" i="33"/>
  <c r="D80" i="33"/>
  <c r="E80" i="33" s="1"/>
  <c r="C40" i="33"/>
  <c r="D39" i="33"/>
  <c r="E39" i="33" s="1"/>
  <c r="F119" i="33"/>
  <c r="G118" i="33"/>
  <c r="H118" i="33" s="1"/>
  <c r="I118" i="33" s="1"/>
  <c r="J118" i="33" s="1"/>
  <c r="K118" i="33" s="1"/>
  <c r="L118" i="33" s="1"/>
  <c r="F80" i="33"/>
  <c r="G79" i="33"/>
  <c r="H79" i="33" s="1"/>
  <c r="I79" i="33" s="1"/>
  <c r="J79" i="33" s="1"/>
  <c r="K79" i="33" s="1"/>
  <c r="L79" i="33" s="1"/>
  <c r="F81" i="33" l="1"/>
  <c r="G80" i="33"/>
  <c r="H80" i="33" s="1"/>
  <c r="I80" i="33" s="1"/>
  <c r="J80" i="33" s="1"/>
  <c r="K80" i="33" s="1"/>
  <c r="L80" i="33" s="1"/>
  <c r="I39" i="33"/>
  <c r="J39" i="33" s="1"/>
  <c r="K39" i="33" s="1"/>
  <c r="L39" i="33" s="1"/>
  <c r="C82" i="33"/>
  <c r="D81" i="33"/>
  <c r="E81" i="33" s="1"/>
  <c r="C41" i="33"/>
  <c r="D40" i="33"/>
  <c r="E40" i="33" s="1"/>
  <c r="F41" i="33"/>
  <c r="G40" i="33"/>
  <c r="H40" i="33" s="1"/>
  <c r="G119" i="33"/>
  <c r="H119" i="33" s="1"/>
  <c r="I119" i="33" s="1"/>
  <c r="J119" i="33" s="1"/>
  <c r="K119" i="33" s="1"/>
  <c r="L119" i="33" s="1"/>
  <c r="F120" i="33"/>
  <c r="C42" i="33" l="1"/>
  <c r="D41" i="33"/>
  <c r="E41" i="33" s="1"/>
  <c r="G41" i="33"/>
  <c r="H41" i="33" s="1"/>
  <c r="I41" i="33" s="1"/>
  <c r="J41" i="33" s="1"/>
  <c r="K41" i="33" s="1"/>
  <c r="L41" i="33" s="1"/>
  <c r="F42" i="33"/>
  <c r="C83" i="33"/>
  <c r="D82" i="33"/>
  <c r="E82" i="33" s="1"/>
  <c r="F121" i="33"/>
  <c r="G121" i="33" s="1"/>
  <c r="H121" i="33" s="1"/>
  <c r="I121" i="33" s="1"/>
  <c r="J121" i="33" s="1"/>
  <c r="K121" i="33" s="1"/>
  <c r="L121" i="33" s="1"/>
  <c r="L123" i="33" s="1"/>
  <c r="L124" i="33" s="1"/>
  <c r="G120" i="33"/>
  <c r="H120" i="33" s="1"/>
  <c r="I120" i="33" s="1"/>
  <c r="J120" i="33" s="1"/>
  <c r="K120" i="33" s="1"/>
  <c r="L120" i="33" s="1"/>
  <c r="I40" i="33"/>
  <c r="J40" i="33" s="1"/>
  <c r="K40" i="33" s="1"/>
  <c r="L40" i="33" s="1"/>
  <c r="F82" i="33"/>
  <c r="G81" i="33"/>
  <c r="H81" i="33" s="1"/>
  <c r="I81" i="33" s="1"/>
  <c r="J81" i="33" s="1"/>
  <c r="K81" i="33" s="1"/>
  <c r="L81" i="33" s="1"/>
  <c r="G82" i="33" l="1"/>
  <c r="H82" i="33" s="1"/>
  <c r="I82" i="33" s="1"/>
  <c r="J82" i="33" s="1"/>
  <c r="K82" i="33" s="1"/>
  <c r="L82" i="33" s="1"/>
  <c r="F83" i="33"/>
  <c r="R159" i="21"/>
  <c r="Q159" i="21"/>
  <c r="C84" i="33"/>
  <c r="D84" i="33" s="1"/>
  <c r="E84" i="33" s="1"/>
  <c r="D83" i="33"/>
  <c r="E83" i="33" s="1"/>
  <c r="F43" i="33"/>
  <c r="G42" i="33"/>
  <c r="H42" i="33" s="1"/>
  <c r="I42" i="33" s="1"/>
  <c r="J42" i="33" s="1"/>
  <c r="K42" i="33" s="1"/>
  <c r="L42" i="33" s="1"/>
  <c r="C43" i="33"/>
  <c r="D42" i="33"/>
  <c r="E42" i="33" s="1"/>
  <c r="F44" i="33" l="1"/>
  <c r="G43" i="33"/>
  <c r="H43" i="33" s="1"/>
  <c r="G83" i="33"/>
  <c r="H83" i="33" s="1"/>
  <c r="I83" i="33" s="1"/>
  <c r="J83" i="33" s="1"/>
  <c r="K83" i="33" s="1"/>
  <c r="L83" i="33" s="1"/>
  <c r="F84" i="33"/>
  <c r="G84" i="33" s="1"/>
  <c r="H84" i="33" s="1"/>
  <c r="I84" i="33" s="1"/>
  <c r="J84" i="33" s="1"/>
  <c r="K84" i="33" s="1"/>
  <c r="L84" i="33" s="1"/>
  <c r="L86" i="33" s="1"/>
  <c r="L87" i="33" s="1"/>
  <c r="Q160" i="21"/>
  <c r="F201" i="21"/>
  <c r="J201" i="21"/>
  <c r="D201" i="21"/>
  <c r="M102" i="31"/>
  <c r="AE116" i="31" s="1"/>
  <c r="H201" i="21"/>
  <c r="I201" i="21"/>
  <c r="G201" i="21"/>
  <c r="Q161" i="21"/>
  <c r="J198" i="21" s="1"/>
  <c r="E201" i="21"/>
  <c r="Q165" i="21"/>
  <c r="J195" i="21" s="1"/>
  <c r="C44" i="33"/>
  <c r="D43" i="33"/>
  <c r="E43" i="33" s="1"/>
  <c r="R86" i="21" l="1"/>
  <c r="Q86" i="21"/>
  <c r="M117" i="31"/>
  <c r="J197" i="21"/>
  <c r="J200" i="21"/>
  <c r="J203" i="21" s="1"/>
  <c r="J205" i="21" s="1"/>
  <c r="I43" i="33"/>
  <c r="J43" i="33" s="1"/>
  <c r="K43" i="33" s="1"/>
  <c r="L43" i="33" s="1"/>
  <c r="C45" i="33"/>
  <c r="D44" i="33"/>
  <c r="E44" i="33" s="1"/>
  <c r="G44" i="33"/>
  <c r="H44" i="33" s="1"/>
  <c r="F45" i="33"/>
  <c r="J204" i="21" l="1"/>
  <c r="J215" i="21" s="1"/>
  <c r="J206" i="21"/>
  <c r="C46" i="33"/>
  <c r="D45" i="33"/>
  <c r="E45" i="33" s="1"/>
  <c r="K201" i="21"/>
  <c r="K203" i="21" s="1"/>
  <c r="G45" i="33"/>
  <c r="H45" i="33" s="1"/>
  <c r="F46" i="33"/>
  <c r="I44" i="33"/>
  <c r="J44" i="33" s="1"/>
  <c r="K44" i="33" s="1"/>
  <c r="L44" i="33" s="1"/>
  <c r="L102" i="31"/>
  <c r="AD116" i="31" s="1"/>
  <c r="F128" i="21"/>
  <c r="F130" i="21" s="1"/>
  <c r="D128" i="21"/>
  <c r="Q88" i="21"/>
  <c r="H125" i="21" s="1"/>
  <c r="E128" i="21"/>
  <c r="E130" i="21" s="1"/>
  <c r="Q87" i="21"/>
  <c r="Q92" i="21"/>
  <c r="H122" i="21" s="1"/>
  <c r="H127" i="21" l="1"/>
  <c r="E132" i="21"/>
  <c r="L201" i="21"/>
  <c r="L203" i="21" s="1"/>
  <c r="I45" i="33"/>
  <c r="J45" i="33" s="1"/>
  <c r="K45" i="33" s="1"/>
  <c r="L45" i="33" s="1"/>
  <c r="L117" i="31"/>
  <c r="H124" i="21"/>
  <c r="G128" i="21"/>
  <c r="G130" i="21" s="1"/>
  <c r="F132" i="21"/>
  <c r="K205" i="21"/>
  <c r="F47" i="33"/>
  <c r="G47" i="33" s="1"/>
  <c r="H47" i="33" s="1"/>
  <c r="G46" i="33"/>
  <c r="H46" i="33" s="1"/>
  <c r="C47" i="33"/>
  <c r="D47" i="33" s="1"/>
  <c r="E47" i="33" s="1"/>
  <c r="D46" i="33"/>
  <c r="E46" i="33" s="1"/>
  <c r="M201" i="21" l="1"/>
  <c r="M203" i="21" s="1"/>
  <c r="F131" i="21"/>
  <c r="F142" i="21" s="1"/>
  <c r="E131" i="21"/>
  <c r="I46" i="33"/>
  <c r="J46" i="33" s="1"/>
  <c r="K46" i="33" s="1"/>
  <c r="L46" i="33" s="1"/>
  <c r="I47" i="33"/>
  <c r="J47" i="33" s="1"/>
  <c r="K47" i="33" s="1"/>
  <c r="L47" i="33" s="1"/>
  <c r="L49" i="33" s="1"/>
  <c r="L50" i="33" s="1"/>
  <c r="K204" i="21"/>
  <c r="L206" i="21"/>
  <c r="L50" i="31" s="1"/>
  <c r="K206" i="21"/>
  <c r="L205" i="21"/>
  <c r="L204" i="21" s="1"/>
  <c r="L215" i="21" s="1"/>
  <c r="G132" i="21"/>
  <c r="H128" i="21"/>
  <c r="H130" i="21" s="1"/>
  <c r="H132" i="21" l="1"/>
  <c r="I128" i="21"/>
  <c r="I130" i="21" s="1"/>
  <c r="E142" i="21"/>
  <c r="H131" i="21"/>
  <c r="R13" i="21"/>
  <c r="Q13" i="21"/>
  <c r="M205" i="21"/>
  <c r="G131" i="21"/>
  <c r="G142" i="21" s="1"/>
  <c r="N201" i="21"/>
  <c r="N203" i="21" s="1"/>
  <c r="K215" i="21"/>
  <c r="N207" i="21" l="1"/>
  <c r="M101" i="31"/>
  <c r="M206" i="21"/>
  <c r="M50" i="31" s="1"/>
  <c r="I132" i="21"/>
  <c r="D55" i="21"/>
  <c r="E55" i="21"/>
  <c r="Q15" i="21"/>
  <c r="E52" i="21" s="1"/>
  <c r="K102" i="31"/>
  <c r="Q14" i="21"/>
  <c r="Q19" i="21"/>
  <c r="E49" i="21" s="1"/>
  <c r="M204" i="21"/>
  <c r="M215" i="21" s="1"/>
  <c r="N205" i="21"/>
  <c r="N204" i="21" s="1"/>
  <c r="J128" i="21"/>
  <c r="J130" i="21" s="1"/>
  <c r="H133" i="21"/>
  <c r="H142" i="21" s="1"/>
  <c r="M116" i="31" l="1"/>
  <c r="N215" i="21"/>
  <c r="C218" i="21"/>
  <c r="M99" i="31" s="1"/>
  <c r="K86" i="31"/>
  <c r="E54" i="21"/>
  <c r="E57" i="21" s="1"/>
  <c r="J132" i="21"/>
  <c r="K128" i="21"/>
  <c r="K130" i="21" s="1"/>
  <c r="J131" i="21"/>
  <c r="J133" i="21"/>
  <c r="J50" i="31" s="1"/>
  <c r="I133" i="21"/>
  <c r="AE115" i="31"/>
  <c r="G211" i="2"/>
  <c r="M115" i="31"/>
  <c r="I131" i="21"/>
  <c r="C219" i="21"/>
  <c r="C220" i="21" s="1"/>
  <c r="E182" i="2" s="1"/>
  <c r="C215" i="21"/>
  <c r="E181" i="2" s="1"/>
  <c r="N102" i="31"/>
  <c r="AC116" i="31"/>
  <c r="AF116" i="31" s="1"/>
  <c r="E51" i="21"/>
  <c r="D108" i="31"/>
  <c r="K117" i="31"/>
  <c r="N117" i="31" s="1"/>
  <c r="C217" i="21"/>
  <c r="F55" i="21" l="1"/>
  <c r="F57" i="21" s="1"/>
  <c r="M86" i="31"/>
  <c r="M88" i="31" s="1"/>
  <c r="I142" i="21"/>
  <c r="M105" i="31"/>
  <c r="AE114" i="31"/>
  <c r="AE117" i="31" s="1"/>
  <c r="E59" i="21"/>
  <c r="AE122" i="31"/>
  <c r="AE123" i="31" s="1"/>
  <c r="I177" i="2"/>
  <c r="E178" i="2" s="1"/>
  <c r="M119" i="31"/>
  <c r="K132" i="21"/>
  <c r="L128" i="21"/>
  <c r="L130" i="21" s="1"/>
  <c r="J142" i="21"/>
  <c r="M123" i="31" l="1"/>
  <c r="L134" i="21"/>
  <c r="K133" i="21"/>
  <c r="K50" i="31" s="1"/>
  <c r="K131" i="21"/>
  <c r="G55" i="21"/>
  <c r="G57" i="21" s="1"/>
  <c r="L132" i="21"/>
  <c r="L131" i="21" s="1"/>
  <c r="L142" i="21" s="1"/>
  <c r="M128" i="21"/>
  <c r="M130" i="21" s="1"/>
  <c r="F58" i="21"/>
  <c r="F60" i="21"/>
  <c r="F50" i="31" s="1"/>
  <c r="E60" i="21"/>
  <c r="E58" i="21"/>
  <c r="F69" i="21"/>
  <c r="F59" i="21"/>
  <c r="M142" i="21" l="1"/>
  <c r="M132" i="21"/>
  <c r="N128" i="21"/>
  <c r="N130" i="21" s="1"/>
  <c r="G59" i="21"/>
  <c r="K142" i="21"/>
  <c r="E50" i="31"/>
  <c r="M131" i="21"/>
  <c r="G58" i="21"/>
  <c r="E69" i="21"/>
  <c r="F49" i="31"/>
  <c r="F225" i="21"/>
  <c r="H55" i="21"/>
  <c r="H57" i="21" s="1"/>
  <c r="I55" i="21" l="1"/>
  <c r="I57" i="21" s="1"/>
  <c r="H58" i="21"/>
  <c r="H60" i="21"/>
  <c r="H50" i="31" s="1"/>
  <c r="G60" i="21"/>
  <c r="H59" i="21"/>
  <c r="J55" i="21"/>
  <c r="J57" i="21" s="1"/>
  <c r="N132" i="21"/>
  <c r="L101" i="31" s="1"/>
  <c r="E225" i="21"/>
  <c r="E49" i="31"/>
  <c r="N131" i="21"/>
  <c r="L116" i="31" s="1"/>
  <c r="J59" i="21" l="1"/>
  <c r="G50" i="31"/>
  <c r="AD115" i="31"/>
  <c r="G210" i="2"/>
  <c r="K55" i="21"/>
  <c r="K57" i="21" s="1"/>
  <c r="H69" i="21"/>
  <c r="N142" i="21"/>
  <c r="I59" i="21"/>
  <c r="J61" i="21" s="1"/>
  <c r="G69" i="21"/>
  <c r="H49" i="31" l="1"/>
  <c r="H225" i="21"/>
  <c r="G49" i="31"/>
  <c r="G225" i="21"/>
  <c r="C145" i="21"/>
  <c r="L99" i="31" s="1"/>
  <c r="L115" i="31"/>
  <c r="C142" i="21"/>
  <c r="D181" i="2" s="1"/>
  <c r="C146" i="21"/>
  <c r="J58" i="21"/>
  <c r="J69" i="21" s="1"/>
  <c r="I60" i="21"/>
  <c r="I58" i="21"/>
  <c r="K58" i="21"/>
  <c r="K69" i="21"/>
  <c r="K59" i="21"/>
  <c r="L55" i="21"/>
  <c r="L57" i="21" s="1"/>
  <c r="I50" i="31" l="1"/>
  <c r="D106" i="31"/>
  <c r="J49" i="31"/>
  <c r="J225" i="21"/>
  <c r="C144" i="21"/>
  <c r="L59" i="21"/>
  <c r="M55" i="21"/>
  <c r="M57" i="21" s="1"/>
  <c r="L58" i="21"/>
  <c r="L69" i="21" s="1"/>
  <c r="C147" i="21"/>
  <c r="D182" i="2" s="1"/>
  <c r="K225" i="21"/>
  <c r="K49" i="31"/>
  <c r="AD122" i="31"/>
  <c r="AD123" i="31" s="1"/>
  <c r="L119" i="31"/>
  <c r="L123" i="31" s="1"/>
  <c r="H177" i="2"/>
  <c r="D178" i="2" s="1"/>
  <c r="L105" i="31"/>
  <c r="AD114" i="31"/>
  <c r="AD117" i="31" s="1"/>
  <c r="I69" i="21"/>
  <c r="L225" i="21" l="1"/>
  <c r="L49" i="31"/>
  <c r="M58" i="21"/>
  <c r="M69" i="21" s="1"/>
  <c r="M59" i="21"/>
  <c r="N55" i="21"/>
  <c r="N57" i="21" s="1"/>
  <c r="I225" i="21"/>
  <c r="I49" i="31"/>
  <c r="M49" i="31" l="1"/>
  <c r="M225" i="21"/>
  <c r="N58" i="21"/>
  <c r="K116" i="31" s="1"/>
  <c r="N116" i="31" s="1"/>
  <c r="N59" i="21"/>
  <c r="D107" i="31" l="1"/>
  <c r="D110" i="31" s="1"/>
  <c r="K89" i="31"/>
  <c r="K101" i="31"/>
  <c r="N69" i="21"/>
  <c r="G209" i="2" l="1"/>
  <c r="AC115" i="31"/>
  <c r="AF115" i="31" s="1"/>
  <c r="N101" i="31"/>
  <c r="N49" i="31"/>
  <c r="N225" i="21"/>
  <c r="C69" i="21"/>
  <c r="C181" i="2" s="1"/>
  <c r="C72" i="21"/>
  <c r="K115" i="31"/>
  <c r="C73" i="21"/>
  <c r="C71" i="21"/>
  <c r="N115" i="31" l="1"/>
  <c r="AC122" i="31"/>
  <c r="K119" i="31"/>
  <c r="G177" i="2"/>
  <c r="K99" i="31"/>
  <c r="C228" i="21"/>
  <c r="C227" i="21" s="1"/>
  <c r="C74" i="21"/>
  <c r="C182" i="2" s="1"/>
  <c r="C229" i="21"/>
  <c r="C230" i="21" s="1"/>
  <c r="F182" i="2" s="1"/>
  <c r="C225" i="21"/>
  <c r="AC114" i="31" l="1"/>
  <c r="N99" i="31"/>
  <c r="K105" i="31"/>
  <c r="J177" i="2"/>
  <c r="F178" i="2" s="1"/>
  <c r="C178" i="2"/>
  <c r="K123" i="31"/>
  <c r="D54" i="31"/>
  <c r="F181" i="2"/>
  <c r="AF122" i="31"/>
  <c r="AC123" i="31"/>
  <c r="N119" i="31"/>
  <c r="AF123" i="31" l="1"/>
  <c r="AF114" i="31"/>
  <c r="AC117" i="31"/>
  <c r="O110" i="31"/>
  <c r="O114" i="31"/>
  <c r="O108" i="31"/>
  <c r="O111" i="31"/>
  <c r="O109" i="31"/>
  <c r="O113" i="31"/>
  <c r="O112" i="31"/>
  <c r="O117" i="31"/>
  <c r="O116" i="31"/>
  <c r="O115" i="31"/>
  <c r="N105" i="31"/>
  <c r="O103" i="31" l="1"/>
  <c r="O100" i="31"/>
  <c r="O102" i="31"/>
  <c r="O101" i="31"/>
  <c r="AF117" i="31"/>
  <c r="AG114" i="31"/>
  <c r="AD99" i="31" s="1"/>
  <c r="AG121" i="31"/>
  <c r="AD106" i="31" s="1"/>
  <c r="AG119" i="31"/>
  <c r="AD104" i="31" s="1"/>
  <c r="AG120" i="31"/>
  <c r="AD105" i="31" s="1"/>
  <c r="O99" i="31"/>
  <c r="AG122" i="31"/>
  <c r="AD107" i="31" s="1"/>
  <c r="Q102" i="31" l="1"/>
  <c r="AG116" i="31"/>
  <c r="AD101" i="31" s="1"/>
  <c r="AG115" i="31"/>
  <c r="AD100" i="31" s="1"/>
  <c r="Q100" i="31"/>
  <c r="Q99" i="31"/>
  <c r="Q105" i="31"/>
  <c r="Q104" i="31"/>
  <c r="N86" i="31" l="1"/>
  <c r="N89" i="31"/>
  <c r="N90" i="31"/>
  <c r="K92" i="31"/>
</calcChain>
</file>

<file path=xl/sharedStrings.xml><?xml version="1.0" encoding="utf-8"?>
<sst xmlns="http://schemas.openxmlformats.org/spreadsheetml/2006/main" count="3786" uniqueCount="991">
  <si>
    <t xml:space="preserve">Building 1 </t>
    <phoneticPr fontId="10" type="noConversion"/>
  </si>
  <si>
    <t xml:space="preserve">Residential </t>
    <phoneticPr fontId="10" type="noConversion"/>
  </si>
  <si>
    <t>Office</t>
    <phoneticPr fontId="10" type="noConversion"/>
  </si>
  <si>
    <t xml:space="preserve">Retail </t>
    <phoneticPr fontId="10" type="noConversion"/>
  </si>
  <si>
    <t xml:space="preserve">sf/floor </t>
    <phoneticPr fontId="10" type="noConversion"/>
  </si>
  <si>
    <t>Building2</t>
    <phoneticPr fontId="10" type="noConversion"/>
  </si>
  <si>
    <t>Building 3</t>
  </si>
  <si>
    <t>Building 4</t>
  </si>
  <si>
    <t>Building 5</t>
  </si>
  <si>
    <t>Building 6</t>
  </si>
  <si>
    <t>Building 7</t>
  </si>
  <si>
    <t>Building 8</t>
  </si>
  <si>
    <t>Building 14</t>
  </si>
  <si>
    <t>Building 15</t>
  </si>
  <si>
    <t>Building 16</t>
  </si>
  <si>
    <t>Attached office</t>
    <phoneticPr fontId="10" type="noConversion"/>
  </si>
  <si>
    <t>Attached residential</t>
    <phoneticPr fontId="10" type="noConversion"/>
  </si>
  <si>
    <t>Attached retail</t>
    <phoneticPr fontId="10" type="noConversion"/>
  </si>
  <si>
    <t>Hotel</t>
    <phoneticPr fontId="10" type="noConversion"/>
  </si>
  <si>
    <t xml:space="preserve">Attached Parking </t>
    <phoneticPr fontId="10" type="noConversion"/>
  </si>
  <si>
    <t>Building 17</t>
  </si>
  <si>
    <t>Building 20</t>
  </si>
  <si>
    <t>Building 21</t>
  </si>
  <si>
    <t xml:space="preserve">Existing building </t>
    <phoneticPr fontId="10" type="noConversion"/>
  </si>
  <si>
    <t>Building 9</t>
    <phoneticPr fontId="10" type="noConversion"/>
  </si>
  <si>
    <t>Building 10</t>
    <phoneticPr fontId="10" type="noConversion"/>
  </si>
  <si>
    <t>Building 11</t>
    <phoneticPr fontId="10" type="noConversion"/>
  </si>
  <si>
    <t>Building 12</t>
    <phoneticPr fontId="10" type="noConversion"/>
  </si>
  <si>
    <t>Building13</t>
    <phoneticPr fontId="10" type="noConversion"/>
  </si>
  <si>
    <t>Building 18</t>
    <phoneticPr fontId="10" type="noConversion"/>
  </si>
  <si>
    <t>Building 19</t>
    <phoneticPr fontId="10" type="noConversion"/>
  </si>
  <si>
    <t>Building 22</t>
  </si>
  <si>
    <t>Building 23</t>
  </si>
  <si>
    <t>Building 24</t>
  </si>
  <si>
    <t>Building 25</t>
  </si>
  <si>
    <t xml:space="preserve">Community Center </t>
    <phoneticPr fontId="10" type="noConversion"/>
  </si>
  <si>
    <t xml:space="preserve">Additional Museum </t>
    <phoneticPr fontId="10" type="noConversion"/>
  </si>
  <si>
    <t xml:space="preserve">Existing museum </t>
    <phoneticPr fontId="10" type="noConversion"/>
  </si>
  <si>
    <t xml:space="preserve"> </t>
    <phoneticPr fontId="10" type="noConversion"/>
  </si>
  <si>
    <t>Building 26</t>
  </si>
  <si>
    <t>Building 27</t>
  </si>
  <si>
    <t>Building 28</t>
  </si>
  <si>
    <t>Building 29</t>
  </si>
  <si>
    <t>Building 30</t>
  </si>
  <si>
    <t xml:space="preserve">Buildings near the boradwalk </t>
    <phoneticPr fontId="10" type="noConversion"/>
  </si>
  <si>
    <t>Building 29</t>
    <phoneticPr fontId="10" type="noConversion"/>
  </si>
  <si>
    <t xml:space="preserve">residential </t>
    <phoneticPr fontId="10" type="noConversion"/>
  </si>
  <si>
    <t xml:space="preserve">third floor </t>
    <phoneticPr fontId="10" type="noConversion"/>
  </si>
  <si>
    <t xml:space="preserve">second floor </t>
    <phoneticPr fontId="10" type="noConversion"/>
  </si>
  <si>
    <t xml:space="preserve">ground floor </t>
    <phoneticPr fontId="10" type="noConversion"/>
  </si>
  <si>
    <t xml:space="preserve">Retail </t>
    <phoneticPr fontId="10" type="noConversion"/>
  </si>
  <si>
    <t>Office</t>
    <phoneticPr fontId="10" type="noConversion"/>
  </si>
  <si>
    <t>Building 30</t>
    <phoneticPr fontId="10" type="noConversion"/>
  </si>
  <si>
    <t xml:space="preserve">fourth floor </t>
    <phoneticPr fontId="10" type="noConversion"/>
  </si>
  <si>
    <t xml:space="preserve">thrid floor </t>
    <phoneticPr fontId="10" type="noConversion"/>
  </si>
  <si>
    <t xml:space="preserve">total </t>
    <phoneticPr fontId="10" type="noConversion"/>
  </si>
  <si>
    <t xml:space="preserve">residental </t>
    <phoneticPr fontId="10" type="noConversion"/>
  </si>
  <si>
    <t>retail</t>
    <phoneticPr fontId="10" type="noConversion"/>
  </si>
  <si>
    <t>office</t>
    <phoneticPr fontId="10" type="noConversion"/>
  </si>
  <si>
    <t>Building 31</t>
  </si>
  <si>
    <t>Building 32</t>
  </si>
  <si>
    <t>Building 33</t>
  </si>
  <si>
    <t>Building 32</t>
    <phoneticPr fontId="10" type="noConversion"/>
  </si>
  <si>
    <t xml:space="preserve">retail </t>
    <phoneticPr fontId="10" type="noConversion"/>
  </si>
  <si>
    <t xml:space="preserve">Building 33 </t>
    <phoneticPr fontId="10" type="noConversion"/>
  </si>
  <si>
    <t>Building 34</t>
  </si>
  <si>
    <t>Building 34</t>
    <phoneticPr fontId="10" type="noConversion"/>
  </si>
  <si>
    <t xml:space="preserve">Boradwalk average width </t>
    <phoneticPr fontId="10" type="noConversion"/>
  </si>
  <si>
    <t xml:space="preserve">107 ft </t>
    <phoneticPr fontId="10" type="noConversion"/>
  </si>
  <si>
    <t xml:space="preserve">Boradwalk length </t>
    <phoneticPr fontId="10" type="noConversion"/>
  </si>
  <si>
    <t xml:space="preserve">1700 ft </t>
    <phoneticPr fontId="10" type="noConversion"/>
  </si>
  <si>
    <t xml:space="preserve">requiremnt </t>
    <phoneticPr fontId="10" type="noConversion"/>
  </si>
  <si>
    <t xml:space="preserve">10 percent of new residential for affordable housing </t>
    <phoneticPr fontId="10" type="noConversion"/>
  </si>
  <si>
    <t>Total</t>
    <phoneticPr fontId="10" type="noConversion"/>
  </si>
  <si>
    <t xml:space="preserve">Existing developmenet </t>
    <phoneticPr fontId="10" type="noConversion"/>
  </si>
  <si>
    <t xml:space="preserve">Proposed Development </t>
    <phoneticPr fontId="10" type="noConversion"/>
  </si>
  <si>
    <t>hotel</t>
    <phoneticPr fontId="10" type="noConversion"/>
  </si>
  <si>
    <t>residential</t>
    <phoneticPr fontId="10" type="noConversion"/>
  </si>
  <si>
    <t xml:space="preserve">color coded </t>
    <phoneticPr fontId="10" type="noConversion"/>
  </si>
  <si>
    <t xml:space="preserve">public building </t>
    <phoneticPr fontId="10" type="noConversion"/>
  </si>
  <si>
    <t xml:space="preserve">minumum required affordable housing </t>
    <phoneticPr fontId="10" type="noConversion"/>
  </si>
  <si>
    <t xml:space="preserve">our proposal </t>
    <phoneticPr fontId="10" type="noConversion"/>
  </si>
  <si>
    <t xml:space="preserve">Potential Location for affordable housing </t>
    <phoneticPr fontId="10" type="noConversion"/>
  </si>
  <si>
    <t xml:space="preserve">GE building second story </t>
    <phoneticPr fontId="10" type="noConversion"/>
  </si>
  <si>
    <t xml:space="preserve">Existing building on east of Freedom Museum </t>
    <phoneticPr fontId="10" type="noConversion"/>
  </si>
  <si>
    <t xml:space="preserve">one story </t>
    <phoneticPr fontId="10" type="noConversion"/>
  </si>
  <si>
    <t xml:space="preserve">potentially two stories </t>
    <phoneticPr fontId="10" type="noConversion"/>
  </si>
  <si>
    <t>Building 26, 27, 28 Not included in our site</t>
    <phoneticPr fontId="10" type="noConversion"/>
  </si>
  <si>
    <t xml:space="preserve">we need to purchase this building </t>
  </si>
  <si>
    <t>Phase</t>
  </si>
  <si>
    <t>Number of stories</t>
  </si>
  <si>
    <t>Market-rate apartments</t>
  </si>
  <si>
    <t>Condominiums</t>
  </si>
  <si>
    <t>Type</t>
  </si>
  <si>
    <t>Size</t>
  </si>
  <si>
    <t>Mix</t>
  </si>
  <si>
    <t>Micro units (yes/no)</t>
  </si>
  <si>
    <t>Affordable for-sale %</t>
  </si>
  <si>
    <t>Affordable for-rent %</t>
  </si>
  <si>
    <t>Yes</t>
  </si>
  <si>
    <t>Gross Residential SF</t>
  </si>
  <si>
    <t>PSF</t>
  </si>
  <si>
    <t>Premium</t>
  </si>
  <si>
    <t>Average Size</t>
  </si>
  <si>
    <t>Average Rate</t>
  </si>
  <si>
    <t>Residential</t>
  </si>
  <si>
    <t>Rent</t>
  </si>
  <si>
    <t>Sale PSF</t>
  </si>
  <si>
    <t>Gross PSF, month</t>
  </si>
  <si>
    <t>Office</t>
  </si>
  <si>
    <t>Expense reimbursements</t>
  </si>
  <si>
    <t>Market rate, net, PSF</t>
  </si>
  <si>
    <t>Item</t>
  </si>
  <si>
    <t>OFFICE</t>
  </si>
  <si>
    <t>RESIDENTIAL</t>
  </si>
  <si>
    <t>RETAIL</t>
  </si>
  <si>
    <t>Use</t>
  </si>
  <si>
    <t>PSF, NNN</t>
  </si>
  <si>
    <t>Expense reimbursement</t>
  </si>
  <si>
    <t>HOTEL</t>
  </si>
  <si>
    <t>Projected ADR</t>
  </si>
  <si>
    <t>Standard</t>
  </si>
  <si>
    <t>Ancillary revenues</t>
  </si>
  <si>
    <t>Opex</t>
  </si>
  <si>
    <t>Margin %</t>
  </si>
  <si>
    <t>Food &amp; beverage</t>
  </si>
  <si>
    <t>Other</t>
  </si>
  <si>
    <t>% of room revenue</t>
  </si>
  <si>
    <t>Room revenues</t>
  </si>
  <si>
    <t>Profit margin</t>
  </si>
  <si>
    <t>Parking</t>
  </si>
  <si>
    <t>PARKING</t>
  </si>
  <si>
    <t>Daily rate</t>
  </si>
  <si>
    <t>Daily users, %</t>
  </si>
  <si>
    <t>Monthly rate</t>
  </si>
  <si>
    <t>Monthly users, %</t>
  </si>
  <si>
    <t>Community center</t>
  </si>
  <si>
    <t>Daily visitors</t>
  </si>
  <si>
    <t>Annual visitors</t>
  </si>
  <si>
    <t>Museum</t>
  </si>
  <si>
    <t>Residential, affordable</t>
  </si>
  <si>
    <t>Retail</t>
  </si>
  <si>
    <t>Retail, grocery store</t>
  </si>
  <si>
    <t>Retail, gym</t>
  </si>
  <si>
    <t>Hotel</t>
  </si>
  <si>
    <t>PUBLIC CENTERS</t>
  </si>
  <si>
    <t>Hotel, food and beverage</t>
  </si>
  <si>
    <t>Hotel, other</t>
  </si>
  <si>
    <t>Public centers, community center</t>
  </si>
  <si>
    <t>Public centers, museum</t>
  </si>
  <si>
    <t>OPEX</t>
  </si>
  <si>
    <t>VACANCY / LEASE-UP</t>
  </si>
  <si>
    <t>Stabilization period</t>
  </si>
  <si>
    <t>Stabilization vacancy</t>
  </si>
  <si>
    <t>Ramp up / year, %</t>
  </si>
  <si>
    <t>Construction</t>
  </si>
  <si>
    <t>Residential, condominiums</t>
  </si>
  <si>
    <t>Developer fee</t>
  </si>
  <si>
    <t xml:space="preserve">Low </t>
  </si>
  <si>
    <t>High</t>
  </si>
  <si>
    <t>Construction time, years</t>
  </si>
  <si>
    <t>BELOW THE LINE</t>
  </si>
  <si>
    <t>Leasing commissions</t>
  </si>
  <si>
    <t>CONSTRUCTION / DEVELOPMENT</t>
  </si>
  <si>
    <t>Residential, market-rate</t>
  </si>
  <si>
    <t>Retail, lifestyle / experiential</t>
  </si>
  <si>
    <t>Income</t>
  </si>
  <si>
    <t>Net operating income</t>
  </si>
  <si>
    <t>CapEx</t>
  </si>
  <si>
    <t>Unlevered free cash flow</t>
  </si>
  <si>
    <t>Construction costs</t>
  </si>
  <si>
    <t>Construction financing</t>
  </si>
  <si>
    <t>Permanent financing</t>
  </si>
  <si>
    <t>Levered free cash flow</t>
  </si>
  <si>
    <t>CAP RATES</t>
  </si>
  <si>
    <t>Year</t>
  </si>
  <si>
    <t>Inflation</t>
  </si>
  <si>
    <t>INFLATION / GROWTH</t>
  </si>
  <si>
    <t>End, year</t>
  </si>
  <si>
    <t>Open for business, year</t>
  </si>
  <si>
    <t>Lease-up</t>
  </si>
  <si>
    <t>Cumulative occupied space</t>
  </si>
  <si>
    <t>Square feet, completed, gross</t>
  </si>
  <si>
    <t>Margin % or PSF</t>
  </si>
  <si>
    <t>Leasing Commissions</t>
  </si>
  <si>
    <t>SALES / CLOSING COSTS</t>
  </si>
  <si>
    <t>Disposition year</t>
  </si>
  <si>
    <t>Closing costs</t>
  </si>
  <si>
    <t>Year 0 Cap rates</t>
  </si>
  <si>
    <t>Exit cap rate</t>
  </si>
  <si>
    <t>Common Area Factor</t>
  </si>
  <si>
    <t>Common area factor</t>
  </si>
  <si>
    <t>LAST COLUMN</t>
  </si>
  <si>
    <t>OpEx</t>
  </si>
  <si>
    <t>Square feet, rentable</t>
  </si>
  <si>
    <t>Capital costs</t>
  </si>
  <si>
    <t>Investments</t>
  </si>
  <si>
    <t>Asset sale, net</t>
  </si>
  <si>
    <t>Drivers</t>
  </si>
  <si>
    <t>Phase open</t>
  </si>
  <si>
    <t>Total</t>
  </si>
  <si>
    <t>Premium weight</t>
  </si>
  <si>
    <t>Rents / sales</t>
  </si>
  <si>
    <t>PREMIUM BOOSTS</t>
  </si>
  <si>
    <t>Phase begin</t>
  </si>
  <si>
    <t>Phase end</t>
  </si>
  <si>
    <t>Rooms</t>
  </si>
  <si>
    <t>Bedrooms</t>
  </si>
  <si>
    <t>Measurement</t>
  </si>
  <si>
    <t>Per</t>
  </si>
  <si>
    <t>Room</t>
  </si>
  <si>
    <t>-</t>
  </si>
  <si>
    <t>Average total size</t>
  </si>
  <si>
    <t>Total Gross</t>
  </si>
  <si>
    <t>Total Rentable</t>
  </si>
  <si>
    <t>Average room size</t>
  </si>
  <si>
    <t>CAM reimbursement</t>
  </si>
  <si>
    <t>Investment horizon</t>
  </si>
  <si>
    <t>Condominium costs per sale</t>
  </si>
  <si>
    <t>Phase 1</t>
  </si>
  <si>
    <t>Phase 2</t>
  </si>
  <si>
    <t>hotel</t>
  </si>
  <si>
    <t>retail</t>
  </si>
  <si>
    <t>Y</t>
  </si>
  <si>
    <t>office</t>
  </si>
  <si>
    <t>Total SF</t>
  </si>
  <si>
    <t>%</t>
  </si>
  <si>
    <t>Blended rate</t>
  </si>
  <si>
    <t>Total Rentable SF</t>
  </si>
  <si>
    <t>Total no. of rooms</t>
  </si>
  <si>
    <t>Projected revenue</t>
  </si>
  <si>
    <t>Food &amp; beverage,net</t>
  </si>
  <si>
    <t>Other,net</t>
  </si>
  <si>
    <t>Room income</t>
  </si>
  <si>
    <t>Name</t>
  </si>
  <si>
    <t>Rents</t>
  </si>
  <si>
    <t>Purchase cap</t>
  </si>
  <si>
    <t>Projected value</t>
  </si>
  <si>
    <t>Yard house</t>
  </si>
  <si>
    <t>Lease type</t>
  </si>
  <si>
    <t>Net</t>
  </si>
  <si>
    <t>Land (acres)</t>
  </si>
  <si>
    <t>Land (sf)</t>
  </si>
  <si>
    <t>Building (sf)</t>
  </si>
  <si>
    <t>Demolition</t>
  </si>
  <si>
    <t>Demolition cost</t>
  </si>
  <si>
    <t>Surface lot</t>
  </si>
  <si>
    <t>Existing building</t>
  </si>
  <si>
    <t>-use land contribution, including FWW, to increase financing funds</t>
  </si>
  <si>
    <t>Owner</t>
  </si>
  <si>
    <t>Spirits</t>
  </si>
  <si>
    <t>Dixie Terminal Corporation</t>
  </si>
  <si>
    <t>Great American Insurance Group</t>
  </si>
  <si>
    <t>Description</t>
  </si>
  <si>
    <t>North of FWW for buildings 26-28</t>
  </si>
  <si>
    <t xml:space="preserve">Office </t>
  </si>
  <si>
    <t>Acquisitions price</t>
  </si>
  <si>
    <t>Morlein Lager House</t>
  </si>
  <si>
    <t>Carousal</t>
  </si>
  <si>
    <t>City of Cincinnati</t>
  </si>
  <si>
    <t>Repurpose</t>
  </si>
  <si>
    <t>Ruth Chris's</t>
  </si>
  <si>
    <t>NIC Riverbanks</t>
  </si>
  <si>
    <t>N</t>
  </si>
  <si>
    <t>Cost of sale, condominiums</t>
  </si>
  <si>
    <t>Condo units available for sale</t>
  </si>
  <si>
    <t>Condo units sold</t>
  </si>
  <si>
    <t>Cost of sales</t>
  </si>
  <si>
    <t>DEMOLITION / REPUROSE</t>
  </si>
  <si>
    <t>Existing use</t>
  </si>
  <si>
    <t>NOI</t>
  </si>
  <si>
    <t>Estimated NOI</t>
  </si>
  <si>
    <t>Square feet, constructed, gross</t>
  </si>
  <si>
    <t>Square feet, repurposement, gross</t>
  </si>
  <si>
    <t>Acquisitions / demolition costs</t>
  </si>
  <si>
    <t>Total cost</t>
  </si>
  <si>
    <t>Repurposement cost</t>
  </si>
  <si>
    <t>Repurpose costs</t>
  </si>
  <si>
    <t>n/a</t>
  </si>
  <si>
    <t>Repurpose use</t>
  </si>
  <si>
    <t>public space</t>
  </si>
  <si>
    <t>Column1</t>
  </si>
  <si>
    <t>`</t>
  </si>
  <si>
    <t>Public buildings</t>
  </si>
  <si>
    <t>public buildings</t>
  </si>
  <si>
    <t>Other income</t>
  </si>
  <si>
    <t>Gift shop &amp; other</t>
  </si>
  <si>
    <t>per day</t>
  </si>
  <si>
    <t>Entrace fees</t>
  </si>
  <si>
    <t>Fee / visitor</t>
  </si>
  <si>
    <t>Gift shop and other income</t>
  </si>
  <si>
    <t>Hourly staff</t>
  </si>
  <si>
    <t>Hours / day</t>
  </si>
  <si>
    <t>$ / hour</t>
  </si>
  <si>
    <t xml:space="preserve">Days </t>
  </si>
  <si>
    <t>Salaries staff</t>
  </si>
  <si>
    <t>Salary</t>
  </si>
  <si>
    <t>Annual total</t>
  </si>
  <si>
    <t>OpEx / year</t>
  </si>
  <si>
    <t>OpEx / month</t>
  </si>
  <si>
    <t>Infastructure</t>
  </si>
  <si>
    <t>Public building</t>
  </si>
  <si>
    <t>Boardwalk</t>
  </si>
  <si>
    <t>Landscaping</t>
  </si>
  <si>
    <t>Market center</t>
  </si>
  <si>
    <t>Assignment</t>
  </si>
  <si>
    <t>FWW</t>
  </si>
  <si>
    <t>FWW reenforcement</t>
  </si>
  <si>
    <t xml:space="preserve">Freedom way </t>
  </si>
  <si>
    <t>Improved streetscape</t>
  </si>
  <si>
    <t>Rosa Parks St</t>
  </si>
  <si>
    <t>Mart Spencer Way</t>
  </si>
  <si>
    <t>Second street</t>
  </si>
  <si>
    <t>Third street</t>
  </si>
  <si>
    <t>Measurement type</t>
  </si>
  <si>
    <t>Lump sum</t>
  </si>
  <si>
    <t>Entire site</t>
  </si>
  <si>
    <t>Price / measurement</t>
  </si>
  <si>
    <t>Park</t>
  </si>
  <si>
    <t>Surface area, PSF</t>
  </si>
  <si>
    <t>Theodore M. Bary Way</t>
  </si>
  <si>
    <t>Phase 3</t>
  </si>
  <si>
    <t>Water island / channel</t>
  </si>
  <si>
    <t>Total NOI</t>
  </si>
  <si>
    <t>Total capital costs</t>
  </si>
  <si>
    <t>Total Investments</t>
  </si>
  <si>
    <t>residential, market-rate</t>
  </si>
  <si>
    <t>Sf / floor</t>
  </si>
  <si>
    <t>% share</t>
  </si>
  <si>
    <t>demo building</t>
  </si>
  <si>
    <t>demo surface lot</t>
  </si>
  <si>
    <t>demolition</t>
  </si>
  <si>
    <t>parking</t>
  </si>
  <si>
    <t>apartments</t>
  </si>
  <si>
    <t>the banks</t>
  </si>
  <si>
    <t>first hour $3, max at $10</t>
  </si>
  <si>
    <t>monthly rate</t>
  </si>
  <si>
    <t>138 psf</t>
  </si>
  <si>
    <t>per acres</t>
  </si>
  <si>
    <t>Land acquisition</t>
  </si>
  <si>
    <t>vacancy</t>
  </si>
  <si>
    <t>CBD</t>
  </si>
  <si>
    <t>margin</t>
  </si>
  <si>
    <t>EBITDA</t>
  </si>
  <si>
    <t>stars</t>
  </si>
  <si>
    <t>4 stars</t>
  </si>
  <si>
    <t>ADR</t>
  </si>
  <si>
    <t>occupancy</t>
  </si>
  <si>
    <t>affordable condos</t>
  </si>
  <si>
    <t>market research, zillow</t>
  </si>
  <si>
    <t>per sq</t>
  </si>
  <si>
    <t xml:space="preserve">low, consider </t>
  </si>
  <si>
    <t>costar</t>
  </si>
  <si>
    <t>Condo sales</t>
  </si>
  <si>
    <t>misc.</t>
  </si>
  <si>
    <t>affordable</t>
  </si>
  <si>
    <t>market-rate</t>
  </si>
  <si>
    <t>Apartments</t>
  </si>
  <si>
    <t>FWW ventilation</t>
  </si>
  <si>
    <t>FWW reinforcements</t>
  </si>
  <si>
    <t>FWW decks</t>
  </si>
  <si>
    <t>costar, JLL industrial reports</t>
  </si>
  <si>
    <t>roads / right of way improvements</t>
  </si>
  <si>
    <t>Lifestyle</t>
  </si>
  <si>
    <t>Kroger</t>
  </si>
  <si>
    <t>psf</t>
  </si>
  <si>
    <t>landscaping</t>
  </si>
  <si>
    <t>grocery stores</t>
  </si>
  <si>
    <t>restaurants</t>
  </si>
  <si>
    <t>TI</t>
  </si>
  <si>
    <t>% profit shrae</t>
  </si>
  <si>
    <t>NNN</t>
  </si>
  <si>
    <t>TIF</t>
  </si>
  <si>
    <t xml:space="preserve">List of demands </t>
  </si>
  <si>
    <t xml:space="preserve">-morlein yager house, lease expires dec 2019, then repurpose building </t>
  </si>
  <si>
    <t>=-demo yard houes</t>
  </si>
  <si>
    <t>-ground less land from city</t>
  </si>
  <si>
    <t>-public-private partnership agreeing to gift land for free with understanding that developer will build out major infastructure projects</t>
  </si>
  <si>
    <t>Narrative</t>
  </si>
  <si>
    <t>-boardwalk as FRONTIER</t>
  </si>
  <si>
    <t>-identify all land we are using as "developable parcels"</t>
  </si>
  <si>
    <t xml:space="preserve">-demolition costs are the same regardless of building size </t>
  </si>
  <si>
    <t>-inflation rate at 2% / year</t>
  </si>
  <si>
    <t>-plan ot address onsite stormwater</t>
  </si>
  <si>
    <t>-EACH phase must include 10% affordable units</t>
  </si>
  <si>
    <t>Notes</t>
  </si>
  <si>
    <t>Total SF, gross</t>
  </si>
  <si>
    <t>\</t>
  </si>
  <si>
    <t>3-story Ruth's Chris portion only, to be converted to incubator space</t>
  </si>
  <si>
    <t>To be demolished to construct cultural center</t>
  </si>
  <si>
    <t>To be repurposed for board walk retail</t>
  </si>
  <si>
    <t>To be demolished for board walk construction</t>
  </si>
  <si>
    <t>SF / acre</t>
  </si>
  <si>
    <t>Acquisitions, demolitions, repurposements</t>
  </si>
  <si>
    <t>-address parking in sunken lots</t>
  </si>
  <si>
    <t>-sources and uses</t>
  </si>
  <si>
    <t>Average space size</t>
  </si>
  <si>
    <t>Efficiency</t>
  </si>
  <si>
    <t>Occupancy</t>
  </si>
  <si>
    <t>Parking spaces, rented</t>
  </si>
  <si>
    <t>Average $ / space / month</t>
  </si>
  <si>
    <t>Parking, total spaces</t>
  </si>
  <si>
    <t>Begin, year</t>
  </si>
  <si>
    <t>Stablization year, programs</t>
  </si>
  <si>
    <t>SF, program</t>
  </si>
  <si>
    <t>%, share, marketeable</t>
  </si>
  <si>
    <t>Blended cap rate</t>
  </si>
  <si>
    <t>BLENDED CAP RATE, refi</t>
  </si>
  <si>
    <t>Loan amount</t>
  </si>
  <si>
    <t>Equity requirement</t>
  </si>
  <si>
    <t>Interest only</t>
  </si>
  <si>
    <t>Interest rate</t>
  </si>
  <si>
    <t>Servicing costs</t>
  </si>
  <si>
    <t>Stabilized NOI</t>
  </si>
  <si>
    <t>Refi / blended cap rate</t>
  </si>
  <si>
    <t>Loan to cost</t>
  </si>
  <si>
    <t>Loan to value</t>
  </si>
  <si>
    <t>Amortization schedule</t>
  </si>
  <si>
    <t>Available reinvestmnet funds</t>
  </si>
  <si>
    <t>Financing</t>
  </si>
  <si>
    <t>Interest expense</t>
  </si>
  <si>
    <t>Debt repayment</t>
  </si>
  <si>
    <t>CONSTRUCTION COSTS*</t>
  </si>
  <si>
    <t>*do not include developer fee</t>
  </si>
  <si>
    <t>No</t>
  </si>
  <si>
    <t>Loan proceeds</t>
  </si>
  <si>
    <t>Required  funding</t>
  </si>
  <si>
    <t>Ending
Balance</t>
  </si>
  <si>
    <t>Interest</t>
  </si>
  <si>
    <t>Principal</t>
  </si>
  <si>
    <t>Payment</t>
  </si>
  <si>
    <t>Beginning
Balance</t>
  </si>
  <si>
    <t>No.</t>
  </si>
  <si>
    <t>Total cost of loan</t>
  </si>
  <si>
    <t>Total interest</t>
  </si>
  <si>
    <t>Number of payments</t>
  </si>
  <si>
    <t>Monthly payment</t>
  </si>
  <si>
    <t>Start date of loan</t>
  </si>
  <si>
    <t>Loan period in years</t>
  </si>
  <si>
    <t>Annual interest rate</t>
  </si>
  <si>
    <t>Enter values</t>
  </si>
  <si>
    <t>Simple Loan Calculator</t>
  </si>
  <si>
    <t>Phase Open</t>
  </si>
  <si>
    <t>Balance at disposition</t>
  </si>
  <si>
    <t>Disposition period</t>
  </si>
  <si>
    <t>Debt service</t>
  </si>
  <si>
    <t>Annual debt service</t>
  </si>
  <si>
    <t>Servicing fees</t>
  </si>
  <si>
    <t>Intereset rate</t>
  </si>
  <si>
    <t>Servicing fes</t>
  </si>
  <si>
    <t>Levered analysis</t>
  </si>
  <si>
    <t>All</t>
  </si>
  <si>
    <t>Unlevered free cash flows</t>
  </si>
  <si>
    <t>Levered free cash flows</t>
  </si>
  <si>
    <t>FINANCING ASSUMPTIONS</t>
  </si>
  <si>
    <t>Apply to:</t>
  </si>
  <si>
    <t>x</t>
  </si>
  <si>
    <t>Total Development Costs</t>
  </si>
  <si>
    <t>Total Infrastructure Costs</t>
  </si>
  <si>
    <t>Acquisition Taxes and Fees</t>
  </si>
  <si>
    <t>Other Amenities</t>
  </si>
  <si>
    <t>Other Hardscaping (not incl. surf. pkg.)</t>
  </si>
  <si>
    <t>Utilities</t>
  </si>
  <si>
    <t>Roads</t>
  </si>
  <si>
    <t>Private</t>
  </si>
  <si>
    <t>Public</t>
  </si>
  <si>
    <t>Infrastructure Costs</t>
  </si>
  <si>
    <t>($ per space)</t>
  </si>
  <si>
    <t>Surface Parking</t>
  </si>
  <si>
    <t>Structured Parking</t>
  </si>
  <si>
    <t>($ per room)</t>
  </si>
  <si>
    <t>Financing Sources (total)</t>
  </si>
  <si>
    <t>($ per s.f.)</t>
  </si>
  <si>
    <t>Retail (ALL)</t>
  </si>
  <si>
    <t>Office/Commercial</t>
  </si>
  <si>
    <t>($ per unit)</t>
  </si>
  <si>
    <t>For-Sale Housing</t>
  </si>
  <si>
    <t>Rental Housing</t>
  </si>
  <si>
    <t>Affordable</t>
  </si>
  <si>
    <t>Workforce</t>
  </si>
  <si>
    <t>Equity Sources (total)</t>
  </si>
  <si>
    <t>Market-rate</t>
  </si>
  <si>
    <t>Amount</t>
  </si>
  <si>
    <t>Total Costs</t>
  </si>
  <si>
    <t>Unit Cost</t>
  </si>
  <si>
    <t>Development Costs</t>
  </si>
  <si>
    <t>4. Equity and Financing Sources</t>
  </si>
  <si>
    <t>3. Unit Development and Infrastructure Costs</t>
  </si>
  <si>
    <t>(s.f.)</t>
  </si>
  <si>
    <t>Affordable Retail</t>
  </si>
  <si>
    <t>Market-rate Retail</t>
  </si>
  <si>
    <t>Project Buildout by Area</t>
  </si>
  <si>
    <t>(spaces)</t>
  </si>
  <si>
    <t>(rooms)</t>
  </si>
  <si>
    <t>(units)</t>
  </si>
  <si>
    <t>Project Buildout by Development Units</t>
  </si>
  <si>
    <t>Total Buildout</t>
  </si>
  <si>
    <t>Year-by-Year Cumulative Absorption</t>
  </si>
  <si>
    <t>2. Multiyear Development Program</t>
  </si>
  <si>
    <t>Projected Site Value (end of Year 10)</t>
  </si>
  <si>
    <t>Leveraged IRR Before Taxes</t>
  </si>
  <si>
    <t>Current Site Value (start of Year 0)</t>
  </si>
  <si>
    <t>Unleveraged IRR Before Taxes</t>
  </si>
  <si>
    <t>Loan to Value Ratio (LVR)</t>
  </si>
  <si>
    <t>Net Present Value</t>
  </si>
  <si>
    <t>Debt Service</t>
  </si>
  <si>
    <t>Leveraged Net Cash Flow</t>
  </si>
  <si>
    <t>Net Cash Flow</t>
  </si>
  <si>
    <t>Total Costs of Sale</t>
  </si>
  <si>
    <t xml:space="preserve">Total Asset Value </t>
  </si>
  <si>
    <t>Net Operating Income</t>
  </si>
  <si>
    <t>Annual Cash Flow</t>
  </si>
  <si>
    <t>Indirect costs</t>
  </si>
  <si>
    <t>Total Infrastructure</t>
  </si>
  <si>
    <t>Land Acquisition</t>
  </si>
  <si>
    <t>Underground Parking</t>
  </si>
  <si>
    <t>Total Income</t>
  </si>
  <si>
    <t>Income from Sales Proceeds</t>
  </si>
  <si>
    <t>Total Net Operating Income</t>
  </si>
  <si>
    <t>Development Fees</t>
  </si>
  <si>
    <t>Remediation</t>
  </si>
  <si>
    <t xml:space="preserve">Net Operating Income </t>
  </si>
  <si>
    <t>Phase I</t>
  </si>
  <si>
    <t>Team</t>
  </si>
  <si>
    <t>Discount rate</t>
  </si>
  <si>
    <t>Cincinnatii United Development Fund</t>
  </si>
  <si>
    <t>Phase II</t>
  </si>
  <si>
    <t>Phase III</t>
  </si>
  <si>
    <t>stormwater, utilities, etc</t>
  </si>
  <si>
    <t>Loan amount, up to</t>
  </si>
  <si>
    <t>Construction to mini-perm loan</t>
  </si>
  <si>
    <t>Permanent loan</t>
  </si>
  <si>
    <t>w</t>
  </si>
  <si>
    <t>l</t>
  </si>
  <si>
    <t>population</t>
  </si>
  <si>
    <t>growth</t>
  </si>
  <si>
    <t>unemployment</t>
  </si>
  <si>
    <t>22% of the households in the metro do not have a vehicle</t>
  </si>
  <si>
    <t xml:space="preserve">Additionally, the state of Ohio ranked in the top half of the country in terms of year-over-year wage growth from 2017-2018. </t>
  </si>
  <si>
    <t>1. Cincinnati United: Summary Pro Forma</t>
  </si>
  <si>
    <t>% of costs</t>
  </si>
  <si>
    <t>% of debt</t>
  </si>
  <si>
    <t>Stabilization year</t>
  </si>
  <si>
    <t>Open</t>
  </si>
  <si>
    <t>-tenant improvments</t>
  </si>
  <si>
    <t>Parking requirement</t>
  </si>
  <si>
    <t>Proposed</t>
  </si>
  <si>
    <t>Total interest expense</t>
  </si>
  <si>
    <t>Uses</t>
  </si>
  <si>
    <t>Total requirement</t>
  </si>
  <si>
    <t>Sources</t>
  </si>
  <si>
    <t>Equity</t>
  </si>
  <si>
    <t>Debt</t>
  </si>
  <si>
    <t>Total loan serving costs</t>
  </si>
  <si>
    <t>-opportunity zones</t>
  </si>
  <si>
    <t>-creative financing opportunities (TIFs, public private partnerships)</t>
  </si>
  <si>
    <t>-4% and 9% affordable housing bonds</t>
  </si>
  <si>
    <t>-AMI selection / allocation</t>
  </si>
  <si>
    <t>Zoning code</t>
  </si>
  <si>
    <t>use Nian's spreadsheet to build on top of lots</t>
  </si>
  <si>
    <t>Parcel ID</t>
  </si>
  <si>
    <t>B</t>
  </si>
  <si>
    <t>C</t>
  </si>
  <si>
    <t>D</t>
  </si>
  <si>
    <t>E</t>
  </si>
  <si>
    <t>F</t>
  </si>
  <si>
    <t>G</t>
  </si>
  <si>
    <t>competition site</t>
  </si>
  <si>
    <t>Competition ID</t>
  </si>
  <si>
    <t>Size (AC)</t>
  </si>
  <si>
    <t>Size (SF)</t>
  </si>
  <si>
    <t>083-0008-0003-00</t>
  </si>
  <si>
    <t>083-0008-0004-00</t>
  </si>
  <si>
    <t>083-0009-0001-00</t>
  </si>
  <si>
    <t>083-0009-0002-00</t>
  </si>
  <si>
    <t>083-0007-0009-00</t>
  </si>
  <si>
    <t>Per CAGIS</t>
  </si>
  <si>
    <t>Market Land Value</t>
  </si>
  <si>
    <t>Market Improvement Value</t>
  </si>
  <si>
    <t>Market Total Value</t>
  </si>
  <si>
    <t xml:space="preserve">2018 Taxes </t>
  </si>
  <si>
    <t>Millage Rate</t>
  </si>
  <si>
    <t>assessment</t>
  </si>
  <si>
    <t>Surface parking</t>
  </si>
  <si>
    <t>083-0007-0001-00</t>
  </si>
  <si>
    <t>D1</t>
  </si>
  <si>
    <t>D2</t>
  </si>
  <si>
    <t>D3</t>
  </si>
  <si>
    <t>City / County</t>
  </si>
  <si>
    <t>083-0007-0004-00</t>
  </si>
  <si>
    <t>083-0007-0067-00</t>
  </si>
  <si>
    <t>Hamilton</t>
  </si>
  <si>
    <t>083-0007-0007-00</t>
  </si>
  <si>
    <t>083-0007-0074-00</t>
  </si>
  <si>
    <t>083-0007-0072-00</t>
  </si>
  <si>
    <t>Land</t>
  </si>
  <si>
    <t>NIC LOT 19 LLC</t>
  </si>
  <si>
    <t>083-0007-0033-00</t>
  </si>
  <si>
    <t>083-0007-0037-00</t>
  </si>
  <si>
    <t>H</t>
  </si>
  <si>
    <t>083-0007-0032-00</t>
  </si>
  <si>
    <t>I</t>
  </si>
  <si>
    <t>Yard House</t>
  </si>
  <si>
    <t>083-0007-0031-00</t>
  </si>
  <si>
    <t>Refer to acq tab</t>
  </si>
  <si>
    <t>AJ valuation</t>
  </si>
  <si>
    <t>refer to acq tab</t>
  </si>
  <si>
    <t>J</t>
  </si>
  <si>
    <t>City</t>
  </si>
  <si>
    <t>083-0007-0046-00</t>
  </si>
  <si>
    <t>K</t>
  </si>
  <si>
    <t>083-0007-0036-00</t>
  </si>
  <si>
    <t>L</t>
  </si>
  <si>
    <t>083-0007-0040-00</t>
  </si>
  <si>
    <t>M</t>
  </si>
  <si>
    <t>083-0007-0041-00</t>
  </si>
  <si>
    <t>N1</t>
  </si>
  <si>
    <t>Dixie Terminal Corp</t>
  </si>
  <si>
    <t>083-0001-0121-00</t>
  </si>
  <si>
    <t>N2</t>
  </si>
  <si>
    <t>083-0001-0116-00</t>
  </si>
  <si>
    <t>N3</t>
  </si>
  <si>
    <t>083-0001-0115-00</t>
  </si>
  <si>
    <t>N4</t>
  </si>
  <si>
    <t>083-0001-0124-00</t>
  </si>
  <si>
    <t>N5</t>
  </si>
  <si>
    <t>083-0001-122-00</t>
  </si>
  <si>
    <t>Assessed Value</t>
  </si>
  <si>
    <t>Valuation method</t>
  </si>
  <si>
    <t>A1</t>
  </si>
  <si>
    <t>sf / acre</t>
  </si>
  <si>
    <t>Contribution / Acquisition</t>
  </si>
  <si>
    <t>Contribution</t>
  </si>
  <si>
    <t>Acquisition</t>
  </si>
  <si>
    <t>Phase %</t>
  </si>
  <si>
    <t xml:space="preserve">Phase allocation </t>
  </si>
  <si>
    <t>avg $ / sf</t>
  </si>
  <si>
    <t>avg $ / acre</t>
  </si>
  <si>
    <t xml:space="preserve">valuation premium </t>
  </si>
  <si>
    <t>AJ market value</t>
  </si>
  <si>
    <t>AJ / CAGIS</t>
  </si>
  <si>
    <t>Starting valuation</t>
  </si>
  <si>
    <t>CAGIS</t>
  </si>
  <si>
    <t>AJ</t>
  </si>
  <si>
    <t>A3</t>
  </si>
  <si>
    <t>A4</t>
  </si>
  <si>
    <t>A2</t>
  </si>
  <si>
    <t>Starting value</t>
  </si>
  <si>
    <t>Stablized year</t>
  </si>
  <si>
    <t>Stabilized value</t>
  </si>
  <si>
    <t>Year open</t>
  </si>
  <si>
    <t>Completed cost</t>
  </si>
  <si>
    <t>Assessed value</t>
  </si>
  <si>
    <t>Millage rate</t>
  </si>
  <si>
    <t>Existing taxes</t>
  </si>
  <si>
    <t>Value</t>
  </si>
  <si>
    <t>Starting</t>
  </si>
  <si>
    <t>New</t>
  </si>
  <si>
    <t>Incremental</t>
  </si>
  <si>
    <t>CPS retention</t>
  </si>
  <si>
    <t>Min DSC</t>
  </si>
  <si>
    <t>Available for debt service</t>
  </si>
  <si>
    <t>Debt service eligibility</t>
  </si>
  <si>
    <t>Minimum debt service</t>
  </si>
  <si>
    <t>Rate</t>
  </si>
  <si>
    <t>Amortization</t>
  </si>
  <si>
    <t>TIF debt size</t>
  </si>
  <si>
    <t>Construction loan servicing costs</t>
  </si>
  <si>
    <t>Origination fee</t>
  </si>
  <si>
    <t>TIF capitalizatin costs</t>
  </si>
  <si>
    <t>TIF origination fee</t>
  </si>
  <si>
    <t>TIF capitalization costs</t>
  </si>
  <si>
    <t>TIF proceeds</t>
  </si>
  <si>
    <t>TIF subsidy</t>
  </si>
  <si>
    <t>Lease-up, sf</t>
  </si>
  <si>
    <t>Lease-up, units / year</t>
  </si>
  <si>
    <t>Lease-up, units / month</t>
  </si>
  <si>
    <t>Condo units sold, year</t>
  </si>
  <si>
    <t>Condo units sold, month</t>
  </si>
  <si>
    <t>PRESENTATION</t>
  </si>
  <si>
    <t>-can we support this density? YES (at least on mf)</t>
  </si>
  <si>
    <t>=-occupancy of nearby buildings?</t>
  </si>
  <si>
    <t>Cincinnati public school retention</t>
  </si>
  <si>
    <t>TIF sizing and adjustments</t>
  </si>
  <si>
    <t>Rooms available</t>
  </si>
  <si>
    <t>Rooms, rented</t>
  </si>
  <si>
    <t>-reduce number of hotel units</t>
  </si>
  <si>
    <t>Land contribution</t>
  </si>
  <si>
    <t>Tenant improvements</t>
  </si>
  <si>
    <t>cincinnatii bell connector extension</t>
  </si>
  <si>
    <t>Equity outlay</t>
  </si>
  <si>
    <t>Cash on cash return</t>
  </si>
  <si>
    <t>Equity multiple</t>
  </si>
  <si>
    <t>Positive cash flow</t>
  </si>
  <si>
    <t>Cash on cash return, average</t>
  </si>
  <si>
    <t>County / city land contribution</t>
  </si>
  <si>
    <t>TIF costs</t>
  </si>
  <si>
    <t>TIF administrative costs</t>
  </si>
  <si>
    <t>County / city land requirement</t>
  </si>
  <si>
    <t>City / county land</t>
  </si>
  <si>
    <t>City / county land contibution</t>
  </si>
  <si>
    <t>Construction Loan</t>
  </si>
  <si>
    <t>Public sources</t>
  </si>
  <si>
    <t>Endowments / Foundations</t>
  </si>
  <si>
    <t>Endowment / Foundation grants</t>
  </si>
  <si>
    <t>Endowments / foundation grants</t>
  </si>
  <si>
    <t>TOTAL SOURCES</t>
  </si>
  <si>
    <t xml:space="preserve">TIF </t>
  </si>
  <si>
    <t>Construction Costs</t>
  </si>
  <si>
    <t>Hard costs</t>
  </si>
  <si>
    <t>Soft costs</t>
  </si>
  <si>
    <t>Fees / interest</t>
  </si>
  <si>
    <t>Interest carrying costs</t>
  </si>
  <si>
    <t>Loan serving costs</t>
  </si>
  <si>
    <t>Cincinnati United Development Fund</t>
  </si>
  <si>
    <t>*proximity to streetcare allows for a 50% reduction in parking; 600 feet from station</t>
  </si>
  <si>
    <t>Lodging</t>
  </si>
  <si>
    <t>Public spaces</t>
  </si>
  <si>
    <t>Cultural institution</t>
  </si>
  <si>
    <t>1 per 500 sf</t>
  </si>
  <si>
    <t>1 per 500</t>
  </si>
  <si>
    <t xml:space="preserve">Residential </t>
  </si>
  <si>
    <t>1 per unit</t>
  </si>
  <si>
    <t>Lot A</t>
  </si>
  <si>
    <t>Lot B</t>
  </si>
  <si>
    <t>Lot E</t>
  </si>
  <si>
    <t>Lot D</t>
  </si>
  <si>
    <t>PBS East</t>
  </si>
  <si>
    <t>Central Riverfront Garage</t>
  </si>
  <si>
    <t>East Garage</t>
  </si>
  <si>
    <t>Tailgate plan?</t>
  </si>
  <si>
    <t>how big are existing buildings and how much parking are they taking up? Maybe ask Robin</t>
  </si>
  <si>
    <r>
      <t xml:space="preserve">Affordable apartments </t>
    </r>
    <r>
      <rPr>
        <b/>
        <sz val="8"/>
        <color rgb="FFFF0000"/>
        <rFont val="Calibri"/>
        <family val="2"/>
        <scheme val="minor"/>
      </rPr>
      <t>[Note A]</t>
    </r>
  </si>
  <si>
    <t>Note A</t>
  </si>
  <si>
    <t>source</t>
  </si>
  <si>
    <t>http://ohiohome.org/compliance/documents/incomelimits_LIHTC18.pdf</t>
  </si>
  <si>
    <t>2 bedroom</t>
  </si>
  <si>
    <t>3 bedroom</t>
  </si>
  <si>
    <t>consider increasing affordable units?</t>
  </si>
  <si>
    <t>Multifamily</t>
  </si>
  <si>
    <t>Population Growth</t>
  </si>
  <si>
    <t>Job Growth</t>
  </si>
  <si>
    <t>Unemployment</t>
  </si>
  <si>
    <t>uber station</t>
  </si>
  <si>
    <t>park improvemnets</t>
  </si>
  <si>
    <t>-building heights</t>
  </si>
  <si>
    <t>City / county land / acquisitions</t>
  </si>
  <si>
    <t>-what makes us bullish on this site</t>
  </si>
  <si>
    <t>-affordable housing is workforce housing (teachers, service employment)</t>
  </si>
  <si>
    <t>-bar graph phase built out</t>
  </si>
  <si>
    <t>-step down design / unobstructed views / value preservation</t>
  </si>
  <si>
    <t>-endowment naming /signage rights on public spaces</t>
  </si>
  <si>
    <t>-consider increasing grant funds</t>
  </si>
  <si>
    <t>-building 21 layout</t>
  </si>
  <si>
    <t>island</t>
  </si>
  <si>
    <t>Futhermore, approximately 50% of the households within the CBD do not own or lease a vehicle</t>
  </si>
  <si>
    <t>SOURCES AND USES</t>
  </si>
  <si>
    <t>-look at sample REIF slides (start with job growth, population, % of inventory) -&gt; classic overbulit story was in the 80s we added 8% of inventory -&gt; not even close today</t>
  </si>
  <si>
    <t>-check out GreenStreet sector reports from Hallman's canvas class</t>
  </si>
  <si>
    <t>Available, units / year</t>
  </si>
  <si>
    <t>-candidates for office pre-leaeses, HQ relocations</t>
  </si>
  <si>
    <t>$46m original estimate + 19 years of inflation @ 3%</t>
  </si>
  <si>
    <t>Remaining required funding</t>
  </si>
  <si>
    <t>Available TIF balance</t>
  </si>
  <si>
    <t>Residential (SF)</t>
  </si>
  <si>
    <t>Office (SF)</t>
  </si>
  <si>
    <t>Retail (SF)</t>
  </si>
  <si>
    <t>Hotel (SF)</t>
  </si>
  <si>
    <t>Parking (SF)</t>
  </si>
  <si>
    <t>Public Buildings (SF)</t>
  </si>
  <si>
    <t>Residential: Market-rate</t>
  </si>
  <si>
    <t>Residential: Condominiums</t>
  </si>
  <si>
    <t>Residential: Affordable</t>
  </si>
  <si>
    <t xml:space="preserve">Hotel </t>
  </si>
  <si>
    <t>Available units, year</t>
  </si>
  <si>
    <t>Unlevered IRR</t>
  </si>
  <si>
    <t>Levered IRR</t>
  </si>
  <si>
    <t>Equity Multiple</t>
  </si>
  <si>
    <t>Average construction costs (SF)</t>
  </si>
  <si>
    <t>Number of buildings</t>
  </si>
  <si>
    <t>Highlights</t>
  </si>
  <si>
    <t>$128M in infastructure improvements</t>
  </si>
  <si>
    <t>Freedom Hall</t>
  </si>
  <si>
    <t xml:space="preserve">500+ room hotel </t>
  </si>
  <si>
    <t>Luxury waterfront condominiums</t>
  </si>
  <si>
    <t>116 affordable housing units</t>
  </si>
  <si>
    <t>Tophy office tower</t>
  </si>
  <si>
    <t>Completion of dense, dynamic live-work-play environment</t>
  </si>
  <si>
    <t>Opening year</t>
  </si>
  <si>
    <t>Construction time frame</t>
  </si>
  <si>
    <t>3</t>
  </si>
  <si>
    <t>Bigger chart</t>
  </si>
  <si>
    <t>Sources and uses</t>
  </si>
  <si>
    <t>Total IRR</t>
  </si>
  <si>
    <t>levered</t>
  </si>
  <si>
    <t>unlevered</t>
  </si>
  <si>
    <t>Blended exit cap rate</t>
  </si>
  <si>
    <t>Construction debt</t>
  </si>
  <si>
    <t>Construction costs (hard + soft)</t>
  </si>
  <si>
    <t>Fees / interest carry</t>
  </si>
  <si>
    <t xml:space="preserve">Equity (inc. land contribution) </t>
  </si>
  <si>
    <t>Major assumptions</t>
  </si>
  <si>
    <t>Parking spaces</t>
  </si>
  <si>
    <t>LTV</t>
  </si>
  <si>
    <t>Cincinnatii Bell connector extension</t>
  </si>
  <si>
    <t>Transit</t>
  </si>
  <si>
    <t>Per foot</t>
  </si>
  <si>
    <t>Fixed interest rate</t>
  </si>
  <si>
    <t>Stabilized Value</t>
  </si>
  <si>
    <t>Value-add</t>
  </si>
  <si>
    <t>costs</t>
  </si>
  <si>
    <t>*not including infastrucutre, condominiums, or public buildings</t>
  </si>
  <si>
    <t>value-add</t>
  </si>
  <si>
    <t>Completed Costs*</t>
  </si>
  <si>
    <t>Unit deliveries</t>
  </si>
  <si>
    <t>Timing (years)</t>
  </si>
  <si>
    <t>Phase Details</t>
  </si>
  <si>
    <t>Total costs (millions)</t>
  </si>
  <si>
    <t>*not including infastructure, condominiums, or public buildings</t>
  </si>
  <si>
    <t>Stabilized Value*</t>
  </si>
  <si>
    <t>Tenant improvements, office</t>
  </si>
  <si>
    <t>Tenant improvements, retail</t>
  </si>
  <si>
    <t>Permanent</t>
  </si>
  <si>
    <t>Millions ($)</t>
  </si>
  <si>
    <t>Share (%)</t>
  </si>
  <si>
    <t>CONSTRUCTION COSTS</t>
  </si>
  <si>
    <t>COMMON AREA FACTOR</t>
  </si>
  <si>
    <t>Category</t>
  </si>
  <si>
    <t>Assumption</t>
  </si>
  <si>
    <r>
      <t xml:space="preserve">Affordable apartments </t>
    </r>
    <r>
      <rPr>
        <b/>
        <sz val="8"/>
        <color rgb="FFFF0000"/>
        <rFont val="Century Gothic"/>
        <family val="2"/>
      </rPr>
      <t>[Note A]</t>
    </r>
  </si>
  <si>
    <t>years</t>
  </si>
  <si>
    <t>per year</t>
  </si>
  <si>
    <t>vacancy at stabilization</t>
  </si>
  <si>
    <t>PSF per year</t>
  </si>
  <si>
    <t>PSF per year per gross area</t>
  </si>
  <si>
    <t>PSF during construction per leasable area</t>
  </si>
  <si>
    <t>PSF per year per rentale area</t>
  </si>
  <si>
    <t>of gross are</t>
  </si>
  <si>
    <t>Does not include developer fee or premium boosts</t>
  </si>
  <si>
    <t>)</t>
  </si>
  <si>
    <t>Adjacent to Bengals stadium</t>
  </si>
  <si>
    <t>Comparable buildings</t>
  </si>
  <si>
    <t>Average market rate</t>
  </si>
  <si>
    <t>=average absorption / year / years 4-9</t>
  </si>
  <si>
    <t>Cincinnati United Annual Absorption</t>
  </si>
  <si>
    <t>Cincinnati Market: 12 month absorption</t>
  </si>
  <si>
    <t>Cincinnati Market: Total Inventory</t>
  </si>
  <si>
    <t>Cincinnati United  average annual absorption</t>
  </si>
  <si>
    <t>Cincinnati market 12 month absorption</t>
  </si>
  <si>
    <t>Cincinnati market total inventory</t>
  </si>
  <si>
    <t>Units</t>
  </si>
  <si>
    <t>Average units sold per month</t>
  </si>
  <si>
    <t>Units completed</t>
  </si>
  <si>
    <t>SF</t>
  </si>
  <si>
    <t>North of existing museum, flexible tent / event space</t>
  </si>
  <si>
    <t>+$50MM for reinforcements to support building heights</t>
  </si>
  <si>
    <t>Concert area, park improvements</t>
  </si>
  <si>
    <t>TOTAL COST</t>
  </si>
  <si>
    <t>Construction time</t>
  </si>
  <si>
    <t>Begin</t>
  </si>
  <si>
    <t>End</t>
  </si>
  <si>
    <t>Stabiliztion</t>
  </si>
  <si>
    <r>
      <t xml:space="preserve">Affordable apartments </t>
    </r>
    <r>
      <rPr>
        <b/>
        <sz val="8"/>
        <color theme="0"/>
        <rFont val="Century Gothic"/>
        <family val="2"/>
      </rPr>
      <t>[1]</t>
    </r>
  </si>
  <si>
    <t>monthly gross</t>
  </si>
  <si>
    <t>PSF per month</t>
  </si>
  <si>
    <t>Residential: Market rate</t>
  </si>
  <si>
    <t>Residential: Market-Rate</t>
  </si>
  <si>
    <t>Per unit</t>
  </si>
  <si>
    <t>Gross rate</t>
  </si>
  <si>
    <t>Average rent</t>
  </si>
  <si>
    <t>Monthly PSF</t>
  </si>
  <si>
    <t>Average size</t>
  </si>
  <si>
    <t>Average sale price</t>
  </si>
  <si>
    <t>Building Name</t>
  </si>
  <si>
    <t>Address</t>
  </si>
  <si>
    <t>Current At The Banks</t>
  </si>
  <si>
    <t>121 E Freedom Way</t>
  </si>
  <si>
    <t>Monthly Gross</t>
  </si>
  <si>
    <t>Hotel name</t>
  </si>
  <si>
    <t>AC Hotel Cincinnati</t>
  </si>
  <si>
    <t>Radius At The Banks</t>
  </si>
  <si>
    <t>City Club Apartments</t>
  </si>
  <si>
    <t>309 Vine St</t>
  </si>
  <si>
    <t>44 West Freedom Way</t>
  </si>
  <si>
    <t>Average</t>
  </si>
  <si>
    <t>Submarket</t>
  </si>
  <si>
    <t>301 E. Fourth Street</t>
  </si>
  <si>
    <t>The Meiners Building</t>
  </si>
  <si>
    <t>1500 Vine St.</t>
  </si>
  <si>
    <t>Roomt Type</t>
  </si>
  <si>
    <t>Dates</t>
  </si>
  <si>
    <t>Price</t>
  </si>
  <si>
    <t>King</t>
  </si>
  <si>
    <t>2 Queen</t>
  </si>
  <si>
    <t>4/5 - 4/7, weekend</t>
  </si>
  <si>
    <t>6/10 - 6/12, weekday</t>
  </si>
  <si>
    <t>The Cincinnati Hotel, Curio Collection</t>
  </si>
  <si>
    <t>Renaissance Cincinnati Downtown Hotel</t>
  </si>
  <si>
    <t>King Room</t>
  </si>
  <si>
    <t>601 Vine St</t>
  </si>
  <si>
    <t>Renaissance Inn, The Phelps</t>
  </si>
  <si>
    <t>Double</t>
  </si>
  <si>
    <t>5/22 - 5.24, weekday</t>
  </si>
  <si>
    <t>36 E 4th St</t>
  </si>
  <si>
    <t>506 E 4th St</t>
  </si>
  <si>
    <t>135 Joe Nuxhall way</t>
  </si>
  <si>
    <t>condos</t>
  </si>
  <si>
    <t>Asking Price</t>
  </si>
  <si>
    <t>Asking Price PSF</t>
  </si>
  <si>
    <t>817 Broadway St</t>
  </si>
  <si>
    <t>1508 Elm St</t>
  </si>
  <si>
    <t>15 W 4th St</t>
  </si>
  <si>
    <t>903 Adams Xing</t>
  </si>
  <si>
    <t>1307 Republic St</t>
  </si>
  <si>
    <t>1408 Elm St</t>
  </si>
  <si>
    <t>Residential: condominiums</t>
  </si>
  <si>
    <t>[a]</t>
  </si>
  <si>
    <t>[b]</t>
  </si>
  <si>
    <t>[c]</t>
  </si>
  <si>
    <t>[d]</t>
  </si>
  <si>
    <t>[e]</t>
  </si>
  <si>
    <t>[f]</t>
  </si>
  <si>
    <t>[g]</t>
  </si>
  <si>
    <t>[h]</t>
  </si>
  <si>
    <t>[i]</t>
  </si>
  <si>
    <t>[j]</t>
  </si>
  <si>
    <t>[k]</t>
  </si>
  <si>
    <t>[l]</t>
  </si>
  <si>
    <t>[m]</t>
  </si>
  <si>
    <r>
      <t>Tenant improvements,</t>
    </r>
    <r>
      <rPr>
        <i/>
        <sz val="8"/>
        <rFont val="Century Gothic"/>
        <family val="2"/>
      </rPr>
      <t xml:space="preserve"> PSF / construction</t>
    </r>
  </si>
  <si>
    <r>
      <t xml:space="preserve">CapEx, </t>
    </r>
    <r>
      <rPr>
        <i/>
        <sz val="8"/>
        <rFont val="Century Gothic"/>
        <family val="2"/>
      </rPr>
      <t>PSF / year</t>
    </r>
  </si>
  <si>
    <r>
      <t xml:space="preserve">OpEx, </t>
    </r>
    <r>
      <rPr>
        <i/>
        <sz val="8"/>
        <rFont val="Century Gothic"/>
        <family val="2"/>
      </rPr>
      <t>PSF / year</t>
    </r>
  </si>
  <si>
    <r>
      <t xml:space="preserve">Stabilization period, </t>
    </r>
    <r>
      <rPr>
        <i/>
        <sz val="8"/>
        <rFont val="Century Gothic"/>
        <family val="2"/>
      </rPr>
      <t>years</t>
    </r>
  </si>
  <si>
    <r>
      <t xml:space="preserve">Leasing Commissions, </t>
    </r>
    <r>
      <rPr>
        <i/>
        <sz val="8"/>
        <rFont val="Century Gothic"/>
        <family val="2"/>
      </rPr>
      <t>PSF / years</t>
    </r>
  </si>
  <si>
    <r>
      <t xml:space="preserve">Common Area Factor, </t>
    </r>
    <r>
      <rPr>
        <i/>
        <sz val="8"/>
        <rFont val="Century Gothic"/>
        <family val="2"/>
      </rPr>
      <t>% of gross</t>
    </r>
  </si>
  <si>
    <t>Construction costs [a]</t>
  </si>
  <si>
    <t>Units Completed</t>
  </si>
  <si>
    <t>Units leased</t>
  </si>
  <si>
    <t>retail;</t>
  </si>
  <si>
    <t>50 E Freedom Way</t>
  </si>
  <si>
    <t>Modified Gross</t>
  </si>
  <si>
    <t>299 E 6th St</t>
  </si>
  <si>
    <t>Askng Rate, PSF</t>
  </si>
  <si>
    <t>220 E 4th St</t>
  </si>
  <si>
    <t>1500 Vine St</t>
  </si>
  <si>
    <t>231 W 12th St</t>
  </si>
  <si>
    <t>Rooms delivered</t>
  </si>
  <si>
    <t>SOURCES</t>
  </si>
  <si>
    <t>USES</t>
  </si>
  <si>
    <t>TOTAL USES</t>
  </si>
  <si>
    <t>Total, $</t>
  </si>
  <si>
    <t>Total, %</t>
  </si>
  <si>
    <t>Existing</t>
  </si>
  <si>
    <t>Parking spaces delivered</t>
  </si>
  <si>
    <t>Construction time, year</t>
  </si>
  <si>
    <t>Begin year</t>
  </si>
  <si>
    <t>End year</t>
  </si>
  <si>
    <t>Open year</t>
  </si>
  <si>
    <t>Stabilizatio nyear</t>
  </si>
  <si>
    <t>Sign date</t>
  </si>
  <si>
    <t>year built</t>
  </si>
  <si>
    <t>total size</t>
  </si>
  <si>
    <t>notes</t>
  </si>
  <si>
    <t>half the building is occupied by GAIC, check out wiki site</t>
  </si>
  <si>
    <t>The Streitmann</t>
  </si>
  <si>
    <t>Clifton / Midtown</t>
  </si>
  <si>
    <t>size</t>
  </si>
  <si>
    <t>1910 ,reno 2017</t>
  </si>
  <si>
    <t>ECC</t>
  </si>
  <si>
    <t>1308 Rade St</t>
  </si>
  <si>
    <t>2015 renovated</t>
  </si>
  <si>
    <t>15th &amp; Vine</t>
  </si>
  <si>
    <t>number of buildings</t>
  </si>
  <si>
    <t>after 2000</t>
  </si>
  <si>
    <t>after 1990</t>
  </si>
  <si>
    <t>=more than 80% of the market (buildings) were built before 1990 (30 years ago) / are from the 80s or older</t>
  </si>
  <si>
    <t>multi family</t>
  </si>
  <si>
    <t>number of buildings_metro</t>
  </si>
  <si>
    <t>built before 1990</t>
  </si>
  <si>
    <t>built before 2000</t>
  </si>
  <si>
    <t>over 60% of the buildings were built in the 80s or before</t>
  </si>
  <si>
    <t>METRO</t>
  </si>
  <si>
    <t>SUBMARKET CBD</t>
  </si>
  <si>
    <t>before 1990</t>
  </si>
  <si>
    <t>Asking</t>
  </si>
  <si>
    <t>Building name</t>
  </si>
  <si>
    <t>Recently executed</t>
  </si>
  <si>
    <t>NNN Rate</t>
  </si>
  <si>
    <t>Great American Tower</t>
  </si>
  <si>
    <t>Multi</t>
  </si>
  <si>
    <t>Condo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</si>
</sst>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_(&quot;$&quot;* #,##0_);_(&quot;$&quot;* \(#,##0\);_(&quot;$&quot;* &quot;-&quot;??_);_(@_)"/>
    <numFmt numFmtId="168" formatCode="_(* #,##0.000_);_(* \(#,##0.000\);_(* &quot;-&quot;??_);_(@_)"/>
    <numFmt numFmtId="169" formatCode="0.000%"/>
    <numFmt numFmtId="170" formatCode="_(&quot;$&quot;* #,##0.0_);_(&quot;$&quot;* \(#,##0.0\);_(&quot;$&quot;* &quot;-&quot;??_);_(@_)"/>
  </numFmts>
  <fonts count="9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00FF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7"/>
      <color rgb="FFFF0000"/>
      <name val="Calibri"/>
      <family val="2"/>
      <scheme val="minor"/>
    </font>
    <font>
      <b/>
      <sz val="7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charset val="134"/>
      <scheme val="minor"/>
    </font>
    <font>
      <i/>
      <sz val="6"/>
      <color theme="1"/>
      <name val="Calibri"/>
      <family val="2"/>
      <scheme val="minor"/>
    </font>
    <font>
      <sz val="11"/>
      <color theme="0"/>
      <name val="Calibri"/>
      <family val="2"/>
      <charset val="134"/>
      <scheme val="minor"/>
    </font>
    <font>
      <sz val="7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0"/>
      <name val="Calibri"/>
      <family val="2"/>
      <charset val="134"/>
      <scheme val="minor"/>
    </font>
    <font>
      <i/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11"/>
      <name val="Calibri"/>
      <family val="2"/>
      <scheme val="minor"/>
    </font>
    <font>
      <sz val="16"/>
      <name val="Calibri Light"/>
      <family val="2"/>
      <scheme val="major"/>
    </font>
    <font>
      <sz val="11"/>
      <color rgb="FF0000FF"/>
      <name val="Calibri"/>
      <family val="2"/>
      <charset val="134"/>
      <scheme val="minor"/>
    </font>
    <font>
      <sz val="11"/>
      <color rgb="FF0000FF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</font>
    <font>
      <sz val="8"/>
      <color rgb="FFFF000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sz val="8"/>
      <color theme="0"/>
      <name val="Calibri"/>
      <family val="2"/>
    </font>
    <font>
      <sz val="8"/>
      <color rgb="FF444444"/>
      <name val="Calibri"/>
      <family val="2"/>
      <scheme val="minor"/>
    </font>
    <font>
      <sz val="8"/>
      <color rgb="FF0000FF"/>
      <name val="Calibri"/>
      <family val="2"/>
    </font>
    <font>
      <i/>
      <sz val="5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charset val="134"/>
      <scheme val="minor"/>
    </font>
    <font>
      <sz val="8"/>
      <name val="Century Gothic"/>
      <family val="2"/>
    </font>
    <font>
      <b/>
      <sz val="8"/>
      <name val="Century Gothic"/>
      <family val="2"/>
    </font>
    <font>
      <u/>
      <sz val="8"/>
      <name val="Century Gothic"/>
      <family val="2"/>
    </font>
    <font>
      <b/>
      <u/>
      <sz val="8"/>
      <name val="Century Gothic"/>
      <family val="2"/>
    </font>
    <font>
      <sz val="11"/>
      <color theme="0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color theme="0"/>
      <name val="Century Gothic"/>
      <family val="2"/>
    </font>
    <font>
      <b/>
      <sz val="8"/>
      <color theme="0"/>
      <name val="Century Gothic"/>
      <family val="2"/>
    </font>
    <font>
      <sz val="8"/>
      <color rgb="FFFF0000"/>
      <name val="Century Gothic"/>
      <family val="2"/>
    </font>
    <font>
      <b/>
      <sz val="8"/>
      <color rgb="FFFF0000"/>
      <name val="Century Gothic"/>
      <family val="2"/>
    </font>
    <font>
      <sz val="8"/>
      <color rgb="FF0000FF"/>
      <name val="Century Gothic"/>
      <family val="2"/>
    </font>
    <font>
      <i/>
      <sz val="8"/>
      <color theme="1"/>
      <name val="Century Gothic"/>
      <family val="2"/>
    </font>
    <font>
      <sz val="7"/>
      <color rgb="FFFF0000"/>
      <name val="Century Gothic"/>
      <family val="2"/>
    </font>
    <font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u/>
      <sz val="11"/>
      <color theme="10"/>
      <name val="Century Gothic"/>
      <family val="2"/>
    </font>
    <font>
      <i/>
      <sz val="8"/>
      <color theme="0"/>
      <name val="Century Gothic"/>
      <family val="2"/>
    </font>
    <font>
      <sz val="10"/>
      <color theme="1"/>
      <name val="Century Gothic"/>
      <family val="2"/>
    </font>
    <font>
      <u/>
      <sz val="8"/>
      <color theme="10"/>
      <name val="Century Gothic"/>
      <family val="2"/>
    </font>
    <font>
      <i/>
      <sz val="8"/>
      <name val="Century Gothic"/>
      <family val="2"/>
    </font>
    <font>
      <b/>
      <sz val="7"/>
      <color theme="1"/>
      <name val="Century Gothic"/>
      <family val="2"/>
    </font>
    <font>
      <b/>
      <sz val="7"/>
      <color theme="0"/>
      <name val="Century Gothic"/>
      <family val="2"/>
    </font>
    <font>
      <sz val="7"/>
      <color theme="1"/>
      <name val="Century Gothic"/>
      <family val="2"/>
    </font>
    <font>
      <b/>
      <sz val="7"/>
      <color rgb="FF0000FF"/>
      <name val="Century Gothic"/>
      <family val="2"/>
    </font>
    <font>
      <b/>
      <sz val="7"/>
      <color rgb="FFFF0000"/>
      <name val="Century Gothic"/>
      <family val="2"/>
    </font>
    <font>
      <sz val="7"/>
      <color rgb="FF0000FF"/>
      <name val="Century Gothic"/>
      <family val="2"/>
    </font>
    <font>
      <i/>
      <sz val="6"/>
      <color theme="1"/>
      <name val="Century Gothic"/>
      <family val="2"/>
    </font>
    <font>
      <b/>
      <sz val="8"/>
      <color indexed="9"/>
      <name val="Century Gothic"/>
      <family val="2"/>
    </font>
    <font>
      <sz val="8"/>
      <color indexed="9"/>
      <name val="Century Gothic"/>
      <family val="2"/>
    </font>
    <font>
      <i/>
      <sz val="5"/>
      <color theme="1"/>
      <name val="Century Gothic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8BE8"/>
        <bgColor indexed="64"/>
      </patternFill>
    </fill>
    <fill>
      <patternFill patternType="solid">
        <fgColor rgb="FFE46923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/>
      <right style="hair">
        <color rgb="FF7F7F7F"/>
      </right>
      <top/>
      <bottom/>
      <diagonal/>
    </border>
    <border>
      <left/>
      <right/>
      <top style="hair">
        <color theme="1" tint="0.499984740745262"/>
      </top>
      <bottom/>
      <diagonal/>
    </border>
    <border>
      <left/>
      <right/>
      <top/>
      <bottom style="hair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6" fillId="0" borderId="0">
      <alignment horizontal="right"/>
    </xf>
    <xf numFmtId="44" fontId="46" fillId="0" borderId="0" applyFont="0" applyFill="0" applyBorder="0" applyAlignment="0" applyProtection="0"/>
    <xf numFmtId="14" fontId="46" fillId="0" borderId="0" applyFont="0" applyFill="0" applyBorder="0">
      <alignment horizontal="right"/>
    </xf>
    <xf numFmtId="1" fontId="46" fillId="0" borderId="0" applyFont="0" applyFill="0" applyBorder="0" applyProtection="0">
      <alignment horizontal="right"/>
    </xf>
    <xf numFmtId="0" fontId="46" fillId="0" borderId="0" applyNumberFormat="0" applyFont="0" applyFill="0" applyBorder="0" applyProtection="0">
      <alignment horizontal="center" wrapText="1"/>
    </xf>
    <xf numFmtId="0" fontId="46" fillId="0" borderId="0" applyNumberFormat="0" applyFont="0" applyFill="0" applyBorder="0" applyProtection="0">
      <alignment horizontal="left" indent="5"/>
    </xf>
    <xf numFmtId="10" fontId="46" fillId="0" borderId="0" applyFont="0" applyFill="0" applyBorder="0" applyAlignment="0" applyProtection="0"/>
    <xf numFmtId="0" fontId="46" fillId="0" borderId="0" applyNumberFormat="0" applyFill="0" applyProtection="0">
      <alignment horizontal="right" indent="1"/>
    </xf>
    <xf numFmtId="0" fontId="47" fillId="0" borderId="30" applyNumberFormat="0" applyFill="0" applyProtection="0">
      <alignment horizontal="left"/>
    </xf>
    <xf numFmtId="0" fontId="50" fillId="0" borderId="0"/>
    <xf numFmtId="0" fontId="60" fillId="0" borderId="0" applyNumberFormat="0" applyFill="0" applyBorder="0" applyAlignment="0" applyProtection="0">
      <alignment vertical="center"/>
    </xf>
  </cellStyleXfs>
  <cellXfs count="94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9" fillId="5" borderId="0" xfId="0" applyFont="1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9" fillId="0" borderId="0" xfId="0" applyFont="1">
      <alignment vertical="center"/>
    </xf>
    <xf numFmtId="164" fontId="14" fillId="0" borderId="0" xfId="1" applyNumberFormat="1" applyFont="1">
      <alignment vertical="center"/>
    </xf>
    <xf numFmtId="164" fontId="0" fillId="0" borderId="0" xfId="1" applyNumberFormat="1" applyFont="1">
      <alignment vertical="center"/>
    </xf>
    <xf numFmtId="164" fontId="12" fillId="3" borderId="0" xfId="1" applyNumberFormat="1" applyFont="1" applyFill="1">
      <alignment vertical="center"/>
    </xf>
    <xf numFmtId="164" fontId="0" fillId="3" borderId="0" xfId="0" applyNumberFormat="1" applyFill="1">
      <alignment vertical="center"/>
    </xf>
    <xf numFmtId="164" fontId="15" fillId="10" borderId="0" xfId="1" applyNumberFormat="1" applyFont="1" applyFill="1">
      <alignment vertical="center"/>
    </xf>
    <xf numFmtId="164" fontId="15" fillId="11" borderId="0" xfId="1" applyNumberFormat="1" applyFont="1" applyFill="1">
      <alignment vertical="center"/>
    </xf>
    <xf numFmtId="164" fontId="15" fillId="12" borderId="0" xfId="1" applyNumberFormat="1" applyFont="1" applyFill="1">
      <alignment vertical="center"/>
    </xf>
    <xf numFmtId="164" fontId="15" fillId="13" borderId="0" xfId="1" applyNumberFormat="1" applyFont="1" applyFill="1">
      <alignment vertical="center"/>
    </xf>
    <xf numFmtId="164" fontId="0" fillId="13" borderId="0" xfId="1" applyNumberFormat="1" applyFont="1" applyFill="1">
      <alignment vertical="center"/>
    </xf>
    <xf numFmtId="164" fontId="0" fillId="11" borderId="0" xfId="1" applyNumberFormat="1" applyFont="1" applyFill="1">
      <alignment vertical="center"/>
    </xf>
    <xf numFmtId="164" fontId="0" fillId="10" borderId="0" xfId="1" applyNumberFormat="1" applyFont="1" applyFill="1">
      <alignment vertical="center"/>
    </xf>
    <xf numFmtId="164" fontId="0" fillId="12" borderId="0" xfId="1" applyNumberFormat="1" applyFont="1" applyFill="1">
      <alignment vertical="center"/>
    </xf>
    <xf numFmtId="164" fontId="0" fillId="14" borderId="0" xfId="1" applyNumberFormat="1" applyFont="1" applyFill="1">
      <alignment vertical="center"/>
    </xf>
    <xf numFmtId="164" fontId="15" fillId="14" borderId="0" xfId="1" applyNumberFormat="1" applyFont="1" applyFill="1">
      <alignment vertical="center"/>
    </xf>
    <xf numFmtId="164" fontId="0" fillId="14" borderId="0" xfId="0" applyNumberFormat="1" applyFill="1">
      <alignment vertical="center"/>
    </xf>
    <xf numFmtId="164" fontId="0" fillId="10" borderId="0" xfId="0" applyNumberFormat="1" applyFill="1">
      <alignment vertical="center"/>
    </xf>
    <xf numFmtId="164" fontId="0" fillId="11" borderId="0" xfId="0" applyNumberFormat="1" applyFill="1">
      <alignment vertical="center"/>
    </xf>
    <xf numFmtId="164" fontId="0" fillId="12" borderId="0" xfId="0" applyNumberFormat="1" applyFill="1">
      <alignment vertical="center"/>
    </xf>
    <xf numFmtId="164" fontId="0" fillId="13" borderId="0" xfId="0" applyNumberFormat="1" applyFill="1">
      <alignment vertical="center"/>
    </xf>
    <xf numFmtId="9" fontId="0" fillId="0" borderId="0" xfId="0" applyNumberFormat="1">
      <alignment vertical="center"/>
    </xf>
    <xf numFmtId="164" fontId="12" fillId="3" borderId="0" xfId="0" applyNumberFormat="1" applyFont="1" applyFill="1">
      <alignment vertical="center"/>
    </xf>
    <xf numFmtId="164" fontId="0" fillId="0" borderId="0" xfId="0" applyNumberFormat="1">
      <alignment vertical="center"/>
    </xf>
    <xf numFmtId="0" fontId="16" fillId="0" borderId="0" xfId="0" applyFont="1">
      <alignment vertical="center"/>
    </xf>
    <xf numFmtId="0" fontId="0" fillId="15" borderId="0" xfId="0" applyFill="1">
      <alignment vertical="center"/>
    </xf>
    <xf numFmtId="164" fontId="15" fillId="16" borderId="0" xfId="1" applyNumberFormat="1" applyFont="1" applyFill="1">
      <alignment vertical="center"/>
    </xf>
    <xf numFmtId="0" fontId="0" fillId="12" borderId="0" xfId="0" applyFill="1">
      <alignment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9" fontId="21" fillId="0" borderId="0" xfId="0" applyNumberFormat="1" applyFont="1">
      <alignment vertical="center"/>
    </xf>
    <xf numFmtId="43" fontId="17" fillId="0" borderId="0" xfId="0" applyNumberFormat="1" applyFont="1">
      <alignment vertical="center"/>
    </xf>
    <xf numFmtId="0" fontId="18" fillId="0" borderId="0" xfId="0" applyFont="1">
      <alignment vertical="center"/>
    </xf>
    <xf numFmtId="9" fontId="22" fillId="0" borderId="0" xfId="3" applyFont="1" applyAlignment="1">
      <alignment vertical="center"/>
    </xf>
    <xf numFmtId="164" fontId="22" fillId="0" borderId="0" xfId="1" applyNumberFormat="1" applyFont="1">
      <alignment vertical="center"/>
    </xf>
    <xf numFmtId="43" fontId="17" fillId="0" borderId="0" xfId="1" applyFont="1">
      <alignment vertical="center"/>
    </xf>
    <xf numFmtId="44" fontId="17" fillId="0" borderId="0" xfId="2" applyFont="1" applyAlignment="1">
      <alignment vertical="center"/>
    </xf>
    <xf numFmtId="0" fontId="20" fillId="0" borderId="0" xfId="0" applyFont="1">
      <alignment vertical="center"/>
    </xf>
    <xf numFmtId="164" fontId="17" fillId="0" borderId="0" xfId="0" applyNumberFormat="1" applyFont="1">
      <alignment vertical="center"/>
    </xf>
    <xf numFmtId="167" fontId="17" fillId="0" borderId="0" xfId="2" applyNumberFormat="1" applyFont="1" applyAlignment="1">
      <alignment vertical="center"/>
    </xf>
    <xf numFmtId="0" fontId="19" fillId="19" borderId="0" xfId="0" applyFont="1" applyFill="1">
      <alignment vertical="center"/>
    </xf>
    <xf numFmtId="44" fontId="22" fillId="0" borderId="0" xfId="2" applyFont="1" applyAlignment="1">
      <alignment vertical="center"/>
    </xf>
    <xf numFmtId="0" fontId="22" fillId="0" borderId="0" xfId="0" applyFont="1">
      <alignment vertical="center"/>
    </xf>
    <xf numFmtId="167" fontId="22" fillId="0" borderId="0" xfId="2" applyNumberFormat="1" applyFont="1" applyAlignment="1">
      <alignment vertical="center"/>
    </xf>
    <xf numFmtId="165" fontId="22" fillId="0" borderId="0" xfId="1" applyNumberFormat="1" applyFont="1">
      <alignment vertical="center"/>
    </xf>
    <xf numFmtId="0" fontId="18" fillId="16" borderId="1" xfId="0" applyFont="1" applyFill="1" applyBorder="1">
      <alignment vertical="center"/>
    </xf>
    <xf numFmtId="0" fontId="17" fillId="16" borderId="1" xfId="0" applyFont="1" applyFill="1" applyBorder="1">
      <alignment vertical="center"/>
    </xf>
    <xf numFmtId="0" fontId="17" fillId="0" borderId="0" xfId="0" applyFont="1" applyAlignment="1">
      <alignment horizontal="left" vertical="center" wrapText="1"/>
    </xf>
    <xf numFmtId="0" fontId="19" fillId="17" borderId="0" xfId="0" applyFont="1" applyFill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19" borderId="0" xfId="0" applyFont="1" applyFill="1" applyAlignment="1">
      <alignment horizontal="center" vertical="center"/>
    </xf>
    <xf numFmtId="0" fontId="19" fillId="19" borderId="1" xfId="0" applyFont="1" applyFill="1" applyBorder="1">
      <alignment vertical="center"/>
    </xf>
    <xf numFmtId="0" fontId="18" fillId="15" borderId="1" xfId="0" applyFont="1" applyFill="1" applyBorder="1">
      <alignment vertical="center"/>
    </xf>
    <xf numFmtId="0" fontId="17" fillId="15" borderId="1" xfId="0" applyFont="1" applyFill="1" applyBorder="1">
      <alignment vertical="center"/>
    </xf>
    <xf numFmtId="0" fontId="24" fillId="0" borderId="0" xfId="0" applyFont="1">
      <alignment vertical="center"/>
    </xf>
    <xf numFmtId="164" fontId="24" fillId="0" borderId="0" xfId="1" applyNumberFormat="1" applyFont="1">
      <alignment vertical="center"/>
    </xf>
    <xf numFmtId="164" fontId="25" fillId="0" borderId="0" xfId="1" applyNumberFormat="1" applyFont="1">
      <alignment vertical="center"/>
    </xf>
    <xf numFmtId="0" fontId="25" fillId="0" borderId="0" xfId="0" applyFont="1">
      <alignment vertical="center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166" fontId="22" fillId="0" borderId="0" xfId="3" applyNumberFormat="1" applyFont="1" applyAlignment="1">
      <alignment vertical="center"/>
    </xf>
    <xf numFmtId="10" fontId="22" fillId="0" borderId="0" xfId="3" applyNumberFormat="1" applyFont="1" applyAlignment="1">
      <alignment vertical="center"/>
    </xf>
    <xf numFmtId="43" fontId="24" fillId="0" borderId="0" xfId="0" applyNumberFormat="1" applyFont="1">
      <alignment vertical="center"/>
    </xf>
    <xf numFmtId="0" fontId="17" fillId="0" borderId="0" xfId="0" applyFont="1" applyAlignment="1">
      <alignment horizontal="left" vertical="center"/>
    </xf>
    <xf numFmtId="0" fontId="18" fillId="15" borderId="2" xfId="0" applyFont="1" applyFill="1" applyBorder="1">
      <alignment vertical="center"/>
    </xf>
    <xf numFmtId="0" fontId="17" fillId="15" borderId="3" xfId="0" applyFont="1" applyFill="1" applyBorder="1">
      <alignment vertical="center"/>
    </xf>
    <xf numFmtId="0" fontId="17" fillId="15" borderId="4" xfId="0" applyFont="1" applyFill="1" applyBorder="1">
      <alignment vertical="center"/>
    </xf>
    <xf numFmtId="0" fontId="17" fillId="15" borderId="3" xfId="0" applyFont="1" applyFill="1" applyBorder="1" applyAlignment="1">
      <alignment horizontal="left" vertical="center"/>
    </xf>
    <xf numFmtId="0" fontId="22" fillId="0" borderId="5" xfId="0" applyFont="1" applyBorder="1">
      <alignment vertical="center"/>
    </xf>
    <xf numFmtId="10" fontId="23" fillId="0" borderId="0" xfId="3" applyNumberFormat="1" applyFont="1" applyAlignment="1">
      <alignment vertical="center"/>
    </xf>
    <xf numFmtId="9" fontId="22" fillId="0" borderId="6" xfId="3" applyFont="1" applyBorder="1" applyAlignment="1">
      <alignment vertical="center"/>
    </xf>
    <xf numFmtId="0" fontId="17" fillId="0" borderId="6" xfId="0" applyFont="1" applyBorder="1">
      <alignment vertical="center"/>
    </xf>
    <xf numFmtId="0" fontId="17" fillId="0" borderId="5" xfId="0" applyFont="1" applyBorder="1">
      <alignment vertical="center"/>
    </xf>
    <xf numFmtId="0" fontId="17" fillId="0" borderId="7" xfId="0" applyFont="1" applyBorder="1">
      <alignment vertical="center"/>
    </xf>
    <xf numFmtId="0" fontId="17" fillId="0" borderId="8" xfId="0" applyFont="1" applyBorder="1">
      <alignment vertical="center"/>
    </xf>
    <xf numFmtId="0" fontId="17" fillId="0" borderId="9" xfId="0" applyFont="1" applyBorder="1">
      <alignment vertical="center"/>
    </xf>
    <xf numFmtId="0" fontId="22" fillId="0" borderId="5" xfId="0" applyFont="1" applyBorder="1" applyAlignment="1">
      <alignment horizontal="center" vertical="center"/>
    </xf>
    <xf numFmtId="44" fontId="22" fillId="0" borderId="6" xfId="2" applyFont="1" applyBorder="1" applyAlignment="1">
      <alignment vertical="center"/>
    </xf>
    <xf numFmtId="9" fontId="23" fillId="0" borderId="6" xfId="0" applyNumberFormat="1" applyFont="1" applyBorder="1">
      <alignment vertical="center"/>
    </xf>
    <xf numFmtId="0" fontId="22" fillId="0" borderId="7" xfId="0" applyFont="1" applyBorder="1" applyAlignment="1">
      <alignment horizontal="center" vertical="center"/>
    </xf>
    <xf numFmtId="9" fontId="23" fillId="0" borderId="9" xfId="0" applyNumberFormat="1" applyFont="1" applyBorder="1">
      <alignment vertical="center"/>
    </xf>
    <xf numFmtId="43" fontId="22" fillId="0" borderId="6" xfId="1" applyFont="1" applyBorder="1" applyAlignment="1">
      <alignment horizontal="center" vertical="center"/>
    </xf>
    <xf numFmtId="43" fontId="22" fillId="0" borderId="9" xfId="1" applyFont="1" applyBorder="1" applyAlignment="1">
      <alignment horizontal="center" vertical="center"/>
    </xf>
    <xf numFmtId="166" fontId="22" fillId="0" borderId="5" xfId="3" applyNumberFormat="1" applyFont="1" applyBorder="1" applyAlignment="1">
      <alignment vertical="center"/>
    </xf>
    <xf numFmtId="166" fontId="22" fillId="0" borderId="7" xfId="3" applyNumberFormat="1" applyFont="1" applyBorder="1" applyAlignment="1">
      <alignment vertical="center"/>
    </xf>
    <xf numFmtId="167" fontId="22" fillId="0" borderId="6" xfId="2" applyNumberFormat="1" applyFont="1" applyBorder="1" applyAlignment="1">
      <alignment vertical="center"/>
    </xf>
    <xf numFmtId="167" fontId="22" fillId="0" borderId="8" xfId="2" applyNumberFormat="1" applyFont="1" applyBorder="1" applyAlignment="1">
      <alignment vertical="center"/>
    </xf>
    <xf numFmtId="0" fontId="19" fillId="19" borderId="5" xfId="0" applyFont="1" applyFill="1" applyBorder="1" applyAlignment="1">
      <alignment horizontal="left" vertical="center" wrapText="1"/>
    </xf>
    <xf numFmtId="0" fontId="19" fillId="19" borderId="0" xfId="0" applyFont="1" applyFill="1" applyAlignment="1">
      <alignment horizontal="left" vertical="center" wrapText="1"/>
    </xf>
    <xf numFmtId="0" fontId="19" fillId="19" borderId="6" xfId="0" applyFont="1" applyFill="1" applyBorder="1" applyAlignment="1">
      <alignment horizontal="left" vertical="center" wrapText="1"/>
    </xf>
    <xf numFmtId="0" fontId="19" fillId="19" borderId="10" xfId="0" applyFont="1" applyFill="1" applyBorder="1" applyAlignment="1">
      <alignment horizontal="left" vertical="center" wrapText="1"/>
    </xf>
    <xf numFmtId="0" fontId="19" fillId="19" borderId="11" xfId="0" applyFont="1" applyFill="1" applyBorder="1" applyAlignment="1">
      <alignment horizontal="left" vertical="center" wrapText="1"/>
    </xf>
    <xf numFmtId="0" fontId="19" fillId="19" borderId="12" xfId="0" applyFont="1" applyFill="1" applyBorder="1" applyAlignment="1">
      <alignment horizontal="left" vertical="center" wrapText="1"/>
    </xf>
    <xf numFmtId="10" fontId="22" fillId="0" borderId="6" xfId="3" applyNumberFormat="1" applyFont="1" applyBorder="1" applyAlignment="1">
      <alignment vertical="center"/>
    </xf>
    <xf numFmtId="10" fontId="22" fillId="0" borderId="9" xfId="3" applyNumberFormat="1" applyFont="1" applyBorder="1" applyAlignment="1">
      <alignment vertical="center"/>
    </xf>
    <xf numFmtId="0" fontId="29" fillId="0" borderId="0" xfId="0" applyFont="1">
      <alignment vertical="center"/>
    </xf>
    <xf numFmtId="0" fontId="28" fillId="0" borderId="0" xfId="0" applyFont="1">
      <alignment vertical="center"/>
    </xf>
    <xf numFmtId="0" fontId="29" fillId="0" borderId="0" xfId="0" applyFont="1" applyAlignment="1">
      <alignment horizontal="left" vertical="center" indent="1"/>
    </xf>
    <xf numFmtId="164" fontId="29" fillId="0" borderId="0" xfId="1" applyNumberFormat="1" applyFont="1">
      <alignment vertical="center"/>
    </xf>
    <xf numFmtId="9" fontId="30" fillId="0" borderId="0" xfId="3" applyFont="1" applyAlignment="1">
      <alignment vertical="center"/>
    </xf>
    <xf numFmtId="44" fontId="30" fillId="0" borderId="0" xfId="2" applyFont="1" applyAlignment="1">
      <alignment vertical="center"/>
    </xf>
    <xf numFmtId="167" fontId="29" fillId="0" borderId="0" xfId="2" applyNumberFormat="1" applyFont="1" applyAlignment="1">
      <alignment vertical="center"/>
    </xf>
    <xf numFmtId="167" fontId="29" fillId="0" borderId="1" xfId="2" applyNumberFormat="1" applyFont="1" applyBorder="1" applyAlignment="1">
      <alignment vertical="center"/>
    </xf>
    <xf numFmtId="0" fontId="29" fillId="0" borderId="0" xfId="0" applyFont="1" applyAlignment="1">
      <alignment horizontal="left" vertical="center" indent="2"/>
    </xf>
    <xf numFmtId="43" fontId="30" fillId="0" borderId="0" xfId="1" applyFont="1">
      <alignment vertical="center"/>
    </xf>
    <xf numFmtId="10" fontId="28" fillId="0" borderId="0" xfId="0" applyNumberFormat="1" applyFont="1">
      <alignment vertical="center"/>
    </xf>
    <xf numFmtId="167" fontId="29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44" fontId="29" fillId="0" borderId="0" xfId="0" applyNumberFormat="1" applyFo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fill" vertical="center"/>
    </xf>
    <xf numFmtId="10" fontId="30" fillId="0" borderId="0" xfId="3" applyNumberFormat="1" applyFont="1" applyAlignment="1">
      <alignment vertical="center"/>
    </xf>
    <xf numFmtId="0" fontId="31" fillId="19" borderId="10" xfId="0" applyFont="1" applyFill="1" applyBorder="1">
      <alignment vertical="center"/>
    </xf>
    <xf numFmtId="0" fontId="31" fillId="19" borderId="11" xfId="0" applyFont="1" applyFill="1" applyBorder="1">
      <alignment vertical="center"/>
    </xf>
    <xf numFmtId="0" fontId="28" fillId="0" borderId="12" xfId="0" applyFont="1" applyBorder="1">
      <alignment vertical="center"/>
    </xf>
    <xf numFmtId="0" fontId="28" fillId="0" borderId="5" xfId="0" applyFont="1" applyBorder="1">
      <alignment vertical="center"/>
    </xf>
    <xf numFmtId="0" fontId="29" fillId="0" borderId="6" xfId="0" applyFont="1" applyBorder="1">
      <alignment vertical="center"/>
    </xf>
    <xf numFmtId="0" fontId="29" fillId="0" borderId="9" xfId="0" applyFont="1" applyBorder="1">
      <alignment vertical="center"/>
    </xf>
    <xf numFmtId="0" fontId="28" fillId="0" borderId="8" xfId="0" applyFont="1" applyBorder="1">
      <alignment vertical="center"/>
    </xf>
    <xf numFmtId="0" fontId="32" fillId="0" borderId="0" xfId="0" applyFont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9" fontId="22" fillId="15" borderId="4" xfId="3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8" fillId="19" borderId="11" xfId="0" applyFont="1" applyFill="1" applyBorder="1">
      <alignment vertical="center"/>
    </xf>
    <xf numFmtId="0" fontId="28" fillId="0" borderId="11" xfId="0" applyFont="1" applyBorder="1">
      <alignment vertical="center"/>
    </xf>
    <xf numFmtId="166" fontId="33" fillId="0" borderId="6" xfId="3" applyNumberFormat="1" applyFont="1" applyBorder="1" applyAlignment="1">
      <alignment vertical="center"/>
    </xf>
    <xf numFmtId="0" fontId="29" fillId="0" borderId="7" xfId="0" applyFont="1" applyBorder="1">
      <alignment vertical="center"/>
    </xf>
    <xf numFmtId="0" fontId="29" fillId="0" borderId="8" xfId="0" applyFont="1" applyBorder="1">
      <alignment vertical="center"/>
    </xf>
    <xf numFmtId="164" fontId="24" fillId="3" borderId="0" xfId="1" applyNumberFormat="1" applyFont="1" applyFill="1">
      <alignment vertical="center"/>
    </xf>
    <xf numFmtId="166" fontId="24" fillId="3" borderId="6" xfId="3" applyNumberFormat="1" applyFont="1" applyFill="1" applyBorder="1" applyAlignment="1">
      <alignment vertical="center"/>
    </xf>
    <xf numFmtId="0" fontId="24" fillId="0" borderId="8" xfId="0" applyFont="1" applyBorder="1">
      <alignment vertical="center"/>
    </xf>
    <xf numFmtId="0" fontId="19" fillId="18" borderId="0" xfId="0" applyFont="1" applyFill="1" applyAlignment="1">
      <alignment vertical="center" wrapText="1"/>
    </xf>
    <xf numFmtId="164" fontId="18" fillId="0" borderId="0" xfId="0" applyNumberFormat="1" applyFont="1">
      <alignment vertical="center"/>
    </xf>
    <xf numFmtId="9" fontId="17" fillId="0" borderId="13" xfId="3" applyFont="1" applyBorder="1" applyAlignment="1">
      <alignment vertical="center"/>
    </xf>
    <xf numFmtId="0" fontId="19" fillId="0" borderId="13" xfId="0" applyFont="1" applyBorder="1">
      <alignment vertical="center"/>
    </xf>
    <xf numFmtId="0" fontId="19" fillId="19" borderId="13" xfId="0" applyFont="1" applyFill="1" applyBorder="1">
      <alignment vertical="center"/>
    </xf>
    <xf numFmtId="9" fontId="17" fillId="0" borderId="0" xfId="0" applyNumberFormat="1" applyFont="1">
      <alignment vertical="center"/>
    </xf>
    <xf numFmtId="164" fontId="17" fillId="0" borderId="0" xfId="1" applyNumberFormat="1" applyFont="1">
      <alignment vertical="center"/>
    </xf>
    <xf numFmtId="164" fontId="19" fillId="0" borderId="0" xfId="1" applyNumberFormat="1" applyFont="1">
      <alignment vertical="center"/>
    </xf>
    <xf numFmtId="0" fontId="0" fillId="0" borderId="0" xfId="0" applyAlignment="1">
      <alignment horizontal="left" vertical="center" indent="1"/>
    </xf>
    <xf numFmtId="0" fontId="35" fillId="0" borderId="6" xfId="0" applyFont="1" applyBorder="1">
      <alignment vertical="center"/>
    </xf>
    <xf numFmtId="0" fontId="35" fillId="0" borderId="0" xfId="0" applyFont="1">
      <alignment vertical="center"/>
    </xf>
    <xf numFmtId="0" fontId="35" fillId="0" borderId="9" xfId="0" applyFont="1" applyBorder="1">
      <alignment vertical="center"/>
    </xf>
    <xf numFmtId="0" fontId="17" fillId="0" borderId="13" xfId="0" applyFont="1" applyBorder="1">
      <alignment vertical="center"/>
    </xf>
    <xf numFmtId="164" fontId="18" fillId="0" borderId="0" xfId="1" applyNumberFormat="1" applyFont="1">
      <alignment vertical="center"/>
    </xf>
    <xf numFmtId="164" fontId="17" fillId="0" borderId="13" xfId="1" applyNumberFormat="1" applyFont="1" applyBorder="1">
      <alignment vertical="center"/>
    </xf>
    <xf numFmtId="9" fontId="17" fillId="0" borderId="0" xfId="3" applyFont="1" applyAlignment="1">
      <alignment vertical="center"/>
    </xf>
    <xf numFmtId="164" fontId="17" fillId="3" borderId="0" xfId="1" applyNumberFormat="1" applyFont="1" applyFill="1">
      <alignment vertical="center"/>
    </xf>
    <xf numFmtId="164" fontId="17" fillId="3" borderId="13" xfId="1" applyNumberFormat="1" applyFont="1" applyFill="1" applyBorder="1">
      <alignment vertical="center"/>
    </xf>
    <xf numFmtId="164" fontId="17" fillId="3" borderId="5" xfId="1" applyNumberFormat="1" applyFont="1" applyFill="1" applyBorder="1">
      <alignment vertical="center"/>
    </xf>
    <xf numFmtId="164" fontId="17" fillId="4" borderId="0" xfId="1" applyNumberFormat="1" applyFont="1" applyFill="1">
      <alignment vertical="center"/>
    </xf>
    <xf numFmtId="164" fontId="17" fillId="4" borderId="13" xfId="1" applyNumberFormat="1" applyFont="1" applyFill="1" applyBorder="1">
      <alignment vertical="center"/>
    </xf>
    <xf numFmtId="164" fontId="17" fillId="5" borderId="0" xfId="1" applyNumberFormat="1" applyFont="1" applyFill="1">
      <alignment vertical="center"/>
    </xf>
    <xf numFmtId="164" fontId="17" fillId="5" borderId="13" xfId="1" applyNumberFormat="1" applyFont="1" applyFill="1" applyBorder="1">
      <alignment vertical="center"/>
    </xf>
    <xf numFmtId="164" fontId="22" fillId="5" borderId="0" xfId="1" applyNumberFormat="1" applyFont="1" applyFill="1">
      <alignment vertical="center"/>
    </xf>
    <xf numFmtId="164" fontId="18" fillId="5" borderId="0" xfId="1" applyNumberFormat="1" applyFont="1" applyFill="1">
      <alignment vertical="center"/>
    </xf>
    <xf numFmtId="164" fontId="17" fillId="6" borderId="0" xfId="1" applyNumberFormat="1" applyFont="1" applyFill="1">
      <alignment vertical="center"/>
    </xf>
    <xf numFmtId="164" fontId="17" fillId="6" borderId="13" xfId="1" applyNumberFormat="1" applyFont="1" applyFill="1" applyBorder="1">
      <alignment vertical="center"/>
    </xf>
    <xf numFmtId="164" fontId="17" fillId="7" borderId="0" xfId="1" applyNumberFormat="1" applyFont="1" applyFill="1">
      <alignment vertical="center"/>
    </xf>
    <xf numFmtId="164" fontId="17" fillId="7" borderId="13" xfId="1" applyNumberFormat="1" applyFont="1" applyFill="1" applyBorder="1">
      <alignment vertical="center"/>
    </xf>
    <xf numFmtId="9" fontId="17" fillId="0" borderId="7" xfId="3" applyFont="1" applyBorder="1" applyAlignment="1">
      <alignment vertical="center"/>
    </xf>
    <xf numFmtId="9" fontId="17" fillId="0" borderId="13" xfId="0" applyNumberFormat="1" applyFont="1" applyBorder="1">
      <alignment vertical="center"/>
    </xf>
    <xf numFmtId="0" fontId="0" fillId="0" borderId="0" xfId="0" quotePrefix="1">
      <alignment vertical="center"/>
    </xf>
    <xf numFmtId="9" fontId="23" fillId="0" borderId="0" xfId="0" applyNumberFormat="1" applyFont="1">
      <alignment vertical="center"/>
    </xf>
    <xf numFmtId="9" fontId="23" fillId="0" borderId="8" xfId="0" applyNumberFormat="1" applyFont="1" applyBorder="1">
      <alignment vertical="center"/>
    </xf>
    <xf numFmtId="0" fontId="18" fillId="15" borderId="3" xfId="0" applyFont="1" applyFill="1" applyBorder="1">
      <alignment vertical="center"/>
    </xf>
    <xf numFmtId="43" fontId="22" fillId="0" borderId="0" xfId="1" applyFont="1" applyAlignment="1">
      <alignment horizontal="center" vertical="center"/>
    </xf>
    <xf numFmtId="43" fontId="22" fillId="0" borderId="8" xfId="1" applyFont="1" applyBorder="1" applyAlignment="1">
      <alignment horizontal="center" vertical="center"/>
    </xf>
    <xf numFmtId="0" fontId="18" fillId="20" borderId="10" xfId="0" applyFont="1" applyFill="1" applyBorder="1">
      <alignment vertical="center"/>
    </xf>
    <xf numFmtId="0" fontId="17" fillId="20" borderId="11" xfId="0" applyFont="1" applyFill="1" applyBorder="1">
      <alignment vertical="center"/>
    </xf>
    <xf numFmtId="0" fontId="17" fillId="20" borderId="12" xfId="0" applyFont="1" applyFill="1" applyBorder="1">
      <alignment vertical="center"/>
    </xf>
    <xf numFmtId="44" fontId="22" fillId="0" borderId="6" xfId="2" applyFont="1" applyBorder="1" applyAlignment="1">
      <alignment horizontal="center" vertical="center"/>
    </xf>
    <xf numFmtId="165" fontId="17" fillId="0" borderId="0" xfId="1" applyNumberFormat="1" applyFont="1">
      <alignment vertical="center"/>
    </xf>
    <xf numFmtId="44" fontId="17" fillId="0" borderId="0" xfId="0" applyNumberFormat="1" applyFont="1">
      <alignment vertical="center"/>
    </xf>
    <xf numFmtId="10" fontId="17" fillId="0" borderId="0" xfId="3" applyNumberFormat="1" applyFont="1" applyAlignment="1">
      <alignment vertical="center"/>
    </xf>
    <xf numFmtId="165" fontId="18" fillId="0" borderId="0" xfId="1" applyNumberFormat="1" applyFont="1">
      <alignment vertical="center"/>
    </xf>
    <xf numFmtId="9" fontId="36" fillId="0" borderId="0" xfId="3" applyFont="1" applyAlignment="1">
      <alignment vertical="center"/>
    </xf>
    <xf numFmtId="164" fontId="23" fillId="0" borderId="0" xfId="1" applyNumberFormat="1" applyFont="1">
      <alignment vertical="center"/>
    </xf>
    <xf numFmtId="166" fontId="23" fillId="0" borderId="0" xfId="0" applyNumberFormat="1" applyFont="1">
      <alignment vertical="center"/>
    </xf>
    <xf numFmtId="0" fontId="29" fillId="0" borderId="0" xfId="0" applyFont="1" applyAlignment="1">
      <alignment horizontal="left" vertical="center" indent="3"/>
    </xf>
    <xf numFmtId="44" fontId="0" fillId="0" borderId="0" xfId="0" applyNumberFormat="1">
      <alignment vertical="center"/>
    </xf>
    <xf numFmtId="9" fontId="29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43" fontId="0" fillId="0" borderId="0" xfId="1" applyFont="1">
      <alignment vertical="center"/>
    </xf>
    <xf numFmtId="43" fontId="29" fillId="0" borderId="0" xfId="1" applyFont="1">
      <alignment vertical="center"/>
    </xf>
    <xf numFmtId="43" fontId="29" fillId="0" borderId="0" xfId="0" applyNumberFormat="1" applyFont="1">
      <alignment vertical="center"/>
    </xf>
    <xf numFmtId="164" fontId="29" fillId="0" borderId="0" xfId="1" applyNumberFormat="1" applyFont="1" applyAlignment="1">
      <alignment horizontal="left" vertical="center" indent="1"/>
    </xf>
    <xf numFmtId="166" fontId="0" fillId="0" borderId="0" xfId="3" applyNumberFormat="1" applyFont="1" applyAlignment="1">
      <alignment vertical="center"/>
    </xf>
    <xf numFmtId="164" fontId="29" fillId="0" borderId="0" xfId="0" applyNumberFormat="1" applyFont="1">
      <alignment vertical="center"/>
    </xf>
    <xf numFmtId="164" fontId="38" fillId="0" borderId="0" xfId="1" applyNumberFormat="1" applyFont="1">
      <alignment vertical="center"/>
    </xf>
    <xf numFmtId="43" fontId="0" fillId="0" borderId="0" xfId="0" applyNumberFormat="1">
      <alignment vertical="center"/>
    </xf>
    <xf numFmtId="164" fontId="30" fillId="0" borderId="0" xfId="0" applyNumberFormat="1" applyFont="1">
      <alignment vertical="center"/>
    </xf>
    <xf numFmtId="0" fontId="37" fillId="0" borderId="0" xfId="0" applyFont="1">
      <alignment vertical="center"/>
    </xf>
    <xf numFmtId="164" fontId="30" fillId="0" borderId="0" xfId="1" applyNumberFormat="1" applyFont="1">
      <alignment vertical="center"/>
    </xf>
    <xf numFmtId="167" fontId="38" fillId="0" borderId="0" xfId="2" applyNumberFormat="1" applyFont="1" applyAlignment="1">
      <alignment vertical="center"/>
    </xf>
    <xf numFmtId="44" fontId="38" fillId="0" borderId="0" xfId="2" applyFont="1" applyAlignment="1">
      <alignment vertical="center"/>
    </xf>
    <xf numFmtId="164" fontId="17" fillId="21" borderId="0" xfId="1" applyNumberFormat="1" applyFont="1" applyFill="1">
      <alignment vertical="center"/>
    </xf>
    <xf numFmtId="164" fontId="17" fillId="21" borderId="13" xfId="1" applyNumberFormat="1" applyFont="1" applyFill="1" applyBorder="1">
      <alignment vertical="center"/>
    </xf>
    <xf numFmtId="167" fontId="17" fillId="0" borderId="0" xfId="0" applyNumberFormat="1" applyFont="1">
      <alignment vertical="center"/>
    </xf>
    <xf numFmtId="43" fontId="39" fillId="0" borderId="0" xfId="1" applyFont="1">
      <alignment vertical="center"/>
    </xf>
    <xf numFmtId="0" fontId="39" fillId="0" borderId="0" xfId="0" applyFont="1">
      <alignment vertical="center"/>
    </xf>
    <xf numFmtId="167" fontId="39" fillId="0" borderId="0" xfId="2" applyNumberFormat="1" applyFont="1" applyAlignment="1">
      <alignment vertical="center"/>
    </xf>
    <xf numFmtId="44" fontId="39" fillId="0" borderId="0" xfId="0" applyNumberFormat="1" applyFont="1">
      <alignment vertical="center"/>
    </xf>
    <xf numFmtId="167" fontId="39" fillId="0" borderId="0" xfId="0" applyNumberFormat="1" applyFont="1">
      <alignment vertical="center"/>
    </xf>
    <xf numFmtId="43" fontId="39" fillId="0" borderId="0" xfId="0" applyNumberFormat="1" applyFont="1">
      <alignment vertical="center"/>
    </xf>
    <xf numFmtId="167" fontId="30" fillId="0" borderId="0" xfId="2" applyNumberFormat="1" applyFont="1" applyAlignment="1">
      <alignment vertical="center"/>
    </xf>
    <xf numFmtId="0" fontId="29" fillId="19" borderId="0" xfId="0" applyFont="1" applyFill="1">
      <alignment vertical="center"/>
    </xf>
    <xf numFmtId="0" fontId="40" fillId="19" borderId="0" xfId="0" applyFont="1" applyFill="1">
      <alignment vertical="center"/>
    </xf>
    <xf numFmtId="0" fontId="31" fillId="19" borderId="0" xfId="0" applyFont="1" applyFill="1">
      <alignment vertical="center"/>
    </xf>
    <xf numFmtId="0" fontId="28" fillId="0" borderId="0" xfId="0" applyFont="1" applyAlignment="1">
      <alignment horizontal="left" vertical="center" indent="1"/>
    </xf>
    <xf numFmtId="164" fontId="17" fillId="15" borderId="5" xfId="1" applyNumberFormat="1" applyFont="1" applyFill="1" applyBorder="1">
      <alignment vertical="center"/>
    </xf>
    <xf numFmtId="164" fontId="24" fillId="15" borderId="0" xfId="1" applyNumberFormat="1" applyFont="1" applyFill="1">
      <alignment vertical="center"/>
    </xf>
    <xf numFmtId="166" fontId="24" fillId="15" borderId="6" xfId="3" applyNumberFormat="1" applyFont="1" applyFill="1" applyBorder="1" applyAlignment="1">
      <alignment vertical="center"/>
    </xf>
    <xf numFmtId="0" fontId="17" fillId="0" borderId="18" xfId="0" applyFont="1" applyBorder="1">
      <alignment vertical="center"/>
    </xf>
    <xf numFmtId="164" fontId="17" fillId="15" borderId="13" xfId="1" applyNumberFormat="1" applyFont="1" applyFill="1" applyBorder="1">
      <alignment vertical="center"/>
    </xf>
    <xf numFmtId="0" fontId="24" fillId="0" borderId="18" xfId="0" applyFont="1" applyBorder="1">
      <alignment vertical="center"/>
    </xf>
    <xf numFmtId="9" fontId="17" fillId="0" borderId="21" xfId="3" applyFont="1" applyBorder="1" applyAlignment="1">
      <alignment vertical="center"/>
    </xf>
    <xf numFmtId="9" fontId="17" fillId="0" borderId="15" xfId="3" applyFont="1" applyBorder="1" applyAlignment="1">
      <alignment vertical="center"/>
    </xf>
    <xf numFmtId="9" fontId="24" fillId="0" borderId="21" xfId="3" applyFont="1" applyBorder="1" applyAlignment="1">
      <alignment vertical="center"/>
    </xf>
    <xf numFmtId="164" fontId="17" fillId="0" borderId="5" xfId="0" applyNumberFormat="1" applyFont="1" applyBorder="1">
      <alignment vertical="center"/>
    </xf>
    <xf numFmtId="164" fontId="17" fillId="0" borderId="18" xfId="0" applyNumberFormat="1" applyFont="1" applyBorder="1">
      <alignment vertical="center"/>
    </xf>
    <xf numFmtId="164" fontId="17" fillId="0" borderId="13" xfId="0" applyNumberFormat="1" applyFont="1" applyBorder="1">
      <alignment vertical="center"/>
    </xf>
    <xf numFmtId="164" fontId="24" fillId="0" borderId="18" xfId="0" applyNumberFormat="1" applyFont="1" applyBorder="1">
      <alignment vertical="center"/>
    </xf>
    <xf numFmtId="164" fontId="24" fillId="0" borderId="0" xfId="0" applyNumberFormat="1" applyFont="1">
      <alignment vertical="center"/>
    </xf>
    <xf numFmtId="10" fontId="35" fillId="0" borderId="6" xfId="3" applyNumberFormat="1" applyFont="1" applyBorder="1" applyAlignment="1">
      <alignment vertical="center"/>
    </xf>
    <xf numFmtId="164" fontId="41" fillId="5" borderId="0" xfId="1" applyNumberFormat="1" applyFont="1" applyFill="1">
      <alignment vertical="center"/>
    </xf>
    <xf numFmtId="0" fontId="20" fillId="19" borderId="20" xfId="0" applyFont="1" applyFill="1" applyBorder="1" applyAlignment="1">
      <alignment horizontal="center" vertical="center"/>
    </xf>
    <xf numFmtId="0" fontId="20" fillId="19" borderId="17" xfId="0" applyFont="1" applyFill="1" applyBorder="1" applyAlignment="1">
      <alignment horizontal="center" vertical="center"/>
    </xf>
    <xf numFmtId="0" fontId="20" fillId="19" borderId="16" xfId="0" applyFont="1" applyFill="1" applyBorder="1" applyAlignment="1">
      <alignment horizontal="center" vertical="center"/>
    </xf>
    <xf numFmtId="0" fontId="42" fillId="19" borderId="17" xfId="0" applyFont="1" applyFill="1" applyBorder="1" applyAlignment="1">
      <alignment horizontal="center" vertical="center"/>
    </xf>
    <xf numFmtId="0" fontId="42" fillId="19" borderId="0" xfId="0" applyFont="1" applyFill="1" applyAlignment="1">
      <alignment horizontal="center" vertical="center"/>
    </xf>
    <xf numFmtId="0" fontId="43" fillId="19" borderId="6" xfId="0" applyFont="1" applyFill="1" applyBorder="1" applyAlignment="1">
      <alignment horizontal="center" vertical="center"/>
    </xf>
    <xf numFmtId="0" fontId="8" fillId="0" borderId="0" xfId="4"/>
    <xf numFmtId="0" fontId="8" fillId="0" borderId="0" xfId="4" quotePrefix="1"/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1"/>
    </xf>
    <xf numFmtId="0" fontId="19" fillId="19" borderId="13" xfId="0" applyFont="1" applyFill="1" applyBorder="1" applyAlignment="1">
      <alignment horizontal="center" vertical="center"/>
    </xf>
    <xf numFmtId="164" fontId="20" fillId="19" borderId="0" xfId="1" applyNumberFormat="1" applyFont="1" applyFill="1" applyAlignment="1">
      <alignment horizontal="center" vertical="center"/>
    </xf>
    <xf numFmtId="0" fontId="18" fillId="3" borderId="0" xfId="0" applyFont="1" applyFill="1">
      <alignment vertical="center"/>
    </xf>
    <xf numFmtId="0" fontId="18" fillId="3" borderId="0" xfId="0" applyFont="1" applyFill="1" applyAlignment="1">
      <alignment horizontal="left" vertical="center" indent="1"/>
    </xf>
    <xf numFmtId="0" fontId="18" fillId="4" borderId="0" xfId="0" applyFont="1" applyFill="1">
      <alignment vertical="center"/>
    </xf>
    <xf numFmtId="164" fontId="18" fillId="5" borderId="0" xfId="1" applyNumberFormat="1" applyFont="1" applyFill="1" applyAlignment="1">
      <alignment horizontal="left" vertical="center" indent="1"/>
    </xf>
    <xf numFmtId="0" fontId="18" fillId="6" borderId="0" xfId="0" applyFont="1" applyFill="1">
      <alignment vertical="center"/>
    </xf>
    <xf numFmtId="0" fontId="18" fillId="7" borderId="0" xfId="0" applyFont="1" applyFill="1">
      <alignment vertical="center"/>
    </xf>
    <xf numFmtId="0" fontId="18" fillId="21" borderId="0" xfId="0" applyFont="1" applyFill="1">
      <alignment vertical="center"/>
    </xf>
    <xf numFmtId="0" fontId="18" fillId="21" borderId="0" xfId="0" applyFont="1" applyFill="1" applyAlignment="1">
      <alignment horizontal="left" vertical="center" indent="1"/>
    </xf>
    <xf numFmtId="164" fontId="0" fillId="0" borderId="0" xfId="1" applyNumberFormat="1" applyFont="1" applyAlignment="1">
      <alignment horizontal="left" vertical="center" indent="3"/>
    </xf>
    <xf numFmtId="0" fontId="34" fillId="0" borderId="0" xfId="0" applyFont="1">
      <alignment vertical="center"/>
    </xf>
    <xf numFmtId="164" fontId="9" fillId="0" borderId="0" xfId="1" applyNumberFormat="1" applyFont="1">
      <alignment vertical="center"/>
    </xf>
    <xf numFmtId="0" fontId="44" fillId="0" borderId="0" xfId="0" applyFont="1">
      <alignment vertical="center"/>
    </xf>
    <xf numFmtId="167" fontId="0" fillId="0" borderId="0" xfId="2" applyNumberFormat="1" applyFont="1" applyAlignment="1">
      <alignment vertical="center"/>
    </xf>
    <xf numFmtId="0" fontId="37" fillId="19" borderId="0" xfId="0" applyFont="1" applyFill="1" applyAlignment="1">
      <alignment vertical="center" wrapText="1"/>
    </xf>
    <xf numFmtId="0" fontId="24" fillId="0" borderId="0" xfId="0" applyFont="1" applyAlignment="1">
      <alignment horizontal="center" vertical="center"/>
    </xf>
    <xf numFmtId="10" fontId="24" fillId="0" borderId="0" xfId="3" applyNumberFormat="1" applyFont="1" applyAlignment="1">
      <alignment vertical="center"/>
    </xf>
    <xf numFmtId="0" fontId="20" fillId="19" borderId="0" xfId="0" applyFont="1" applyFill="1" applyAlignment="1">
      <alignment horizontal="center" vertical="center"/>
    </xf>
    <xf numFmtId="0" fontId="25" fillId="0" borderId="0" xfId="0" applyFont="1" applyAlignment="1">
      <alignment horizontal="right" vertical="center"/>
    </xf>
    <xf numFmtId="165" fontId="29" fillId="0" borderId="0" xfId="1" applyNumberFormat="1" applyFont="1">
      <alignment vertical="center"/>
    </xf>
    <xf numFmtId="0" fontId="30" fillId="0" borderId="0" xfId="0" applyFont="1">
      <alignment vertical="center"/>
    </xf>
    <xf numFmtId="0" fontId="19" fillId="19" borderId="0" xfId="0" applyFont="1" applyFill="1" applyAlignment="1">
      <alignment horizontal="right" vertical="center"/>
    </xf>
    <xf numFmtId="9" fontId="22" fillId="19" borderId="0" xfId="3" applyFont="1" applyFill="1" applyAlignment="1">
      <alignment vertical="center"/>
    </xf>
    <xf numFmtId="43" fontId="8" fillId="0" borderId="0" xfId="0" applyNumberFormat="1" applyFont="1">
      <alignment vertical="center"/>
    </xf>
    <xf numFmtId="0" fontId="8" fillId="0" borderId="0" xfId="0" applyFont="1">
      <alignment vertical="center"/>
    </xf>
    <xf numFmtId="0" fontId="20" fillId="19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167" fontId="22" fillId="0" borderId="5" xfId="2" applyNumberFormat="1" applyFont="1" applyBorder="1" applyAlignment="1">
      <alignment vertical="center"/>
    </xf>
    <xf numFmtId="167" fontId="22" fillId="0" borderId="7" xfId="2" applyNumberFormat="1" applyFont="1" applyBorder="1" applyAlignment="1">
      <alignment vertical="center"/>
    </xf>
    <xf numFmtId="167" fontId="22" fillId="0" borderId="9" xfId="2" applyNumberFormat="1" applyFont="1" applyBorder="1" applyAlignment="1">
      <alignment vertical="center"/>
    </xf>
    <xf numFmtId="0" fontId="19" fillId="19" borderId="22" xfId="0" applyFont="1" applyFill="1" applyBorder="1" applyAlignment="1">
      <alignment horizontal="left" vertical="center" wrapText="1"/>
    </xf>
    <xf numFmtId="0" fontId="17" fillId="0" borderId="23" xfId="0" applyFont="1" applyBorder="1">
      <alignment vertical="center"/>
    </xf>
    <xf numFmtId="0" fontId="17" fillId="0" borderId="24" xfId="0" applyFont="1" applyBorder="1">
      <alignment vertical="center"/>
    </xf>
    <xf numFmtId="10" fontId="22" fillId="0" borderId="5" xfId="3" applyNumberFormat="1" applyFont="1" applyBorder="1" applyAlignment="1">
      <alignment vertical="center"/>
    </xf>
    <xf numFmtId="10" fontId="22" fillId="0" borderId="7" xfId="3" applyNumberFormat="1" applyFont="1" applyBorder="1" applyAlignment="1">
      <alignment vertical="center"/>
    </xf>
    <xf numFmtId="0" fontId="18" fillId="15" borderId="1" xfId="0" applyFont="1" applyFill="1" applyBorder="1" applyAlignment="1">
      <alignment horizontal="left" vertical="center"/>
    </xf>
    <xf numFmtId="164" fontId="20" fillId="19" borderId="10" xfId="1" applyNumberFormat="1" applyFont="1" applyFill="1" applyBorder="1" applyAlignment="1">
      <alignment horizontal="center" vertical="center"/>
    </xf>
    <xf numFmtId="164" fontId="20" fillId="19" borderId="11" xfId="1" applyNumberFormat="1" applyFont="1" applyFill="1" applyBorder="1" applyAlignment="1">
      <alignment horizontal="center" vertical="center"/>
    </xf>
    <xf numFmtId="164" fontId="20" fillId="19" borderId="12" xfId="1" applyNumberFormat="1" applyFont="1" applyFill="1" applyBorder="1" applyAlignment="1">
      <alignment horizontal="center" vertical="center"/>
    </xf>
    <xf numFmtId="10" fontId="17" fillId="0" borderId="5" xfId="3" applyNumberFormat="1" applyFont="1" applyBorder="1" applyAlignment="1">
      <alignment vertical="center"/>
    </xf>
    <xf numFmtId="10" fontId="17" fillId="0" borderId="6" xfId="3" applyNumberFormat="1" applyFont="1" applyBorder="1" applyAlignment="1">
      <alignment vertical="center"/>
    </xf>
    <xf numFmtId="10" fontId="17" fillId="0" borderId="7" xfId="3" applyNumberFormat="1" applyFont="1" applyBorder="1" applyAlignment="1">
      <alignment vertical="center"/>
    </xf>
    <xf numFmtId="10" fontId="18" fillId="0" borderId="0" xfId="3" applyNumberFormat="1" applyFont="1" applyAlignment="1">
      <alignment vertical="center"/>
    </xf>
    <xf numFmtId="10" fontId="45" fillId="0" borderId="0" xfId="3" applyNumberFormat="1" applyFont="1" applyAlignment="1">
      <alignment vertical="center"/>
    </xf>
    <xf numFmtId="165" fontId="28" fillId="0" borderId="0" xfId="1" applyNumberFormat="1" applyFont="1">
      <alignment vertical="center"/>
    </xf>
    <xf numFmtId="166" fontId="30" fillId="0" borderId="0" xfId="3" applyNumberFormat="1" applyFont="1" applyAlignment="1">
      <alignment vertical="center"/>
    </xf>
    <xf numFmtId="0" fontId="21" fillId="0" borderId="0" xfId="0" applyFont="1">
      <alignment vertical="center"/>
    </xf>
    <xf numFmtId="167" fontId="22" fillId="0" borderId="0" xfId="2" applyNumberFormat="1" applyFont="1" applyAlignment="1">
      <alignment horizontal="left" vertical="center"/>
    </xf>
    <xf numFmtId="0" fontId="38" fillId="0" borderId="0" xfId="0" applyFont="1">
      <alignment vertical="center"/>
    </xf>
    <xf numFmtId="0" fontId="46" fillId="0" borderId="0" xfId="7">
      <alignment horizontal="right"/>
    </xf>
    <xf numFmtId="44" fontId="0" fillId="0" borderId="0" xfId="8" applyFont="1" applyAlignment="1">
      <alignment horizontal="right"/>
    </xf>
    <xf numFmtId="14" fontId="0" fillId="0" borderId="0" xfId="9" applyFont="1">
      <alignment horizontal="right"/>
    </xf>
    <xf numFmtId="1" fontId="0" fillId="0" borderId="0" xfId="10" applyFont="1">
      <alignment horizontal="right"/>
    </xf>
    <xf numFmtId="0" fontId="0" fillId="0" borderId="0" xfId="11" applyFont="1">
      <alignment horizontal="center" wrapText="1"/>
    </xf>
    <xf numFmtId="44" fontId="0" fillId="23" borderId="25" xfId="8" applyFont="1" applyFill="1" applyBorder="1" applyAlignment="1">
      <alignment horizontal="right"/>
    </xf>
    <xf numFmtId="1" fontId="0" fillId="23" borderId="25" xfId="10" applyFont="1" applyFill="1" applyBorder="1">
      <alignment horizontal="right"/>
    </xf>
    <xf numFmtId="0" fontId="0" fillId="0" borderId="0" xfId="12" applyFont="1">
      <alignment horizontal="left" indent="5"/>
    </xf>
    <xf numFmtId="14" fontId="0" fillId="0" borderId="27" xfId="9" applyFont="1" applyBorder="1">
      <alignment horizontal="right"/>
    </xf>
    <xf numFmtId="0" fontId="47" fillId="0" borderId="30" xfId="15">
      <alignment horizontal="left"/>
    </xf>
    <xf numFmtId="167" fontId="0" fillId="23" borderId="25" xfId="8" applyNumberFormat="1" applyFont="1" applyFill="1" applyBorder="1" applyAlignment="1">
      <alignment horizontal="right"/>
    </xf>
    <xf numFmtId="167" fontId="48" fillId="0" borderId="27" xfId="8" applyNumberFormat="1" applyFont="1" applyBorder="1" applyAlignment="1">
      <alignment horizontal="right"/>
    </xf>
    <xf numFmtId="10" fontId="48" fillId="0" borderId="27" xfId="3" applyNumberFormat="1" applyFont="1" applyBorder="1" applyAlignment="1">
      <alignment horizontal="right"/>
    </xf>
    <xf numFmtId="1" fontId="48" fillId="0" borderId="27" xfId="10" applyFont="1" applyBorder="1">
      <alignment horizontal="right"/>
    </xf>
    <xf numFmtId="0" fontId="46" fillId="0" borderId="0" xfId="12">
      <alignment horizontal="left" indent="5"/>
    </xf>
    <xf numFmtId="167" fontId="0" fillId="23" borderId="0" xfId="8" applyNumberFormat="1" applyFont="1" applyFill="1" applyAlignment="1">
      <alignment horizontal="right"/>
    </xf>
    <xf numFmtId="167" fontId="46" fillId="0" borderId="0" xfId="7" applyNumberFormat="1">
      <alignment horizontal="right"/>
    </xf>
    <xf numFmtId="0" fontId="46" fillId="0" borderId="0" xfId="12" applyAlignment="1"/>
    <xf numFmtId="0" fontId="46" fillId="0" borderId="0" xfId="7" applyAlignment="1"/>
    <xf numFmtId="167" fontId="29" fillId="0" borderId="0" xfId="2" applyNumberFormat="1" applyFont="1" applyAlignment="1">
      <alignment horizontal="left" vertical="center" indent="3"/>
    </xf>
    <xf numFmtId="167" fontId="29" fillId="0" borderId="0" xfId="2" applyNumberFormat="1" applyFont="1" applyAlignment="1">
      <alignment horizontal="left" vertical="center" indent="1"/>
    </xf>
    <xf numFmtId="167" fontId="49" fillId="23" borderId="0" xfId="8" applyNumberFormat="1" applyFont="1" applyFill="1" applyAlignment="1">
      <alignment horizontal="right"/>
    </xf>
    <xf numFmtId="0" fontId="49" fillId="0" borderId="0" xfId="7" applyFont="1">
      <alignment horizontal="right"/>
    </xf>
    <xf numFmtId="164" fontId="49" fillId="23" borderId="0" xfId="1" applyNumberFormat="1" applyFont="1" applyFill="1" applyAlignment="1">
      <alignment horizontal="right"/>
    </xf>
    <xf numFmtId="164" fontId="49" fillId="0" borderId="0" xfId="1" applyNumberFormat="1" applyFont="1" applyAlignment="1">
      <alignment horizontal="right"/>
    </xf>
    <xf numFmtId="0" fontId="19" fillId="12" borderId="0" xfId="0" applyFont="1" applyFill="1" applyAlignment="1">
      <alignment horizontal="center" vertical="center"/>
    </xf>
    <xf numFmtId="0" fontId="7" fillId="0" borderId="0" xfId="4" applyFont="1"/>
    <xf numFmtId="43" fontId="8" fillId="0" borderId="0" xfId="1" applyFont="1" applyAlignment="1"/>
    <xf numFmtId="164" fontId="8" fillId="0" borderId="0" xfId="1" applyNumberFormat="1" applyFont="1" applyAlignment="1"/>
    <xf numFmtId="10" fontId="8" fillId="0" borderId="0" xfId="3" applyNumberFormat="1" applyFont="1"/>
    <xf numFmtId="9" fontId="17" fillId="3" borderId="0" xfId="3" applyFont="1" applyFill="1" applyAlignment="1">
      <alignment vertical="center"/>
    </xf>
    <xf numFmtId="167" fontId="29" fillId="0" borderId="0" xfId="2" applyNumberFormat="1" applyFont="1" applyAlignment="1">
      <alignment horizontal="left" vertical="center"/>
    </xf>
    <xf numFmtId="0" fontId="6" fillId="0" borderId="0" xfId="4" quotePrefix="1" applyFont="1"/>
    <xf numFmtId="164" fontId="22" fillId="0" borderId="13" xfId="1" applyNumberFormat="1" applyFont="1" applyBorder="1">
      <alignment vertical="center"/>
    </xf>
    <xf numFmtId="0" fontId="17" fillId="2" borderId="0" xfId="0" applyFont="1" applyFill="1">
      <alignment vertical="center"/>
    </xf>
    <xf numFmtId="0" fontId="17" fillId="0" borderId="0" xfId="0" quotePrefix="1" applyFont="1">
      <alignment vertical="center"/>
    </xf>
    <xf numFmtId="10" fontId="38" fillId="0" borderId="0" xfId="3" applyNumberFormat="1" applyFont="1" applyAlignment="1">
      <alignment vertical="center"/>
    </xf>
    <xf numFmtId="44" fontId="29" fillId="0" borderId="0" xfId="2" applyFont="1" applyAlignment="1">
      <alignment vertical="center"/>
    </xf>
    <xf numFmtId="0" fontId="51" fillId="0" borderId="0" xfId="0" applyFont="1">
      <alignment vertical="center"/>
    </xf>
    <xf numFmtId="0" fontId="51" fillId="0" borderId="0" xfId="0" applyFont="1" applyAlignment="1">
      <alignment horizontal="right" vertical="center"/>
    </xf>
    <xf numFmtId="0" fontId="52" fillId="0" borderId="0" xfId="0" applyFont="1">
      <alignment vertical="center"/>
    </xf>
    <xf numFmtId="166" fontId="52" fillId="0" borderId="0" xfId="3" applyNumberFormat="1" applyFont="1" applyAlignment="1">
      <alignment vertical="center"/>
    </xf>
    <xf numFmtId="10" fontId="52" fillId="0" borderId="0" xfId="3" applyNumberFormat="1" applyFont="1" applyAlignment="1">
      <alignment vertical="center"/>
    </xf>
    <xf numFmtId="9" fontId="53" fillId="18" borderId="0" xfId="3" applyFont="1" applyFill="1" applyAlignment="1">
      <alignment vertical="center"/>
    </xf>
    <xf numFmtId="0" fontId="53" fillId="18" borderId="0" xfId="0" applyFont="1" applyFill="1">
      <alignment vertical="center"/>
    </xf>
    <xf numFmtId="0" fontId="54" fillId="0" borderId="0" xfId="0" applyFont="1">
      <alignment vertical="center"/>
    </xf>
    <xf numFmtId="167" fontId="51" fillId="0" borderId="0" xfId="2" applyNumberFormat="1" applyFont="1" applyAlignment="1">
      <alignment vertical="center"/>
    </xf>
    <xf numFmtId="0" fontId="55" fillId="26" borderId="0" xfId="0" applyFont="1" applyFill="1" applyAlignment="1">
      <alignment horizontal="center" vertical="center"/>
    </xf>
    <xf numFmtId="167" fontId="52" fillId="0" borderId="0" xfId="2" applyNumberFormat="1" applyFont="1" applyAlignment="1">
      <alignment vertical="center"/>
    </xf>
    <xf numFmtId="167" fontId="51" fillId="0" borderId="0" xfId="0" applyNumberFormat="1" applyFont="1">
      <alignment vertical="center"/>
    </xf>
    <xf numFmtId="6" fontId="51" fillId="0" borderId="0" xfId="0" applyNumberFormat="1" applyFont="1">
      <alignment vertical="center"/>
    </xf>
    <xf numFmtId="168" fontId="22" fillId="0" borderId="0" xfId="1" applyNumberFormat="1" applyFont="1">
      <alignment vertical="center"/>
    </xf>
    <xf numFmtId="0" fontId="20" fillId="18" borderId="0" xfId="0" applyFont="1" applyFill="1" applyAlignment="1">
      <alignment vertical="center" wrapText="1"/>
    </xf>
    <xf numFmtId="43" fontId="20" fillId="18" borderId="0" xfId="1" applyFont="1" applyFill="1" applyAlignment="1">
      <alignment vertical="center" wrapText="1"/>
    </xf>
    <xf numFmtId="9" fontId="20" fillId="18" borderId="0" xfId="3" applyFont="1" applyFill="1" applyAlignment="1">
      <alignment vertical="center" wrapText="1"/>
    </xf>
    <xf numFmtId="0" fontId="56" fillId="0" borderId="0" xfId="16" applyFont="1"/>
    <xf numFmtId="43" fontId="17" fillId="2" borderId="0" xfId="1" applyFont="1" applyFill="1">
      <alignment vertical="center"/>
    </xf>
    <xf numFmtId="44" fontId="17" fillId="2" borderId="0" xfId="2" applyFont="1" applyFill="1" applyAlignment="1">
      <alignment vertical="center"/>
    </xf>
    <xf numFmtId="167" fontId="17" fillId="0" borderId="0" xfId="3" applyNumberFormat="1" applyFont="1" applyAlignment="1">
      <alignment vertical="center"/>
    </xf>
    <xf numFmtId="9" fontId="29" fillId="0" borderId="0" xfId="0" applyNumberFormat="1" applyFont="1">
      <alignment vertical="center"/>
    </xf>
    <xf numFmtId="0" fontId="5" fillId="0" borderId="0" xfId="4" applyFont="1"/>
    <xf numFmtId="0" fontId="5" fillId="0" borderId="0" xfId="4" quotePrefix="1" applyFont="1"/>
    <xf numFmtId="9" fontId="57" fillId="0" borderId="0" xfId="3" applyFont="1" applyAlignment="1">
      <alignment vertical="center"/>
    </xf>
    <xf numFmtId="0" fontId="57" fillId="0" borderId="0" xfId="0" applyFont="1">
      <alignment vertical="center"/>
    </xf>
    <xf numFmtId="0" fontId="19" fillId="18" borderId="0" xfId="0" applyFont="1" applyFill="1">
      <alignment vertical="center"/>
    </xf>
    <xf numFmtId="9" fontId="58" fillId="0" borderId="0" xfId="3" applyFont="1" applyAlignment="1">
      <alignment vertical="center"/>
    </xf>
    <xf numFmtId="10" fontId="29" fillId="0" borderId="0" xfId="3" applyNumberFormat="1" applyFont="1" applyAlignment="1">
      <alignment vertical="center"/>
    </xf>
    <xf numFmtId="2" fontId="29" fillId="0" borderId="0" xfId="0" applyNumberFormat="1" applyFont="1">
      <alignment vertical="center"/>
    </xf>
    <xf numFmtId="167" fontId="18" fillId="0" borderId="0" xfId="2" applyNumberFormat="1" applyFont="1" applyAlignment="1">
      <alignment vertical="center"/>
    </xf>
    <xf numFmtId="0" fontId="22" fillId="0" borderId="0" xfId="0" applyFont="1" applyAlignment="1">
      <alignment horizontal="left" vertical="center"/>
    </xf>
    <xf numFmtId="164" fontId="17" fillId="0" borderId="1" xfId="1" applyNumberFormat="1" applyFont="1" applyBorder="1">
      <alignment vertical="center"/>
    </xf>
    <xf numFmtId="0" fontId="16" fillId="0" borderId="0" xfId="0" applyFont="1" applyAlignment="1">
      <alignment horizontal="left" vertical="center" indent="1"/>
    </xf>
    <xf numFmtId="0" fontId="60" fillId="0" borderId="0" xfId="17">
      <alignment vertical="center"/>
    </xf>
    <xf numFmtId="0" fontId="17" fillId="2" borderId="0" xfId="0" quotePrefix="1" applyFont="1" applyFill="1">
      <alignment vertical="center"/>
    </xf>
    <xf numFmtId="0" fontId="4" fillId="0" borderId="0" xfId="4" quotePrefix="1" applyFont="1"/>
    <xf numFmtId="164" fontId="17" fillId="15" borderId="18" xfId="1" applyNumberFormat="1" applyFont="1" applyFill="1" applyBorder="1">
      <alignment vertical="center"/>
    </xf>
    <xf numFmtId="164" fontId="17" fillId="3" borderId="18" xfId="1" applyNumberFormat="1" applyFont="1" applyFill="1" applyBorder="1">
      <alignment vertical="center"/>
    </xf>
    <xf numFmtId="166" fontId="17" fillId="15" borderId="18" xfId="3" applyNumberFormat="1" applyFont="1" applyFill="1" applyBorder="1" applyAlignment="1">
      <alignment vertical="center"/>
    </xf>
    <xf numFmtId="166" fontId="17" fillId="3" borderId="18" xfId="3" applyNumberFormat="1" applyFont="1" applyFill="1" applyBorder="1" applyAlignment="1">
      <alignment vertical="center"/>
    </xf>
    <xf numFmtId="9" fontId="23" fillId="0" borderId="0" xfId="3" applyFont="1" applyAlignment="1">
      <alignment vertical="center"/>
    </xf>
    <xf numFmtId="164" fontId="38" fillId="0" borderId="0" xfId="0" applyNumberFormat="1" applyFont="1">
      <alignment vertical="center"/>
    </xf>
    <xf numFmtId="167" fontId="38" fillId="0" borderId="0" xfId="0" applyNumberFormat="1" applyFont="1">
      <alignment vertical="center"/>
    </xf>
    <xf numFmtId="0" fontId="3" fillId="0" borderId="0" xfId="4" quotePrefix="1" applyFont="1"/>
    <xf numFmtId="0" fontId="3" fillId="0" borderId="0" xfId="4" applyFont="1"/>
    <xf numFmtId="0" fontId="2" fillId="0" borderId="0" xfId="4" quotePrefix="1" applyFont="1"/>
    <xf numFmtId="0" fontId="1" fillId="0" borderId="0" xfId="4" quotePrefix="1" applyFont="1"/>
    <xf numFmtId="169" fontId="29" fillId="0" borderId="0" xfId="3" applyNumberFormat="1" applyFont="1" applyAlignment="1">
      <alignment vertical="center"/>
    </xf>
    <xf numFmtId="9" fontId="24" fillId="0" borderId="0" xfId="3" applyFont="1" applyAlignment="1">
      <alignment vertical="center"/>
    </xf>
    <xf numFmtId="167" fontId="24" fillId="0" borderId="0" xfId="2" applyNumberFormat="1" applyFont="1" applyAlignment="1">
      <alignment vertical="center"/>
    </xf>
    <xf numFmtId="16" fontId="24" fillId="0" borderId="0" xfId="0" quotePrefix="1" applyNumberFormat="1" applyFont="1" applyAlignment="1">
      <alignment horizontal="right" vertical="center"/>
    </xf>
    <xf numFmtId="10" fontId="24" fillId="0" borderId="0" xfId="0" applyNumberFormat="1" applyFont="1">
      <alignment vertical="center"/>
    </xf>
    <xf numFmtId="2" fontId="24" fillId="0" borderId="0" xfId="0" applyNumberFormat="1" applyFont="1">
      <alignment vertical="center"/>
    </xf>
    <xf numFmtId="0" fontId="61" fillId="0" borderId="0" xfId="16" applyFont="1"/>
    <xf numFmtId="167" fontId="61" fillId="0" borderId="0" xfId="16" applyNumberFormat="1" applyFont="1"/>
    <xf numFmtId="0" fontId="62" fillId="0" borderId="0" xfId="16" applyFont="1"/>
    <xf numFmtId="0" fontId="62" fillId="0" borderId="0" xfId="16" applyFont="1" applyAlignment="1">
      <alignment horizontal="center"/>
    </xf>
    <xf numFmtId="0" fontId="62" fillId="0" borderId="0" xfId="16" applyFont="1" applyAlignment="1">
      <alignment horizontal="right"/>
    </xf>
    <xf numFmtId="0" fontId="63" fillId="0" borderId="0" xfId="16" applyFont="1"/>
    <xf numFmtId="167" fontId="61" fillId="0" borderId="1" xfId="16" applyNumberFormat="1" applyFont="1" applyBorder="1"/>
    <xf numFmtId="167" fontId="61" fillId="0" borderId="13" xfId="16" applyNumberFormat="1" applyFont="1" applyBorder="1"/>
    <xf numFmtId="167" fontId="62" fillId="0" borderId="52" xfId="16" applyNumberFormat="1" applyFont="1" applyBorder="1"/>
    <xf numFmtId="167" fontId="24" fillId="0" borderId="0" xfId="0" applyNumberFormat="1" applyFont="1">
      <alignment vertical="center"/>
    </xf>
    <xf numFmtId="170" fontId="18" fillId="0" borderId="0" xfId="2" applyNumberFormat="1" applyFont="1" applyAlignment="1">
      <alignment vertical="center"/>
    </xf>
    <xf numFmtId="0" fontId="25" fillId="0" borderId="0" xfId="0" applyFont="1" applyAlignment="1">
      <alignment vertical="center" wrapText="1"/>
    </xf>
    <xf numFmtId="10" fontId="25" fillId="0" borderId="0" xfId="3" applyNumberFormat="1" applyFont="1" applyAlignment="1">
      <alignment vertical="center"/>
    </xf>
    <xf numFmtId="44" fontId="25" fillId="0" borderId="0" xfId="2" applyFont="1" applyAlignment="1">
      <alignment vertical="center"/>
    </xf>
    <xf numFmtId="9" fontId="61" fillId="0" borderId="0" xfId="3" applyFont="1"/>
    <xf numFmtId="9" fontId="61" fillId="0" borderId="0" xfId="3" applyFont="1" applyAlignment="1">
      <alignment horizontal="left"/>
    </xf>
    <xf numFmtId="167" fontId="61" fillId="0" borderId="0" xfId="2" applyNumberFormat="1" applyFont="1"/>
    <xf numFmtId="9" fontId="61" fillId="0" borderId="0" xfId="16" applyNumberFormat="1" applyFont="1"/>
    <xf numFmtId="167" fontId="62" fillId="0" borderId="0" xfId="2" applyNumberFormat="1" applyFont="1"/>
    <xf numFmtId="0" fontId="62" fillId="0" borderId="1" xfId="16" applyFont="1" applyBorder="1"/>
    <xf numFmtId="167" fontId="61" fillId="0" borderId="1" xfId="2" applyNumberFormat="1" applyFont="1" applyBorder="1"/>
    <xf numFmtId="0" fontId="61" fillId="0" borderId="1" xfId="16" applyFont="1" applyBorder="1"/>
    <xf numFmtId="0" fontId="64" fillId="0" borderId="1" xfId="16" applyFont="1" applyBorder="1"/>
    <xf numFmtId="0" fontId="66" fillId="16" borderId="1" xfId="0" applyFont="1" applyFill="1" applyBorder="1">
      <alignment vertical="center"/>
    </xf>
    <xf numFmtId="0" fontId="67" fillId="16" borderId="1" xfId="0" applyFont="1" applyFill="1" applyBorder="1">
      <alignment vertical="center"/>
    </xf>
    <xf numFmtId="0" fontId="67" fillId="0" borderId="0" xfId="0" applyFont="1">
      <alignment vertical="center"/>
    </xf>
    <xf numFmtId="0" fontId="66" fillId="0" borderId="0" xfId="0" applyFont="1">
      <alignment vertical="center"/>
    </xf>
    <xf numFmtId="0" fontId="68" fillId="12" borderId="0" xfId="0" applyFont="1" applyFill="1" applyAlignment="1">
      <alignment horizontal="center" vertical="center"/>
    </xf>
    <xf numFmtId="0" fontId="69" fillId="0" borderId="0" xfId="0" applyFont="1">
      <alignment vertical="center"/>
    </xf>
    <xf numFmtId="0" fontId="66" fillId="15" borderId="2" xfId="0" applyFont="1" applyFill="1" applyBorder="1">
      <alignment vertical="center"/>
    </xf>
    <xf numFmtId="0" fontId="67" fillId="15" borderId="3" xfId="0" applyFont="1" applyFill="1" applyBorder="1">
      <alignment vertical="center"/>
    </xf>
    <xf numFmtId="0" fontId="66" fillId="20" borderId="10" xfId="0" applyFont="1" applyFill="1" applyBorder="1">
      <alignment vertical="center"/>
    </xf>
    <xf numFmtId="0" fontId="67" fillId="20" borderId="11" xfId="0" applyFont="1" applyFill="1" applyBorder="1">
      <alignment vertical="center"/>
    </xf>
    <xf numFmtId="0" fontId="67" fillId="20" borderId="12" xfId="0" applyFont="1" applyFill="1" applyBorder="1">
      <alignment vertical="center"/>
    </xf>
    <xf numFmtId="0" fontId="66" fillId="15" borderId="3" xfId="0" applyFont="1" applyFill="1" applyBorder="1">
      <alignment vertical="center"/>
    </xf>
    <xf numFmtId="0" fontId="67" fillId="15" borderId="4" xfId="0" applyFont="1" applyFill="1" applyBorder="1">
      <alignment vertical="center"/>
    </xf>
    <xf numFmtId="0" fontId="67" fillId="15" borderId="3" xfId="0" applyFont="1" applyFill="1" applyBorder="1" applyAlignment="1">
      <alignment horizontal="left" vertical="center"/>
    </xf>
    <xf numFmtId="9" fontId="70" fillId="15" borderId="4" xfId="3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  <xf numFmtId="0" fontId="68" fillId="18" borderId="0" xfId="0" applyFont="1" applyFill="1" applyAlignment="1">
      <alignment vertical="center" wrapText="1"/>
    </xf>
    <xf numFmtId="0" fontId="68" fillId="19" borderId="22" xfId="0" applyFont="1" applyFill="1" applyBorder="1" applyAlignment="1">
      <alignment horizontal="left" vertical="center" wrapText="1"/>
    </xf>
    <xf numFmtId="0" fontId="68" fillId="19" borderId="5" xfId="0" applyFont="1" applyFill="1" applyBorder="1" applyAlignment="1">
      <alignment horizontal="left" vertical="center" wrapText="1"/>
    </xf>
    <xf numFmtId="0" fontId="68" fillId="19" borderId="0" xfId="0" applyFont="1" applyFill="1" applyAlignment="1">
      <alignment horizontal="left" vertical="center" wrapText="1"/>
    </xf>
    <xf numFmtId="0" fontId="68" fillId="19" borderId="6" xfId="0" applyFont="1" applyFill="1" applyBorder="1" applyAlignment="1">
      <alignment horizontal="left" vertical="center" wrapText="1"/>
    </xf>
    <xf numFmtId="0" fontId="68" fillId="19" borderId="11" xfId="0" applyFont="1" applyFill="1" applyBorder="1" applyAlignment="1">
      <alignment horizontal="left" vertical="center" wrapText="1"/>
    </xf>
    <xf numFmtId="0" fontId="68" fillId="19" borderId="12" xfId="0" applyFont="1" applyFill="1" applyBorder="1" applyAlignment="1">
      <alignment horizontal="left" vertical="center" wrapText="1"/>
    </xf>
    <xf numFmtId="0" fontId="68" fillId="19" borderId="10" xfId="0" applyFont="1" applyFill="1" applyBorder="1" applyAlignment="1">
      <alignment horizontal="left" vertical="center" wrapText="1"/>
    </xf>
    <xf numFmtId="0" fontId="68" fillId="0" borderId="0" xfId="0" applyFont="1" applyAlignment="1">
      <alignment horizontal="left" vertical="center" wrapText="1"/>
    </xf>
    <xf numFmtId="164" fontId="69" fillId="19" borderId="10" xfId="1" applyNumberFormat="1" applyFont="1" applyFill="1" applyBorder="1" applyAlignment="1">
      <alignment horizontal="center" vertical="center"/>
    </xf>
    <xf numFmtId="164" fontId="69" fillId="19" borderId="11" xfId="1" applyNumberFormat="1" applyFont="1" applyFill="1" applyBorder="1" applyAlignment="1">
      <alignment horizontal="center" vertical="center"/>
    </xf>
    <xf numFmtId="164" fontId="69" fillId="19" borderId="12" xfId="1" applyNumberFormat="1" applyFont="1" applyFill="1" applyBorder="1" applyAlignment="1">
      <alignment horizontal="center" vertical="center"/>
    </xf>
    <xf numFmtId="0" fontId="68" fillId="17" borderId="0" xfId="0" applyFont="1" applyFill="1" applyAlignment="1">
      <alignment horizontal="center" vertical="center" wrapText="1"/>
    </xf>
    <xf numFmtId="0" fontId="67" fillId="0" borderId="23" xfId="0" applyFont="1" applyBorder="1">
      <alignment vertical="center"/>
    </xf>
    <xf numFmtId="0" fontId="70" fillId="0" borderId="5" xfId="0" applyFont="1" applyBorder="1">
      <alignment vertical="center"/>
    </xf>
    <xf numFmtId="10" fontId="72" fillId="0" borderId="0" xfId="3" applyNumberFormat="1" applyFont="1" applyAlignment="1">
      <alignment vertical="center"/>
    </xf>
    <xf numFmtId="9" fontId="70" fillId="0" borderId="0" xfId="3" applyFont="1" applyAlignment="1">
      <alignment vertical="center"/>
    </xf>
    <xf numFmtId="0" fontId="70" fillId="0" borderId="5" xfId="0" applyFont="1" applyBorder="1" applyAlignment="1">
      <alignment horizontal="center" vertical="center"/>
    </xf>
    <xf numFmtId="44" fontId="70" fillId="0" borderId="0" xfId="2" applyFont="1" applyAlignment="1">
      <alignment vertical="center"/>
    </xf>
    <xf numFmtId="44" fontId="70" fillId="0" borderId="6" xfId="2" applyFont="1" applyBorder="1" applyAlignment="1">
      <alignment vertical="center"/>
    </xf>
    <xf numFmtId="43" fontId="70" fillId="0" borderId="0" xfId="1" applyFont="1" applyAlignment="1">
      <alignment horizontal="center" vertical="center"/>
    </xf>
    <xf numFmtId="43" fontId="70" fillId="0" borderId="6" xfId="1" applyFont="1" applyBorder="1" applyAlignment="1">
      <alignment horizontal="center" vertical="center"/>
    </xf>
    <xf numFmtId="166" fontId="70" fillId="0" borderId="5" xfId="3" applyNumberFormat="1" applyFont="1" applyBorder="1" applyAlignment="1">
      <alignment vertical="center"/>
    </xf>
    <xf numFmtId="10" fontId="70" fillId="0" borderId="5" xfId="3" applyNumberFormat="1" applyFont="1" applyBorder="1" applyAlignment="1">
      <alignment vertical="center"/>
    </xf>
    <xf numFmtId="10" fontId="70" fillId="0" borderId="6" xfId="3" applyNumberFormat="1" applyFont="1" applyBorder="1" applyAlignment="1">
      <alignment vertical="center"/>
    </xf>
    <xf numFmtId="167" fontId="70" fillId="0" borderId="5" xfId="2" applyNumberFormat="1" applyFont="1" applyBorder="1" applyAlignment="1">
      <alignment vertical="center"/>
    </xf>
    <xf numFmtId="167" fontId="70" fillId="0" borderId="0" xfId="2" applyNumberFormat="1" applyFont="1" applyAlignment="1">
      <alignment vertical="center"/>
    </xf>
    <xf numFmtId="167" fontId="70" fillId="0" borderId="6" xfId="2" applyNumberFormat="1" applyFont="1" applyBorder="1" applyAlignment="1">
      <alignment vertical="center"/>
    </xf>
    <xf numFmtId="167" fontId="70" fillId="0" borderId="0" xfId="2" applyNumberFormat="1" applyFont="1" applyAlignment="1">
      <alignment horizontal="left" vertical="center"/>
    </xf>
    <xf numFmtId="10" fontId="67" fillId="0" borderId="5" xfId="3" applyNumberFormat="1" applyFont="1" applyBorder="1" applyAlignment="1">
      <alignment vertical="center"/>
    </xf>
    <xf numFmtId="164" fontId="67" fillId="0" borderId="0" xfId="1" applyNumberFormat="1" applyFont="1">
      <alignment vertical="center"/>
    </xf>
    <xf numFmtId="10" fontId="67" fillId="0" borderId="0" xfId="3" applyNumberFormat="1" applyFont="1" applyAlignment="1">
      <alignment vertical="center"/>
    </xf>
    <xf numFmtId="10" fontId="67" fillId="0" borderId="6" xfId="3" applyNumberFormat="1" applyFont="1" applyBorder="1" applyAlignment="1">
      <alignment vertical="center"/>
    </xf>
    <xf numFmtId="0" fontId="67" fillId="0" borderId="0" xfId="0" applyFont="1" applyAlignment="1">
      <alignment horizontal="center" vertical="center"/>
    </xf>
    <xf numFmtId="164" fontId="70" fillId="0" borderId="0" xfId="1" applyNumberFormat="1" applyFont="1">
      <alignment vertical="center"/>
    </xf>
    <xf numFmtId="0" fontId="67" fillId="0" borderId="5" xfId="0" applyFont="1" applyBorder="1">
      <alignment vertical="center"/>
    </xf>
    <xf numFmtId="0" fontId="67" fillId="0" borderId="6" xfId="0" applyFont="1" applyBorder="1">
      <alignment vertical="center"/>
    </xf>
    <xf numFmtId="44" fontId="70" fillId="0" borderId="6" xfId="2" applyFont="1" applyBorder="1" applyAlignment="1">
      <alignment horizontal="center" vertical="center"/>
    </xf>
    <xf numFmtId="9" fontId="70" fillId="0" borderId="6" xfId="3" applyFont="1" applyBorder="1" applyAlignment="1">
      <alignment vertical="center"/>
    </xf>
    <xf numFmtId="9" fontId="72" fillId="0" borderId="0" xfId="0" applyNumberFormat="1" applyFont="1">
      <alignment vertical="center"/>
    </xf>
    <xf numFmtId="9" fontId="72" fillId="0" borderId="6" xfId="0" applyNumberFormat="1" applyFont="1" applyBorder="1">
      <alignment vertical="center"/>
    </xf>
    <xf numFmtId="164" fontId="72" fillId="0" borderId="0" xfId="1" applyNumberFormat="1" applyFont="1">
      <alignment vertical="center"/>
    </xf>
    <xf numFmtId="0" fontId="67" fillId="0" borderId="24" xfId="0" applyFont="1" applyBorder="1">
      <alignment vertical="center"/>
    </xf>
    <xf numFmtId="0" fontId="67" fillId="0" borderId="7" xfId="0" applyFont="1" applyBorder="1">
      <alignment vertical="center"/>
    </xf>
    <xf numFmtId="0" fontId="67" fillId="0" borderId="8" xfId="0" applyFont="1" applyBorder="1">
      <alignment vertical="center"/>
    </xf>
    <xf numFmtId="0" fontId="70" fillId="0" borderId="7" xfId="0" applyFont="1" applyBorder="1" applyAlignment="1">
      <alignment horizontal="center" vertical="center"/>
    </xf>
    <xf numFmtId="9" fontId="72" fillId="0" borderId="8" xfId="0" applyNumberFormat="1" applyFont="1" applyBorder="1">
      <alignment vertical="center"/>
    </xf>
    <xf numFmtId="9" fontId="72" fillId="0" borderId="9" xfId="0" applyNumberFormat="1" applyFont="1" applyBorder="1">
      <alignment vertical="center"/>
    </xf>
    <xf numFmtId="43" fontId="70" fillId="0" borderId="8" xfId="1" applyFont="1" applyBorder="1" applyAlignment="1">
      <alignment horizontal="center" vertical="center"/>
    </xf>
    <xf numFmtId="43" fontId="70" fillId="0" borderId="9" xfId="1" applyFont="1" applyBorder="1" applyAlignment="1">
      <alignment horizontal="center" vertical="center"/>
    </xf>
    <xf numFmtId="166" fontId="70" fillId="0" borderId="7" xfId="3" applyNumberFormat="1" applyFont="1" applyBorder="1" applyAlignment="1">
      <alignment vertical="center"/>
    </xf>
    <xf numFmtId="10" fontId="70" fillId="0" borderId="7" xfId="3" applyNumberFormat="1" applyFont="1" applyBorder="1" applyAlignment="1">
      <alignment vertical="center"/>
    </xf>
    <xf numFmtId="10" fontId="70" fillId="0" borderId="9" xfId="3" applyNumberFormat="1" applyFont="1" applyBorder="1" applyAlignment="1">
      <alignment vertical="center"/>
    </xf>
    <xf numFmtId="167" fontId="70" fillId="0" borderId="7" xfId="2" applyNumberFormat="1" applyFont="1" applyBorder="1" applyAlignment="1">
      <alignment vertical="center"/>
    </xf>
    <xf numFmtId="167" fontId="70" fillId="0" borderId="8" xfId="2" applyNumberFormat="1" applyFont="1" applyBorder="1" applyAlignment="1">
      <alignment vertical="center"/>
    </xf>
    <xf numFmtId="167" fontId="70" fillId="0" borderId="9" xfId="2" applyNumberFormat="1" applyFont="1" applyBorder="1" applyAlignment="1">
      <alignment vertical="center"/>
    </xf>
    <xf numFmtId="10" fontId="67" fillId="0" borderId="7" xfId="3" applyNumberFormat="1" applyFont="1" applyBorder="1" applyAlignment="1">
      <alignment vertical="center"/>
    </xf>
    <xf numFmtId="0" fontId="67" fillId="0" borderId="9" xfId="0" applyFont="1" applyBorder="1">
      <alignment vertical="center"/>
    </xf>
    <xf numFmtId="0" fontId="73" fillId="0" borderId="0" xfId="0" applyFont="1">
      <alignment vertical="center"/>
    </xf>
    <xf numFmtId="164" fontId="66" fillId="0" borderId="0" xfId="0" applyNumberFormat="1" applyFont="1">
      <alignment vertical="center"/>
    </xf>
    <xf numFmtId="10" fontId="66" fillId="0" borderId="0" xfId="3" applyNumberFormat="1" applyFont="1" applyAlignment="1">
      <alignment vertical="center"/>
    </xf>
    <xf numFmtId="0" fontId="66" fillId="15" borderId="1" xfId="0" applyFont="1" applyFill="1" applyBorder="1" applyAlignment="1">
      <alignment horizontal="left" vertical="center"/>
    </xf>
    <xf numFmtId="0" fontId="67" fillId="15" borderId="1" xfId="0" applyFont="1" applyFill="1" applyBorder="1">
      <alignment vertical="center"/>
    </xf>
    <xf numFmtId="9" fontId="73" fillId="0" borderId="0" xfId="0" applyNumberFormat="1" applyFont="1">
      <alignment vertical="center"/>
    </xf>
    <xf numFmtId="0" fontId="68" fillId="19" borderId="0" xfId="0" applyFont="1" applyFill="1">
      <alignment vertical="center"/>
    </xf>
    <xf numFmtId="0" fontId="68" fillId="19" borderId="13" xfId="0" applyFont="1" applyFill="1" applyBorder="1">
      <alignment vertical="center"/>
    </xf>
    <xf numFmtId="0" fontId="70" fillId="0" borderId="0" xfId="0" applyFont="1">
      <alignment vertical="center"/>
    </xf>
    <xf numFmtId="10" fontId="70" fillId="0" borderId="0" xfId="3" applyNumberFormat="1" applyFont="1" applyAlignment="1">
      <alignment vertical="center"/>
    </xf>
    <xf numFmtId="0" fontId="67" fillId="0" borderId="0" xfId="0" applyFont="1" applyAlignment="1">
      <alignment vertical="center" wrapText="1"/>
    </xf>
    <xf numFmtId="164" fontId="67" fillId="0" borderId="0" xfId="0" applyNumberFormat="1" applyFont="1">
      <alignment vertical="center"/>
    </xf>
    <xf numFmtId="167" fontId="67" fillId="0" borderId="0" xfId="2" applyNumberFormat="1" applyFont="1" applyAlignment="1">
      <alignment vertical="center"/>
    </xf>
    <xf numFmtId="44" fontId="67" fillId="0" borderId="0" xfId="2" applyFont="1" applyAlignment="1">
      <alignment vertical="center"/>
    </xf>
    <xf numFmtId="9" fontId="67" fillId="0" borderId="13" xfId="3" applyFont="1" applyBorder="1" applyAlignment="1">
      <alignment vertical="center"/>
    </xf>
    <xf numFmtId="0" fontId="72" fillId="0" borderId="0" xfId="0" applyFont="1">
      <alignment vertical="center"/>
    </xf>
    <xf numFmtId="0" fontId="68" fillId="0" borderId="13" xfId="0" applyFont="1" applyBorder="1">
      <alignment vertical="center"/>
    </xf>
    <xf numFmtId="164" fontId="68" fillId="0" borderId="0" xfId="1" applyNumberFormat="1" applyFont="1">
      <alignment vertical="center"/>
    </xf>
    <xf numFmtId="9" fontId="67" fillId="0" borderId="13" xfId="0" applyNumberFormat="1" applyFont="1" applyBorder="1">
      <alignment vertical="center"/>
    </xf>
    <xf numFmtId="9" fontId="67" fillId="0" borderId="0" xfId="0" applyNumberFormat="1" applyFont="1">
      <alignment vertical="center"/>
    </xf>
    <xf numFmtId="0" fontId="66" fillId="15" borderId="1" xfId="0" applyFont="1" applyFill="1" applyBorder="1">
      <alignment vertical="center"/>
    </xf>
    <xf numFmtId="0" fontId="68" fillId="19" borderId="0" xfId="0" applyFont="1" applyFill="1" applyAlignment="1">
      <alignment horizontal="center" vertical="center"/>
    </xf>
    <xf numFmtId="0" fontId="68" fillId="18" borderId="0" xfId="0" applyFont="1" applyFill="1" applyAlignment="1">
      <alignment horizontal="left" vertical="center"/>
    </xf>
    <xf numFmtId="0" fontId="68" fillId="18" borderId="0" xfId="0" applyFont="1" applyFill="1">
      <alignment vertical="center"/>
    </xf>
    <xf numFmtId="0" fontId="68" fillId="19" borderId="1" xfId="0" applyFont="1" applyFill="1" applyBorder="1">
      <alignment vertical="center"/>
    </xf>
    <xf numFmtId="44" fontId="67" fillId="0" borderId="0" xfId="0" applyNumberFormat="1" applyFont="1">
      <alignment vertical="center"/>
    </xf>
    <xf numFmtId="166" fontId="70" fillId="0" borderId="0" xfId="3" applyNumberFormat="1" applyFont="1" applyAlignment="1">
      <alignment vertical="center"/>
    </xf>
    <xf numFmtId="165" fontId="67" fillId="0" borderId="0" xfId="1" applyNumberFormat="1" applyFont="1">
      <alignment vertical="center"/>
    </xf>
    <xf numFmtId="165" fontId="66" fillId="0" borderId="0" xfId="1" applyNumberFormat="1" applyFont="1">
      <alignment vertical="center"/>
    </xf>
    <xf numFmtId="10" fontId="74" fillId="0" borderId="0" xfId="3" applyNumberFormat="1" applyFont="1" applyAlignment="1">
      <alignment vertical="center"/>
    </xf>
    <xf numFmtId="166" fontId="72" fillId="0" borderId="0" xfId="0" applyNumberFormat="1" applyFont="1">
      <alignment vertical="center"/>
    </xf>
    <xf numFmtId="0" fontId="69" fillId="19" borderId="0" xfId="0" applyFont="1" applyFill="1" applyAlignment="1">
      <alignment horizontal="left" vertical="center"/>
    </xf>
    <xf numFmtId="0" fontId="67" fillId="2" borderId="0" xfId="0" applyFont="1" applyFill="1">
      <alignment vertical="center"/>
    </xf>
    <xf numFmtId="9" fontId="72" fillId="0" borderId="0" xfId="3" applyFont="1" applyAlignment="1">
      <alignment vertical="center"/>
    </xf>
    <xf numFmtId="0" fontId="70" fillId="0" borderId="0" xfId="0" applyFont="1" applyAlignment="1">
      <alignment horizontal="left" vertical="center"/>
    </xf>
    <xf numFmtId="164" fontId="67" fillId="2" borderId="0" xfId="1" applyNumberFormat="1" applyFont="1" applyFill="1">
      <alignment vertical="center"/>
    </xf>
    <xf numFmtId="0" fontId="67" fillId="0" borderId="0" xfId="0" quotePrefix="1" applyFont="1">
      <alignment vertical="center"/>
    </xf>
    <xf numFmtId="9" fontId="70" fillId="19" borderId="0" xfId="3" applyFont="1" applyFill="1" applyAlignment="1">
      <alignment vertical="center"/>
    </xf>
    <xf numFmtId="0" fontId="68" fillId="19" borderId="0" xfId="0" applyFont="1" applyFill="1" applyAlignment="1">
      <alignment horizontal="right" vertical="center"/>
    </xf>
    <xf numFmtId="164" fontId="67" fillId="0" borderId="1" xfId="1" applyNumberFormat="1" applyFont="1" applyBorder="1">
      <alignment vertical="center"/>
    </xf>
    <xf numFmtId="0" fontId="67" fillId="19" borderId="0" xfId="0" applyFont="1" applyFill="1">
      <alignment vertical="center"/>
    </xf>
    <xf numFmtId="165" fontId="70" fillId="0" borderId="0" xfId="1" applyNumberFormat="1" applyFont="1">
      <alignment vertical="center"/>
    </xf>
    <xf numFmtId="0" fontId="67" fillId="2" borderId="0" xfId="0" quotePrefix="1" applyFont="1" applyFill="1">
      <alignment vertical="center"/>
    </xf>
    <xf numFmtId="167" fontId="67" fillId="0" borderId="0" xfId="0" applyNumberFormat="1" applyFont="1">
      <alignment vertical="center"/>
    </xf>
    <xf numFmtId="0" fontId="75" fillId="0" borderId="0" xfId="0" applyFont="1">
      <alignment vertical="center"/>
    </xf>
    <xf numFmtId="0" fontId="75" fillId="0" borderId="0" xfId="0" applyFont="1" applyAlignment="1">
      <alignment horizontal="left" vertical="center" indent="1"/>
    </xf>
    <xf numFmtId="0" fontId="76" fillId="0" borderId="0" xfId="0" applyFont="1" applyAlignment="1">
      <alignment horizontal="left" vertical="center" indent="1"/>
    </xf>
    <xf numFmtId="0" fontId="77" fillId="0" borderId="0" xfId="17" applyFont="1">
      <alignment vertical="center"/>
    </xf>
    <xf numFmtId="9" fontId="67" fillId="0" borderId="0" xfId="3" applyFont="1" applyAlignment="1">
      <alignment vertical="center"/>
    </xf>
    <xf numFmtId="0" fontId="66" fillId="0" borderId="23" xfId="0" applyFont="1" applyBorder="1">
      <alignment vertical="center"/>
    </xf>
    <xf numFmtId="167" fontId="70" fillId="0" borderId="24" xfId="2" applyNumberFormat="1" applyFont="1" applyBorder="1" applyAlignment="1">
      <alignment vertical="center"/>
    </xf>
    <xf numFmtId="9" fontId="78" fillId="0" borderId="0" xfId="0" applyNumberFormat="1" applyFont="1">
      <alignment vertical="center"/>
    </xf>
    <xf numFmtId="167" fontId="66" fillId="0" borderId="0" xfId="2" applyNumberFormat="1" applyFont="1" applyAlignment="1">
      <alignment vertical="center"/>
    </xf>
    <xf numFmtId="0" fontId="68" fillId="0" borderId="0" xfId="0" applyFont="1">
      <alignment vertical="center"/>
    </xf>
    <xf numFmtId="0" fontId="29" fillId="0" borderId="0" xfId="0" quotePrefix="1" applyFont="1">
      <alignment vertical="center"/>
    </xf>
    <xf numFmtId="0" fontId="67" fillId="0" borderId="1" xfId="0" applyFont="1" applyBorder="1">
      <alignment vertical="center"/>
    </xf>
    <xf numFmtId="0" fontId="70" fillId="0" borderId="1" xfId="0" applyFont="1" applyBorder="1">
      <alignment vertical="center"/>
    </xf>
    <xf numFmtId="44" fontId="70" fillId="0" borderId="1" xfId="2" applyFont="1" applyBorder="1" applyAlignment="1">
      <alignment vertical="center"/>
    </xf>
    <xf numFmtId="167" fontId="70" fillId="0" borderId="1" xfId="2" applyNumberFormat="1" applyFont="1" applyBorder="1" applyAlignment="1">
      <alignment vertical="center"/>
    </xf>
    <xf numFmtId="167" fontId="67" fillId="0" borderId="1" xfId="2" applyNumberFormat="1" applyFont="1" applyBorder="1" applyAlignment="1">
      <alignment vertical="center"/>
    </xf>
    <xf numFmtId="0" fontId="67" fillId="0" borderId="1" xfId="0" applyFont="1" applyBorder="1" applyAlignment="1">
      <alignment horizontal="left" vertical="center" indent="2"/>
    </xf>
    <xf numFmtId="9" fontId="70" fillId="0" borderId="1" xfId="3" applyFont="1" applyBorder="1" applyAlignment="1">
      <alignment vertical="center"/>
    </xf>
    <xf numFmtId="167" fontId="67" fillId="16" borderId="0" xfId="0" applyNumberFormat="1" applyFont="1" applyFill="1">
      <alignment vertical="center"/>
    </xf>
    <xf numFmtId="0" fontId="67" fillId="0" borderId="31" xfId="0" applyFont="1" applyBorder="1">
      <alignment vertical="center"/>
    </xf>
    <xf numFmtId="0" fontId="66" fillId="0" borderId="0" xfId="0" applyFont="1" applyAlignment="1">
      <alignment horizontal="right" vertical="center"/>
    </xf>
    <xf numFmtId="0" fontId="67" fillId="10" borderId="0" xfId="0" applyFont="1" applyFill="1">
      <alignment vertical="center"/>
    </xf>
    <xf numFmtId="0" fontId="79" fillId="0" borderId="0" xfId="0" applyFont="1">
      <alignment vertical="center"/>
    </xf>
    <xf numFmtId="167" fontId="79" fillId="0" borderId="0" xfId="0" applyNumberFormat="1" applyFont="1">
      <alignment vertical="center"/>
    </xf>
    <xf numFmtId="0" fontId="66" fillId="0" borderId="53" xfId="0" applyFont="1" applyBorder="1" applyAlignment="1">
      <alignment horizontal="right" vertical="center"/>
    </xf>
    <xf numFmtId="167" fontId="66" fillId="0" borderId="53" xfId="0" applyNumberFormat="1" applyFont="1" applyBorder="1">
      <alignment vertical="center"/>
    </xf>
    <xf numFmtId="0" fontId="68" fillId="30" borderId="0" xfId="0" applyFont="1" applyFill="1">
      <alignment vertical="center"/>
    </xf>
    <xf numFmtId="0" fontId="67" fillId="30" borderId="0" xfId="0" applyFont="1" applyFill="1">
      <alignment vertical="center"/>
    </xf>
    <xf numFmtId="0" fontId="68" fillId="30" borderId="0" xfId="0" applyFont="1" applyFill="1" applyAlignment="1">
      <alignment horizontal="center" vertical="center"/>
    </xf>
    <xf numFmtId="0" fontId="68" fillId="30" borderId="0" xfId="0" applyFont="1" applyFill="1" applyAlignment="1">
      <alignment vertical="center" wrapText="1"/>
    </xf>
    <xf numFmtId="0" fontId="68" fillId="30" borderId="0" xfId="0" applyFont="1" applyFill="1" applyAlignment="1">
      <alignment horizontal="left" vertical="center"/>
    </xf>
    <xf numFmtId="0" fontId="67" fillId="0" borderId="0" xfId="0" applyFont="1" applyAlignment="1">
      <alignment horizontal="left" vertical="center" indent="1"/>
    </xf>
    <xf numFmtId="0" fontId="71" fillId="0" borderId="0" xfId="0" applyFont="1" applyAlignment="1">
      <alignment horizontal="left" vertical="center" indent="1"/>
    </xf>
    <xf numFmtId="0" fontId="80" fillId="0" borderId="0" xfId="17" applyFont="1">
      <alignment vertical="center"/>
    </xf>
    <xf numFmtId="0" fontId="61" fillId="0" borderId="1" xfId="0" applyFont="1" applyBorder="1">
      <alignment vertical="center"/>
    </xf>
    <xf numFmtId="164" fontId="67" fillId="0" borderId="1" xfId="0" applyNumberFormat="1" applyFont="1" applyBorder="1">
      <alignment vertical="center"/>
    </xf>
    <xf numFmtId="44" fontId="67" fillId="0" borderId="1" xfId="2" applyFont="1" applyBorder="1" applyAlignment="1">
      <alignment vertical="center"/>
    </xf>
    <xf numFmtId="0" fontId="68" fillId="30" borderId="0" xfId="0" applyFont="1" applyFill="1" applyAlignment="1">
      <alignment horizontal="center" vertical="center" wrapText="1"/>
    </xf>
    <xf numFmtId="0" fontId="67" fillId="0" borderId="1" xfId="0" applyFont="1" applyBorder="1" applyAlignment="1">
      <alignment horizontal="center" vertical="center"/>
    </xf>
    <xf numFmtId="164" fontId="70" fillId="0" borderId="1" xfId="1" applyNumberFormat="1" applyFont="1" applyBorder="1">
      <alignment vertical="center"/>
    </xf>
    <xf numFmtId="0" fontId="70" fillId="0" borderId="0" xfId="0" applyFont="1" applyAlignment="1">
      <alignment horizontal="center" vertical="center"/>
    </xf>
    <xf numFmtId="0" fontId="61" fillId="0" borderId="0" xfId="0" applyFont="1">
      <alignment vertical="center"/>
    </xf>
    <xf numFmtId="0" fontId="61" fillId="29" borderId="54" xfId="0" applyFont="1" applyFill="1" applyBorder="1" applyAlignment="1">
      <alignment horizontal="left" vertical="center" wrapText="1"/>
    </xf>
    <xf numFmtId="0" fontId="70" fillId="29" borderId="54" xfId="0" applyFont="1" applyFill="1" applyBorder="1">
      <alignment vertical="center"/>
    </xf>
    <xf numFmtId="0" fontId="67" fillId="29" borderId="54" xfId="0" applyFont="1" applyFill="1" applyBorder="1">
      <alignment vertical="center"/>
    </xf>
    <xf numFmtId="10" fontId="72" fillId="29" borderId="54" xfId="3" applyNumberFormat="1" applyFont="1" applyFill="1" applyBorder="1" applyAlignment="1">
      <alignment vertical="center"/>
    </xf>
    <xf numFmtId="9" fontId="70" fillId="29" borderId="54" xfId="3" applyFont="1" applyFill="1" applyBorder="1" applyAlignment="1">
      <alignment vertical="center"/>
    </xf>
    <xf numFmtId="0" fontId="61" fillId="0" borderId="54" xfId="0" applyFont="1" applyBorder="1" applyAlignment="1">
      <alignment horizontal="left" vertical="center" wrapText="1"/>
    </xf>
    <xf numFmtId="0" fontId="70" fillId="0" borderId="54" xfId="0" applyFont="1" applyBorder="1" applyAlignment="1">
      <alignment horizontal="right" vertical="center"/>
    </xf>
    <xf numFmtId="0" fontId="70" fillId="0" borderId="54" xfId="0" applyFont="1" applyBorder="1" applyAlignment="1">
      <alignment horizontal="center" vertical="center"/>
    </xf>
    <xf numFmtId="44" fontId="70" fillId="0" borderId="54" xfId="2" applyFont="1" applyBorder="1" applyAlignment="1">
      <alignment horizontal="right" vertical="center"/>
    </xf>
    <xf numFmtId="44" fontId="70" fillId="0" borderId="54" xfId="2" applyFont="1" applyBorder="1" applyAlignment="1">
      <alignment vertical="center"/>
    </xf>
    <xf numFmtId="44" fontId="70" fillId="0" borderId="54" xfId="2" applyFont="1" applyBorder="1" applyAlignment="1">
      <alignment horizontal="center" vertical="center"/>
    </xf>
    <xf numFmtId="9" fontId="70" fillId="0" borderId="54" xfId="3" applyFont="1" applyBorder="1" applyAlignment="1">
      <alignment vertical="center"/>
    </xf>
    <xf numFmtId="9" fontId="72" fillId="0" borderId="54" xfId="0" applyNumberFormat="1" applyFont="1" applyBorder="1">
      <alignment vertical="center"/>
    </xf>
    <xf numFmtId="43" fontId="70" fillId="29" borderId="54" xfId="1" applyFont="1" applyFill="1" applyBorder="1" applyAlignment="1">
      <alignment horizontal="center" vertical="center"/>
    </xf>
    <xf numFmtId="43" fontId="70" fillId="29" borderId="54" xfId="1" applyFont="1" applyFill="1" applyBorder="1" applyAlignment="1">
      <alignment horizontal="right" vertical="center"/>
    </xf>
    <xf numFmtId="166" fontId="70" fillId="0" borderId="54" xfId="3" applyNumberFormat="1" applyFont="1" applyBorder="1" applyAlignment="1">
      <alignment vertical="center"/>
    </xf>
    <xf numFmtId="10" fontId="70" fillId="29" borderId="54" xfId="3" applyNumberFormat="1" applyFont="1" applyFill="1" applyBorder="1" applyAlignment="1">
      <alignment vertical="center"/>
    </xf>
    <xf numFmtId="0" fontId="66" fillId="0" borderId="24" xfId="0" applyFont="1" applyBorder="1" applyAlignment="1">
      <alignment horizontal="center" vertical="center"/>
    </xf>
    <xf numFmtId="0" fontId="69" fillId="30" borderId="22" xfId="0" applyFont="1" applyFill="1" applyBorder="1" applyAlignment="1">
      <alignment horizontal="center" vertical="center"/>
    </xf>
    <xf numFmtId="0" fontId="69" fillId="30" borderId="22" xfId="0" applyFont="1" applyFill="1" applyBorder="1" applyAlignment="1">
      <alignment horizontal="center" vertical="center" wrapText="1"/>
    </xf>
    <xf numFmtId="0" fontId="67" fillId="0" borderId="0" xfId="4" applyFont="1"/>
    <xf numFmtId="44" fontId="67" fillId="0" borderId="0" xfId="6" applyFont="1"/>
    <xf numFmtId="164" fontId="67" fillId="0" borderId="0" xfId="5" applyNumberFormat="1" applyFont="1"/>
    <xf numFmtId="6" fontId="67" fillId="0" borderId="0" xfId="4" applyNumberFormat="1" applyFont="1"/>
    <xf numFmtId="43" fontId="67" fillId="0" borderId="0" xfId="5" applyFont="1"/>
    <xf numFmtId="0" fontId="66" fillId="0" borderId="0" xfId="4" applyFont="1"/>
    <xf numFmtId="0" fontId="68" fillId="30" borderId="1" xfId="4" applyFont="1" applyFill="1" applyBorder="1"/>
    <xf numFmtId="0" fontId="67" fillId="0" borderId="31" xfId="4" applyFont="1" applyBorder="1"/>
    <xf numFmtId="164" fontId="67" fillId="0" borderId="31" xfId="1" applyNumberFormat="1" applyFont="1" applyBorder="1" applyAlignment="1"/>
    <xf numFmtId="167" fontId="67" fillId="0" borderId="31" xfId="2" applyNumberFormat="1" applyFont="1" applyBorder="1"/>
    <xf numFmtId="44" fontId="67" fillId="0" borderId="31" xfId="2" applyFont="1" applyBorder="1"/>
    <xf numFmtId="44" fontId="66" fillId="0" borderId="0" xfId="2" applyFont="1"/>
    <xf numFmtId="0" fontId="68" fillId="30" borderId="0" xfId="4" applyFont="1" applyFill="1"/>
    <xf numFmtId="167" fontId="66" fillId="0" borderId="0" xfId="4" applyNumberFormat="1" applyFont="1"/>
    <xf numFmtId="0" fontId="67" fillId="0" borderId="1" xfId="4" applyFont="1" applyBorder="1"/>
    <xf numFmtId="167" fontId="67" fillId="0" borderId="1" xfId="2" applyNumberFormat="1" applyFont="1" applyBorder="1"/>
    <xf numFmtId="167" fontId="66" fillId="0" borderId="0" xfId="2" applyNumberFormat="1" applyFont="1"/>
    <xf numFmtId="164" fontId="67" fillId="0" borderId="1" xfId="1" applyNumberFormat="1" applyFont="1" applyBorder="1" applyAlignment="1"/>
    <xf numFmtId="0" fontId="69" fillId="30" borderId="22" xfId="0" applyFont="1" applyFill="1" applyBorder="1">
      <alignment vertical="center"/>
    </xf>
    <xf numFmtId="0" fontId="61" fillId="0" borderId="24" xfId="0" applyFont="1" applyBorder="1" applyAlignment="1">
      <alignment horizontal="left" vertical="center" wrapText="1"/>
    </xf>
    <xf numFmtId="10" fontId="70" fillId="29" borderId="54" xfId="3" applyNumberFormat="1" applyFont="1" applyFill="1" applyBorder="1" applyAlignment="1">
      <alignment horizontal="right" vertical="center"/>
    </xf>
    <xf numFmtId="0" fontId="67" fillId="0" borderId="0" xfId="0" applyFont="1" applyAlignment="1">
      <alignment vertical="top" wrapText="1"/>
    </xf>
    <xf numFmtId="0" fontId="67" fillId="0" borderId="0" xfId="0" applyFont="1" applyAlignment="1">
      <alignment vertical="top"/>
    </xf>
    <xf numFmtId="0" fontId="67" fillId="0" borderId="0" xfId="0" applyFont="1" applyAlignment="1">
      <alignment horizontal="right" vertical="center"/>
    </xf>
    <xf numFmtId="0" fontId="68" fillId="19" borderId="1" xfId="0" applyFont="1" applyFill="1" applyBorder="1" applyAlignment="1">
      <alignment horizontal="left" vertical="center"/>
    </xf>
    <xf numFmtId="0" fontId="66" fillId="0" borderId="0" xfId="4" applyFont="1" applyAlignment="1">
      <alignment horizontal="right"/>
    </xf>
    <xf numFmtId="44" fontId="67" fillId="0" borderId="1" xfId="2" applyFont="1" applyBorder="1"/>
    <xf numFmtId="164" fontId="72" fillId="0" borderId="1" xfId="1" applyNumberFormat="1" applyFont="1" applyBorder="1">
      <alignment vertical="center"/>
    </xf>
    <xf numFmtId="166" fontId="72" fillId="0" borderId="1" xfId="0" applyNumberFormat="1" applyFont="1" applyBorder="1">
      <alignment vertical="center"/>
    </xf>
    <xf numFmtId="0" fontId="68" fillId="30" borderId="1" xfId="0" applyFont="1" applyFill="1" applyBorder="1">
      <alignment vertical="center"/>
    </xf>
    <xf numFmtId="10" fontId="67" fillId="0" borderId="1" xfId="3" applyNumberFormat="1" applyFont="1" applyBorder="1" applyAlignment="1">
      <alignment vertical="center"/>
    </xf>
    <xf numFmtId="44" fontId="67" fillId="0" borderId="1" xfId="0" applyNumberFormat="1" applyFont="1" applyBorder="1">
      <alignment vertical="center"/>
    </xf>
    <xf numFmtId="0" fontId="82" fillId="0" borderId="8" xfId="0" applyFont="1" applyBorder="1">
      <alignment vertical="center"/>
    </xf>
    <xf numFmtId="0" fontId="82" fillId="0" borderId="0" xfId="0" applyFont="1">
      <alignment vertical="center"/>
    </xf>
    <xf numFmtId="0" fontId="83" fillId="19" borderId="10" xfId="0" applyFont="1" applyFill="1" applyBorder="1">
      <alignment vertical="center"/>
    </xf>
    <xf numFmtId="0" fontId="83" fillId="19" borderId="11" xfId="0" applyFont="1" applyFill="1" applyBorder="1">
      <alignment vertical="center"/>
    </xf>
    <xf numFmtId="0" fontId="82" fillId="19" borderId="11" xfId="0" applyFont="1" applyFill="1" applyBorder="1">
      <alignment vertical="center"/>
    </xf>
    <xf numFmtId="0" fontId="82" fillId="0" borderId="11" xfId="0" applyFont="1" applyBorder="1">
      <alignment vertical="center"/>
    </xf>
    <xf numFmtId="0" fontId="82" fillId="0" borderId="12" xfId="0" applyFont="1" applyBorder="1">
      <alignment vertical="center"/>
    </xf>
    <xf numFmtId="0" fontId="82" fillId="0" borderId="5" xfId="0" applyFont="1" applyBorder="1">
      <alignment vertical="center"/>
    </xf>
    <xf numFmtId="0" fontId="84" fillId="0" borderId="0" xfId="0" applyFont="1">
      <alignment vertical="center"/>
    </xf>
    <xf numFmtId="0" fontId="85" fillId="0" borderId="0" xfId="0" applyFont="1" applyAlignment="1">
      <alignment horizontal="left" vertical="center"/>
    </xf>
    <xf numFmtId="166" fontId="85" fillId="0" borderId="6" xfId="3" applyNumberFormat="1" applyFont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4" fillId="0" borderId="6" xfId="0" applyFont="1" applyBorder="1">
      <alignment vertical="center"/>
    </xf>
    <xf numFmtId="0" fontId="84" fillId="0" borderId="7" xfId="0" applyFont="1" applyBorder="1">
      <alignment vertical="center"/>
    </xf>
    <xf numFmtId="0" fontId="84" fillId="0" borderId="8" xfId="0" applyFont="1" applyBorder="1">
      <alignment vertical="center"/>
    </xf>
    <xf numFmtId="0" fontId="85" fillId="0" borderId="8" xfId="0" applyFont="1" applyBorder="1" applyAlignment="1">
      <alignment horizontal="left" vertical="center"/>
    </xf>
    <xf numFmtId="0" fontId="84" fillId="0" borderId="9" xfId="0" applyFont="1" applyBorder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 indent="1"/>
    </xf>
    <xf numFmtId="164" fontId="84" fillId="0" borderId="0" xfId="1" applyNumberFormat="1" applyFont="1">
      <alignment vertical="center"/>
    </xf>
    <xf numFmtId="0" fontId="84" fillId="0" borderId="0" xfId="0" applyFont="1" applyAlignment="1">
      <alignment horizontal="fill" vertical="center"/>
    </xf>
    <xf numFmtId="9" fontId="87" fillId="0" borderId="0" xfId="3" applyFont="1" applyAlignment="1">
      <alignment vertical="center"/>
    </xf>
    <xf numFmtId="10" fontId="87" fillId="0" borderId="0" xfId="3" applyNumberFormat="1" applyFont="1" applyAlignment="1">
      <alignment vertical="center"/>
    </xf>
    <xf numFmtId="43" fontId="75" fillId="0" borderId="0" xfId="0" applyNumberFormat="1" applyFont="1">
      <alignment vertical="center"/>
    </xf>
    <xf numFmtId="44" fontId="87" fillId="0" borderId="0" xfId="2" applyFont="1" applyAlignment="1">
      <alignment vertical="center"/>
    </xf>
    <xf numFmtId="167" fontId="84" fillId="0" borderId="0" xfId="2" applyNumberFormat="1" applyFont="1" applyAlignment="1">
      <alignment vertical="center"/>
    </xf>
    <xf numFmtId="43" fontId="79" fillId="0" borderId="0" xfId="1" applyFont="1">
      <alignment vertical="center"/>
    </xf>
    <xf numFmtId="167" fontId="79" fillId="0" borderId="0" xfId="2" applyNumberFormat="1" applyFont="1" applyAlignment="1">
      <alignment vertical="center"/>
    </xf>
    <xf numFmtId="44" fontId="79" fillId="0" borderId="0" xfId="0" applyNumberFormat="1" applyFont="1">
      <alignment vertical="center"/>
    </xf>
    <xf numFmtId="167" fontId="84" fillId="0" borderId="1" xfId="2" applyNumberFormat="1" applyFont="1" applyBorder="1" applyAlignment="1">
      <alignment vertical="center"/>
    </xf>
    <xf numFmtId="0" fontId="84" fillId="0" borderId="0" xfId="0" applyFont="1" applyAlignment="1">
      <alignment horizontal="left" vertical="center" indent="2"/>
    </xf>
    <xf numFmtId="9" fontId="88" fillId="0" borderId="0" xfId="3" applyFont="1" applyAlignment="1">
      <alignment vertical="center"/>
    </xf>
    <xf numFmtId="43" fontId="79" fillId="0" borderId="0" xfId="0" applyNumberFormat="1" applyFont="1">
      <alignment vertical="center"/>
    </xf>
    <xf numFmtId="43" fontId="87" fillId="0" borderId="0" xfId="1" applyFont="1">
      <alignment vertical="center"/>
    </xf>
    <xf numFmtId="10" fontId="82" fillId="0" borderId="0" xfId="0" applyNumberFormat="1" applyFont="1">
      <alignment vertical="center"/>
    </xf>
    <xf numFmtId="167" fontId="84" fillId="0" borderId="0" xfId="0" applyNumberFormat="1" applyFont="1">
      <alignment vertical="center"/>
    </xf>
    <xf numFmtId="10" fontId="84" fillId="0" borderId="0" xfId="0" applyNumberFormat="1" applyFont="1">
      <alignment vertical="center"/>
    </xf>
    <xf numFmtId="44" fontId="84" fillId="0" borderId="0" xfId="0" applyNumberFormat="1" applyFont="1">
      <alignment vertical="center"/>
    </xf>
    <xf numFmtId="164" fontId="75" fillId="0" borderId="0" xfId="0" applyNumberFormat="1" applyFont="1">
      <alignment vertical="center"/>
    </xf>
    <xf numFmtId="0" fontId="19" fillId="30" borderId="0" xfId="0" applyFont="1" applyFill="1">
      <alignment vertical="center"/>
    </xf>
    <xf numFmtId="9" fontId="70" fillId="0" borderId="54" xfId="0" applyNumberFormat="1" applyFont="1" applyBorder="1" applyAlignment="1">
      <alignment horizontal="right" vertical="center"/>
    </xf>
    <xf numFmtId="0" fontId="70" fillId="29" borderId="54" xfId="0" applyFont="1" applyFill="1" applyBorder="1" applyAlignment="1">
      <alignment horizontal="right" vertical="center"/>
    </xf>
    <xf numFmtId="0" fontId="89" fillId="24" borderId="0" xfId="16" applyFont="1" applyFill="1" applyAlignment="1">
      <alignment vertical="center"/>
    </xf>
    <xf numFmtId="0" fontId="90" fillId="24" borderId="0" xfId="16" applyFont="1" applyFill="1" applyAlignment="1">
      <alignment vertical="center"/>
    </xf>
    <xf numFmtId="0" fontId="61" fillId="24" borderId="0" xfId="16" applyFont="1" applyFill="1" applyAlignment="1">
      <alignment vertical="center"/>
    </xf>
    <xf numFmtId="0" fontId="89" fillId="24" borderId="46" xfId="16" applyFont="1" applyFill="1" applyBorder="1" applyAlignment="1">
      <alignment horizontal="right" vertical="center"/>
    </xf>
    <xf numFmtId="0" fontId="89" fillId="24" borderId="47" xfId="16" applyFont="1" applyFill="1" applyBorder="1" applyAlignment="1">
      <alignment horizontal="left" vertical="center"/>
    </xf>
    <xf numFmtId="0" fontId="61" fillId="0" borderId="0" xfId="16" applyFont="1" applyAlignment="1">
      <alignment vertical="center"/>
    </xf>
    <xf numFmtId="0" fontId="61" fillId="0" borderId="14" xfId="16" applyFont="1" applyBorder="1"/>
    <xf numFmtId="0" fontId="61" fillId="0" borderId="0" xfId="16" applyFont="1" applyAlignment="1">
      <alignment horizontal="center"/>
    </xf>
    <xf numFmtId="0" fontId="61" fillId="0" borderId="14" xfId="16" applyFont="1" applyBorder="1" applyAlignment="1">
      <alignment horizontal="left"/>
    </xf>
    <xf numFmtId="0" fontId="62" fillId="0" borderId="49" xfId="16" applyFont="1" applyBorder="1"/>
    <xf numFmtId="0" fontId="61" fillId="0" borderId="34" xfId="16" applyFont="1" applyBorder="1"/>
    <xf numFmtId="0" fontId="61" fillId="0" borderId="1" xfId="16" applyFont="1" applyBorder="1" applyAlignment="1">
      <alignment horizontal="center"/>
    </xf>
    <xf numFmtId="0" fontId="62" fillId="0" borderId="1" xfId="16" applyFont="1" applyBorder="1" applyAlignment="1">
      <alignment horizontal="center"/>
    </xf>
    <xf numFmtId="0" fontId="62" fillId="15" borderId="45" xfId="16" applyFont="1" applyFill="1" applyBorder="1" applyAlignment="1">
      <alignment horizontal="center"/>
    </xf>
    <xf numFmtId="0" fontId="62" fillId="15" borderId="1" xfId="16" applyFont="1" applyFill="1" applyBorder="1" applyAlignment="1">
      <alignment horizontal="center"/>
    </xf>
    <xf numFmtId="0" fontId="62" fillId="0" borderId="33" xfId="16" applyFont="1" applyBorder="1"/>
    <xf numFmtId="0" fontId="62" fillId="0" borderId="36" xfId="16" applyFont="1" applyBorder="1"/>
    <xf numFmtId="0" fontId="62" fillId="0" borderId="36" xfId="16" applyFont="1" applyBorder="1" applyAlignment="1">
      <alignment horizontal="center"/>
    </xf>
    <xf numFmtId="0" fontId="61" fillId="15" borderId="43" xfId="16" applyFont="1" applyFill="1" applyBorder="1"/>
    <xf numFmtId="0" fontId="61" fillId="0" borderId="36" xfId="16" applyFont="1" applyBorder="1"/>
    <xf numFmtId="0" fontId="61" fillId="15" borderId="36" xfId="16" applyFont="1" applyFill="1" applyBorder="1"/>
    <xf numFmtId="0" fontId="61" fillId="0" borderId="32" xfId="16" applyFont="1" applyBorder="1" applyAlignment="1">
      <alignment horizontal="right"/>
    </xf>
    <xf numFmtId="167" fontId="61" fillId="0" borderId="32" xfId="2" applyNumberFormat="1" applyFont="1" applyBorder="1" applyAlignment="1">
      <alignment horizontal="center"/>
    </xf>
    <xf numFmtId="167" fontId="61" fillId="15" borderId="32" xfId="2" applyNumberFormat="1" applyFont="1" applyFill="1" applyBorder="1" applyAlignment="1">
      <alignment horizontal="center"/>
    </xf>
    <xf numFmtId="0" fontId="61" fillId="0" borderId="35" xfId="16" applyFont="1" applyBorder="1" applyAlignment="1">
      <alignment horizontal="center"/>
    </xf>
    <xf numFmtId="0" fontId="61" fillId="0" borderId="39" xfId="16" applyFont="1" applyBorder="1" applyAlignment="1">
      <alignment horizontal="right" vertical="center"/>
    </xf>
    <xf numFmtId="0" fontId="61" fillId="0" borderId="36" xfId="16" applyFont="1" applyBorder="1" applyAlignment="1">
      <alignment horizontal="center"/>
    </xf>
    <xf numFmtId="167" fontId="61" fillId="0" borderId="1" xfId="16" applyNumberFormat="1" applyFont="1" applyBorder="1" applyAlignment="1">
      <alignment horizontal="center"/>
    </xf>
    <xf numFmtId="167" fontId="61" fillId="15" borderId="1" xfId="16" applyNumberFormat="1" applyFont="1" applyFill="1" applyBorder="1" applyAlignment="1">
      <alignment horizontal="center"/>
    </xf>
    <xf numFmtId="0" fontId="61" fillId="0" borderId="33" xfId="16" applyFont="1" applyBorder="1"/>
    <xf numFmtId="0" fontId="61" fillId="15" borderId="45" xfId="16" applyFont="1" applyFill="1" applyBorder="1"/>
    <xf numFmtId="0" fontId="61" fillId="15" borderId="1" xfId="16" applyFont="1" applyFill="1" applyBorder="1"/>
    <xf numFmtId="0" fontId="61" fillId="0" borderId="31" xfId="16" applyFont="1" applyBorder="1"/>
    <xf numFmtId="167" fontId="61" fillId="0" borderId="31" xfId="2" applyNumberFormat="1" applyFont="1" applyBorder="1"/>
    <xf numFmtId="0" fontId="62" fillId="0" borderId="0" xfId="16" applyFont="1" applyAlignment="1">
      <alignment horizontal="left"/>
    </xf>
    <xf numFmtId="167" fontId="61" fillId="0" borderId="0" xfId="16" applyNumberFormat="1" applyFont="1" applyAlignment="1">
      <alignment horizontal="center"/>
    </xf>
    <xf numFmtId="167" fontId="61" fillId="15" borderId="0" xfId="16" applyNumberFormat="1" applyFont="1" applyFill="1" applyAlignment="1">
      <alignment horizontal="center"/>
    </xf>
    <xf numFmtId="0" fontId="62" fillId="7" borderId="46" xfId="16" applyFont="1" applyFill="1" applyBorder="1" applyAlignment="1">
      <alignment horizontal="left"/>
    </xf>
    <xf numFmtId="0" fontId="62" fillId="7" borderId="31" xfId="16" applyFont="1" applyFill="1" applyBorder="1" applyAlignment="1">
      <alignment horizontal="left"/>
    </xf>
    <xf numFmtId="0" fontId="61" fillId="7" borderId="31" xfId="16" applyFont="1" applyFill="1" applyBorder="1"/>
    <xf numFmtId="0" fontId="61" fillId="7" borderId="31" xfId="16" applyFont="1" applyFill="1" applyBorder="1" applyAlignment="1">
      <alignment horizontal="center"/>
    </xf>
    <xf numFmtId="0" fontId="61" fillId="15" borderId="48" xfId="16" applyFont="1" applyFill="1" applyBorder="1"/>
    <xf numFmtId="0" fontId="61" fillId="15" borderId="31" xfId="16" applyFont="1" applyFill="1" applyBorder="1"/>
    <xf numFmtId="0" fontId="61" fillId="0" borderId="32" xfId="16" applyFont="1" applyBorder="1"/>
    <xf numFmtId="0" fontId="61" fillId="0" borderId="35" xfId="16" applyFont="1" applyBorder="1" applyAlignment="1">
      <alignment horizontal="right"/>
    </xf>
    <xf numFmtId="167" fontId="61" fillId="0" borderId="0" xfId="2" applyNumberFormat="1" applyFont="1" applyAlignment="1">
      <alignment horizontal="center"/>
    </xf>
    <xf numFmtId="167" fontId="61" fillId="15" borderId="0" xfId="2" applyNumberFormat="1" applyFont="1" applyFill="1" applyAlignment="1">
      <alignment horizontal="center"/>
    </xf>
    <xf numFmtId="0" fontId="62" fillId="7" borderId="0" xfId="16" applyFont="1" applyFill="1" applyAlignment="1">
      <alignment horizontal="left"/>
    </xf>
    <xf numFmtId="0" fontId="61" fillId="7" borderId="0" xfId="16" applyFont="1" applyFill="1"/>
    <xf numFmtId="0" fontId="61" fillId="7" borderId="0" xfId="16" applyFont="1" applyFill="1" applyAlignment="1">
      <alignment horizontal="center"/>
    </xf>
    <xf numFmtId="0" fontId="61" fillId="15" borderId="50" xfId="16" applyFont="1" applyFill="1" applyBorder="1"/>
    <xf numFmtId="0" fontId="61" fillId="15" borderId="0" xfId="16" applyFont="1" applyFill="1"/>
    <xf numFmtId="0" fontId="61" fillId="7" borderId="36" xfId="16" applyFont="1" applyFill="1" applyBorder="1"/>
    <xf numFmtId="0" fontId="62" fillId="0" borderId="34" xfId="16" applyFont="1" applyBorder="1"/>
    <xf numFmtId="0" fontId="62" fillId="0" borderId="34" xfId="16" applyFont="1" applyBorder="1" applyAlignment="1">
      <alignment horizontal="center"/>
    </xf>
    <xf numFmtId="0" fontId="61" fillId="15" borderId="49" xfId="16" applyFont="1" applyFill="1" applyBorder="1"/>
    <xf numFmtId="0" fontId="61" fillId="15" borderId="34" xfId="16" applyFont="1" applyFill="1" applyBorder="1"/>
    <xf numFmtId="167" fontId="61" fillId="0" borderId="32" xfId="16" applyNumberFormat="1" applyFont="1" applyBorder="1" applyAlignment="1">
      <alignment horizontal="center"/>
    </xf>
    <xf numFmtId="167" fontId="61" fillId="15" borderId="32" xfId="16" applyNumberFormat="1" applyFont="1" applyFill="1" applyBorder="1" applyAlignment="1">
      <alignment horizontal="center"/>
    </xf>
    <xf numFmtId="167" fontId="61" fillId="0" borderId="32" xfId="16" applyNumberFormat="1" applyFont="1" applyBorder="1"/>
    <xf numFmtId="0" fontId="61" fillId="0" borderId="35" xfId="16" applyFont="1" applyBorder="1"/>
    <xf numFmtId="167" fontId="61" fillId="0" borderId="32" xfId="2" applyNumberFormat="1" applyFont="1" applyBorder="1"/>
    <xf numFmtId="9" fontId="61" fillId="0" borderId="32" xfId="16" applyNumberFormat="1" applyFont="1" applyBorder="1" applyAlignment="1">
      <alignment horizontal="center"/>
    </xf>
    <xf numFmtId="0" fontId="61" fillId="15" borderId="41" xfId="16" applyFont="1" applyFill="1" applyBorder="1"/>
    <xf numFmtId="0" fontId="61" fillId="15" borderId="32" xfId="16" applyFont="1" applyFill="1" applyBorder="1"/>
    <xf numFmtId="0" fontId="62" fillId="0" borderId="1" xfId="16" applyFont="1" applyBorder="1" applyAlignment="1">
      <alignment horizontal="left"/>
    </xf>
    <xf numFmtId="0" fontId="62" fillId="0" borderId="1" xfId="16" applyFont="1" applyBorder="1" applyAlignment="1">
      <alignment horizontal="right"/>
    </xf>
    <xf numFmtId="167" fontId="61" fillId="0" borderId="1" xfId="2" applyNumberFormat="1" applyFont="1" applyBorder="1" applyAlignment="1">
      <alignment horizontal="center"/>
    </xf>
    <xf numFmtId="167" fontId="61" fillId="15" borderId="1" xfId="2" applyNumberFormat="1" applyFont="1" applyFill="1" applyBorder="1" applyAlignment="1">
      <alignment horizontal="center"/>
    </xf>
    <xf numFmtId="0" fontId="62" fillId="0" borderId="31" xfId="16" applyFont="1" applyBorder="1"/>
    <xf numFmtId="6" fontId="61" fillId="0" borderId="31" xfId="16" applyNumberFormat="1" applyFont="1" applyBorder="1" applyAlignment="1">
      <alignment horizontal="center"/>
    </xf>
    <xf numFmtId="166" fontId="61" fillId="0" borderId="1" xfId="3" applyNumberFormat="1" applyFont="1" applyBorder="1" applyAlignment="1">
      <alignment horizontal="center"/>
    </xf>
    <xf numFmtId="0" fontId="62" fillId="15" borderId="31" xfId="16" applyFont="1" applyFill="1" applyBorder="1"/>
    <xf numFmtId="10" fontId="61" fillId="0" borderId="1" xfId="16" applyNumberFormat="1" applyFont="1" applyBorder="1" applyAlignment="1">
      <alignment horizontal="center"/>
    </xf>
    <xf numFmtId="0" fontId="62" fillId="0" borderId="16" xfId="16" applyFont="1" applyBorder="1"/>
    <xf numFmtId="0" fontId="61" fillId="0" borderId="47" xfId="16" applyFont="1" applyBorder="1"/>
    <xf numFmtId="0" fontId="62" fillId="0" borderId="46" xfId="16" applyFont="1" applyBorder="1"/>
    <xf numFmtId="0" fontId="61" fillId="0" borderId="19" xfId="16" applyFont="1" applyBorder="1"/>
    <xf numFmtId="0" fontId="62" fillId="0" borderId="0" xfId="16" applyFont="1" applyAlignment="1">
      <alignment horizontal="right" vertical="center"/>
    </xf>
    <xf numFmtId="0" fontId="62" fillId="0" borderId="0" xfId="16" applyFont="1" applyAlignment="1">
      <alignment horizontal="left" vertical="center"/>
    </xf>
    <xf numFmtId="0" fontId="61" fillId="0" borderId="43" xfId="16" applyFont="1" applyBorder="1"/>
    <xf numFmtId="0" fontId="62" fillId="0" borderId="45" xfId="16" applyFont="1" applyBorder="1" applyAlignment="1">
      <alignment horizontal="center"/>
    </xf>
    <xf numFmtId="0" fontId="61" fillId="0" borderId="32" xfId="16" applyFont="1" applyBorder="1" applyAlignment="1">
      <alignment horizontal="center"/>
    </xf>
    <xf numFmtId="1" fontId="61" fillId="0" borderId="41" xfId="16" applyNumberFormat="1" applyFont="1" applyBorder="1"/>
    <xf numFmtId="1" fontId="61" fillId="15" borderId="41" xfId="16" applyNumberFormat="1" applyFont="1" applyFill="1" applyBorder="1"/>
    <xf numFmtId="0" fontId="61" fillId="0" borderId="41" xfId="16" applyFont="1" applyBorder="1"/>
    <xf numFmtId="164" fontId="61" fillId="0" borderId="41" xfId="1" applyNumberFormat="1" applyFont="1" applyBorder="1" applyAlignment="1"/>
    <xf numFmtId="164" fontId="61" fillId="15" borderId="41" xfId="1" applyNumberFormat="1" applyFont="1" applyFill="1" applyBorder="1" applyAlignment="1"/>
    <xf numFmtId="0" fontId="61" fillId="0" borderId="44" xfId="16" applyFont="1" applyBorder="1"/>
    <xf numFmtId="0" fontId="61" fillId="15" borderId="35" xfId="16" applyFont="1" applyFill="1" applyBorder="1"/>
    <xf numFmtId="0" fontId="61" fillId="0" borderId="33" xfId="16" applyFont="1" applyBorder="1" applyAlignment="1">
      <alignment horizontal="right"/>
    </xf>
    <xf numFmtId="0" fontId="61" fillId="0" borderId="33" xfId="16" applyFont="1" applyBorder="1" applyAlignment="1">
      <alignment horizontal="center"/>
    </xf>
    <xf numFmtId="0" fontId="61" fillId="0" borderId="40" xfId="16" applyFont="1" applyBorder="1"/>
    <xf numFmtId="0" fontId="61" fillId="15" borderId="33" xfId="16" applyFont="1" applyFill="1" applyBorder="1"/>
    <xf numFmtId="0" fontId="61" fillId="0" borderId="42" xfId="16" applyFont="1" applyBorder="1" applyAlignment="1">
      <alignment horizontal="center"/>
    </xf>
    <xf numFmtId="164" fontId="61" fillId="0" borderId="40" xfId="16" applyNumberFormat="1" applyFont="1" applyBorder="1"/>
    <xf numFmtId="164" fontId="61" fillId="15" borderId="40" xfId="16" applyNumberFormat="1" applyFont="1" applyFill="1" applyBorder="1"/>
    <xf numFmtId="0" fontId="61" fillId="0" borderId="0" xfId="16" applyFont="1" applyAlignment="1">
      <alignment wrapText="1"/>
    </xf>
    <xf numFmtId="0" fontId="61" fillId="0" borderId="36" xfId="16" applyFont="1" applyBorder="1" applyAlignment="1">
      <alignment horizontal="right"/>
    </xf>
    <xf numFmtId="167" fontId="61" fillId="0" borderId="35" xfId="2" applyNumberFormat="1" applyFont="1" applyBorder="1" applyAlignment="1">
      <alignment horizontal="right"/>
    </xf>
    <xf numFmtId="0" fontId="62" fillId="0" borderId="5" xfId="16" applyFont="1" applyBorder="1" applyAlignment="1">
      <alignment horizontal="left"/>
    </xf>
    <xf numFmtId="0" fontId="61" fillId="0" borderId="0" xfId="16" applyFont="1" applyAlignment="1">
      <alignment horizontal="right"/>
    </xf>
    <xf numFmtId="0" fontId="61" fillId="0" borderId="6" xfId="16" applyFont="1" applyBorder="1"/>
    <xf numFmtId="0" fontId="61" fillId="0" borderId="5" xfId="16" applyFont="1" applyBorder="1"/>
    <xf numFmtId="9" fontId="61" fillId="0" borderId="6" xfId="3" applyFont="1" applyBorder="1" applyAlignment="1">
      <alignment horizontal="right"/>
    </xf>
    <xf numFmtId="10" fontId="61" fillId="0" borderId="0" xfId="3" applyNumberFormat="1" applyFont="1"/>
    <xf numFmtId="9" fontId="61" fillId="0" borderId="6" xfId="3" applyFont="1" applyBorder="1"/>
    <xf numFmtId="44" fontId="61" fillId="0" borderId="0" xfId="16" applyNumberFormat="1" applyFont="1"/>
    <xf numFmtId="167" fontId="61" fillId="0" borderId="31" xfId="16" applyNumberFormat="1" applyFont="1" applyBorder="1" applyAlignment="1">
      <alignment horizontal="center"/>
    </xf>
    <xf numFmtId="0" fontId="61" fillId="0" borderId="31" xfId="16" applyFont="1" applyBorder="1" applyAlignment="1">
      <alignment horizontal="center"/>
    </xf>
    <xf numFmtId="0" fontId="62" fillId="0" borderId="5" xfId="16" applyFont="1" applyBorder="1"/>
    <xf numFmtId="166" fontId="61" fillId="0" borderId="0" xfId="3" applyNumberFormat="1" applyFont="1"/>
    <xf numFmtId="167" fontId="91" fillId="0" borderId="0" xfId="2" applyNumberFormat="1" applyFont="1"/>
    <xf numFmtId="167" fontId="61" fillId="0" borderId="6" xfId="16" applyNumberFormat="1" applyFont="1" applyBorder="1"/>
    <xf numFmtId="0" fontId="61" fillId="0" borderId="7" xfId="16" applyFont="1" applyBorder="1"/>
    <xf numFmtId="0" fontId="61" fillId="0" borderId="8" xfId="16" applyFont="1" applyBorder="1"/>
    <xf numFmtId="167" fontId="61" fillId="0" borderId="8" xfId="16" applyNumberFormat="1" applyFont="1" applyBorder="1"/>
    <xf numFmtId="0" fontId="61" fillId="0" borderId="9" xfId="16" applyFont="1" applyBorder="1"/>
    <xf numFmtId="0" fontId="63" fillId="16" borderId="55" xfId="16" applyFont="1" applyFill="1" applyBorder="1" applyAlignment="1">
      <alignment horizontal="right"/>
    </xf>
    <xf numFmtId="0" fontId="61" fillId="16" borderId="1" xfId="16" applyFont="1" applyFill="1" applyBorder="1"/>
    <xf numFmtId="0" fontId="62" fillId="16" borderId="1" xfId="16" applyFont="1" applyFill="1" applyBorder="1" applyAlignment="1">
      <alignment horizontal="right"/>
    </xf>
    <xf numFmtId="167" fontId="61" fillId="16" borderId="1" xfId="2" applyNumberFormat="1" applyFont="1" applyFill="1" applyBorder="1"/>
    <xf numFmtId="0" fontId="61" fillId="16" borderId="55" xfId="16" applyFont="1" applyFill="1" applyBorder="1"/>
    <xf numFmtId="0" fontId="63" fillId="0" borderId="55" xfId="16" applyFont="1" applyBorder="1" applyAlignment="1">
      <alignment horizontal="right"/>
    </xf>
    <xf numFmtId="0" fontId="61" fillId="30" borderId="1" xfId="16" applyFont="1" applyFill="1" applyBorder="1"/>
    <xf numFmtId="0" fontId="64" fillId="30" borderId="1" xfId="16" applyFont="1" applyFill="1" applyBorder="1" applyAlignment="1">
      <alignment horizontal="right"/>
    </xf>
    <xf numFmtId="167" fontId="62" fillId="30" borderId="1" xfId="16" applyNumberFormat="1" applyFont="1" applyFill="1" applyBorder="1"/>
    <xf numFmtId="0" fontId="63" fillId="16" borderId="55" xfId="16" applyFont="1" applyFill="1" applyBorder="1"/>
    <xf numFmtId="0" fontId="63" fillId="0" borderId="55" xfId="16" applyFont="1" applyBorder="1"/>
    <xf numFmtId="9" fontId="70" fillId="0" borderId="1" xfId="3" applyFont="1" applyBorder="1"/>
    <xf numFmtId="0" fontId="62" fillId="16" borderId="1" xfId="16" applyFont="1" applyFill="1" applyBorder="1"/>
    <xf numFmtId="0" fontId="61" fillId="0" borderId="55" xfId="16" applyFont="1" applyBorder="1"/>
    <xf numFmtId="0" fontId="61" fillId="30" borderId="55" xfId="16" applyFont="1" applyFill="1" applyBorder="1"/>
    <xf numFmtId="0" fontId="66" fillId="31" borderId="22" xfId="16" applyFont="1" applyFill="1" applyBorder="1" applyAlignment="1">
      <alignment horizontal="center"/>
    </xf>
    <xf numFmtId="0" fontId="61" fillId="0" borderId="23" xfId="16" applyFont="1" applyBorder="1"/>
    <xf numFmtId="167" fontId="61" fillId="16" borderId="54" xfId="2" applyNumberFormat="1" applyFont="1" applyFill="1" applyBorder="1"/>
    <xf numFmtId="167" fontId="61" fillId="0" borderId="54" xfId="2" applyNumberFormat="1" applyFont="1" applyBorder="1"/>
    <xf numFmtId="167" fontId="62" fillId="30" borderId="54" xfId="16" applyNumberFormat="1" applyFont="1" applyFill="1" applyBorder="1"/>
    <xf numFmtId="167" fontId="62" fillId="30" borderId="24" xfId="16" applyNumberFormat="1" applyFont="1" applyFill="1" applyBorder="1"/>
    <xf numFmtId="0" fontId="61" fillId="0" borderId="10" xfId="16" applyFont="1" applyBorder="1"/>
    <xf numFmtId="0" fontId="61" fillId="0" borderId="11" xfId="16" applyFont="1" applyBorder="1" applyAlignment="1">
      <alignment horizontal="right"/>
    </xf>
    <xf numFmtId="0" fontId="61" fillId="0" borderId="11" xfId="16" applyFont="1" applyBorder="1"/>
    <xf numFmtId="0" fontId="66" fillId="31" borderId="11" xfId="16" applyFont="1" applyFill="1" applyBorder="1" applyAlignment="1">
      <alignment horizontal="center"/>
    </xf>
    <xf numFmtId="0" fontId="66" fillId="31" borderId="12" xfId="16" applyFont="1" applyFill="1" applyBorder="1" applyAlignment="1">
      <alignment horizontal="center"/>
    </xf>
    <xf numFmtId="0" fontId="61" fillId="30" borderId="7" xfId="16" applyFont="1" applyFill="1" applyBorder="1"/>
    <xf numFmtId="0" fontId="61" fillId="30" borderId="8" xfId="16" applyFont="1" applyFill="1" applyBorder="1"/>
    <xf numFmtId="0" fontId="64" fillId="30" borderId="8" xfId="16" applyFont="1" applyFill="1" applyBorder="1" applyAlignment="1">
      <alignment horizontal="right"/>
    </xf>
    <xf numFmtId="167" fontId="62" fillId="30" borderId="8" xfId="16" applyNumberFormat="1" applyFont="1" applyFill="1" applyBorder="1"/>
    <xf numFmtId="9" fontId="61" fillId="16" borderId="56" xfId="3" applyFont="1" applyFill="1" applyBorder="1" applyAlignment="1">
      <alignment horizontal="center"/>
    </xf>
    <xf numFmtId="9" fontId="61" fillId="0" borderId="56" xfId="3" applyFont="1" applyBorder="1" applyAlignment="1">
      <alignment horizontal="center"/>
    </xf>
    <xf numFmtId="0" fontId="61" fillId="0" borderId="6" xfId="16" applyFont="1" applyBorder="1" applyAlignment="1">
      <alignment horizontal="center"/>
    </xf>
    <xf numFmtId="9" fontId="62" fillId="30" borderId="56" xfId="3" applyFont="1" applyFill="1" applyBorder="1" applyAlignment="1">
      <alignment horizontal="center"/>
    </xf>
    <xf numFmtId="167" fontId="62" fillId="30" borderId="9" xfId="16" applyNumberFormat="1" applyFont="1" applyFill="1" applyBorder="1" applyAlignment="1">
      <alignment horizontal="center"/>
    </xf>
    <xf numFmtId="0" fontId="67" fillId="0" borderId="1" xfId="0" applyFont="1" applyBorder="1" applyAlignment="1">
      <alignment horizontal="left" vertical="center"/>
    </xf>
    <xf numFmtId="9" fontId="72" fillId="0" borderId="1" xfId="3" applyFont="1" applyBorder="1" applyAlignment="1">
      <alignment vertical="center"/>
    </xf>
    <xf numFmtId="0" fontId="67" fillId="0" borderId="31" xfId="0" applyFont="1" applyBorder="1" applyAlignment="1">
      <alignment horizontal="left" vertical="center"/>
    </xf>
    <xf numFmtId="0" fontId="70" fillId="0" borderId="31" xfId="0" applyFont="1" applyBorder="1">
      <alignment vertical="center"/>
    </xf>
    <xf numFmtId="0" fontId="17" fillId="0" borderId="1" xfId="0" applyFont="1" applyBorder="1">
      <alignment vertical="center"/>
    </xf>
    <xf numFmtId="0" fontId="22" fillId="0" borderId="1" xfId="0" applyFont="1" applyBorder="1">
      <alignment vertical="center"/>
    </xf>
    <xf numFmtId="0" fontId="17" fillId="18" borderId="0" xfId="0" applyFont="1" applyFill="1">
      <alignment vertical="center"/>
    </xf>
    <xf numFmtId="44" fontId="22" fillId="0" borderId="1" xfId="2" applyFont="1" applyBorder="1" applyAlignment="1">
      <alignment vertical="center"/>
    </xf>
    <xf numFmtId="0" fontId="17" fillId="0" borderId="0" xfId="0" applyFont="1" applyAlignment="1">
      <alignment horizontal="right" vertical="center"/>
    </xf>
    <xf numFmtId="165" fontId="70" fillId="0" borderId="1" xfId="1" applyNumberFormat="1" applyFont="1" applyBorder="1">
      <alignment vertical="center"/>
    </xf>
    <xf numFmtId="167" fontId="67" fillId="0" borderId="1" xfId="0" applyNumberFormat="1" applyFont="1" applyBorder="1">
      <alignment vertical="center"/>
    </xf>
    <xf numFmtId="0" fontId="66" fillId="0" borderId="1" xfId="0" applyFont="1" applyBorder="1">
      <alignment vertical="center"/>
    </xf>
    <xf numFmtId="0" fontId="70" fillId="0" borderId="1" xfId="0" applyFont="1" applyBorder="1" applyAlignment="1">
      <alignment horizontal="left" vertical="center"/>
    </xf>
    <xf numFmtId="0" fontId="69" fillId="30" borderId="0" xfId="0" applyFont="1" applyFill="1" applyAlignment="1">
      <alignment horizontal="left" vertical="center"/>
    </xf>
    <xf numFmtId="164" fontId="66" fillId="0" borderId="1" xfId="0" applyNumberFormat="1" applyFont="1" applyBorder="1">
      <alignment vertical="center"/>
    </xf>
    <xf numFmtId="164" fontId="66" fillId="0" borderId="1" xfId="1" applyNumberFormat="1" applyFont="1" applyBorder="1">
      <alignment vertical="center"/>
    </xf>
    <xf numFmtId="0" fontId="18" fillId="0" borderId="1" xfId="0" applyFont="1" applyBorder="1">
      <alignment vertical="center"/>
    </xf>
    <xf numFmtId="0" fontId="23" fillId="0" borderId="1" xfId="0" applyFont="1" applyBorder="1">
      <alignment vertical="center"/>
    </xf>
    <xf numFmtId="10" fontId="22" fillId="0" borderId="1" xfId="3" applyNumberFormat="1" applyFont="1" applyBorder="1" applyAlignment="1">
      <alignment vertical="center"/>
    </xf>
    <xf numFmtId="166" fontId="22" fillId="0" borderId="1" xfId="3" applyNumberFormat="1" applyFont="1" applyBorder="1" applyAlignment="1">
      <alignment vertical="center"/>
    </xf>
    <xf numFmtId="0" fontId="19" fillId="30" borderId="0" xfId="0" applyFont="1" applyFill="1" applyAlignment="1">
      <alignment horizontal="left" vertical="center"/>
    </xf>
    <xf numFmtId="0" fontId="66" fillId="15" borderId="0" xfId="0" applyFont="1" applyFill="1">
      <alignment vertical="center"/>
    </xf>
    <xf numFmtId="0" fontId="67" fillId="15" borderId="0" xfId="0" applyFont="1" applyFill="1">
      <alignment vertical="center"/>
    </xf>
    <xf numFmtId="166" fontId="70" fillId="0" borderId="1" xfId="3" applyNumberFormat="1" applyFont="1" applyBorder="1" applyAlignment="1">
      <alignment vertical="center"/>
    </xf>
    <xf numFmtId="10" fontId="70" fillId="0" borderId="1" xfId="3" applyNumberFormat="1" applyFont="1" applyBorder="1" applyAlignment="1">
      <alignment vertical="center"/>
    </xf>
    <xf numFmtId="0" fontId="72" fillId="0" borderId="1" xfId="0" applyFont="1" applyBorder="1">
      <alignment vertical="center"/>
    </xf>
    <xf numFmtId="10" fontId="74" fillId="0" borderId="1" xfId="3" applyNumberFormat="1" applyFont="1" applyBorder="1" applyAlignment="1">
      <alignment vertical="center"/>
    </xf>
    <xf numFmtId="164" fontId="66" fillId="0" borderId="31" xfId="1" applyNumberFormat="1" applyFont="1" applyBorder="1">
      <alignment vertical="center"/>
    </xf>
    <xf numFmtId="44" fontId="67" fillId="0" borderId="0" xfId="2" applyFont="1"/>
    <xf numFmtId="0" fontId="31" fillId="0" borderId="8" xfId="0" applyFont="1" applyBorder="1">
      <alignment vertical="center"/>
    </xf>
    <xf numFmtId="0" fontId="31" fillId="0" borderId="0" xfId="0" applyFont="1">
      <alignment vertical="center"/>
    </xf>
    <xf numFmtId="0" fontId="40" fillId="0" borderId="0" xfId="0" applyFont="1">
      <alignment vertical="center"/>
    </xf>
    <xf numFmtId="0" fontId="40" fillId="0" borderId="8" xfId="0" applyFont="1" applyBorder="1">
      <alignment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indent="1"/>
    </xf>
    <xf numFmtId="0" fontId="40" fillId="0" borderId="0" xfId="0" applyFont="1" applyAlignment="1">
      <alignment horizontal="fill" vertical="center"/>
    </xf>
    <xf numFmtId="0" fontId="40" fillId="0" borderId="0" xfId="0" applyFont="1" applyAlignment="1">
      <alignment horizontal="left" vertical="center" indent="2"/>
    </xf>
    <xf numFmtId="0" fontId="65" fillId="0" borderId="0" xfId="0" applyFont="1">
      <alignment vertical="center"/>
    </xf>
    <xf numFmtId="10" fontId="30" fillId="0" borderId="0" xfId="3" applyNumberFormat="1" applyFont="1" applyAlignment="1">
      <alignment horizontal="left" vertical="center"/>
    </xf>
    <xf numFmtId="164" fontId="29" fillId="0" borderId="0" xfId="1" applyNumberFormat="1" applyFont="1" applyAlignment="1">
      <alignment horizontal="left" vertical="center"/>
    </xf>
    <xf numFmtId="9" fontId="38" fillId="0" borderId="0" xfId="3" applyFont="1" applyAlignment="1">
      <alignment horizontal="left" vertical="center"/>
    </xf>
    <xf numFmtId="10" fontId="67" fillId="0" borderId="0" xfId="4" applyNumberFormat="1" applyFont="1"/>
    <xf numFmtId="164" fontId="67" fillId="0" borderId="0" xfId="1" applyNumberFormat="1" applyFont="1" applyAlignment="1"/>
    <xf numFmtId="9" fontId="67" fillId="0" borderId="0" xfId="3" applyFont="1"/>
    <xf numFmtId="43" fontId="67" fillId="0" borderId="0" xfId="4" applyNumberFormat="1" applyFont="1"/>
    <xf numFmtId="10" fontId="67" fillId="0" borderId="0" xfId="3" applyNumberFormat="1" applyFont="1"/>
    <xf numFmtId="0" fontId="67" fillId="0" borderId="0" xfId="4" quotePrefix="1" applyFont="1"/>
    <xf numFmtId="0" fontId="69" fillId="30" borderId="0" xfId="4" applyFont="1" applyFill="1"/>
    <xf numFmtId="17" fontId="67" fillId="0" borderId="1" xfId="4" applyNumberFormat="1" applyFont="1" applyBorder="1"/>
    <xf numFmtId="44" fontId="66" fillId="0" borderId="0" xfId="4" applyNumberFormat="1" applyFont="1"/>
    <xf numFmtId="165" fontId="31" fillId="19" borderId="0" xfId="1" applyNumberFormat="1" applyFont="1" applyFill="1">
      <alignment vertical="center"/>
    </xf>
    <xf numFmtId="0" fontId="62" fillId="0" borderId="31" xfId="16" applyFont="1" applyBorder="1" applyAlignment="1">
      <alignment horizontal="left"/>
    </xf>
    <xf numFmtId="0" fontId="61" fillId="0" borderId="38" xfId="16" applyFont="1" applyBorder="1" applyAlignment="1">
      <alignment horizontal="right" vertical="center"/>
    </xf>
    <xf numFmtId="0" fontId="61" fillId="0" borderId="37" xfId="16" applyFont="1" applyBorder="1" applyAlignment="1">
      <alignment horizontal="right" vertical="center"/>
    </xf>
    <xf numFmtId="0" fontId="62" fillId="0" borderId="33" xfId="16" applyFont="1" applyBorder="1" applyAlignment="1">
      <alignment horizontal="left"/>
    </xf>
    <xf numFmtId="0" fontId="61" fillId="0" borderId="32" xfId="16" applyFont="1" applyBorder="1" applyAlignment="1">
      <alignment horizontal="right"/>
    </xf>
    <xf numFmtId="0" fontId="89" fillId="24" borderId="0" xfId="16" applyFont="1" applyFill="1" applyAlignment="1">
      <alignment vertical="center"/>
    </xf>
    <xf numFmtId="0" fontId="61" fillId="0" borderId="33" xfId="16" applyFont="1" applyBorder="1" applyAlignment="1">
      <alignment horizontal="right"/>
    </xf>
    <xf numFmtId="167" fontId="61" fillId="0" borderId="0" xfId="2" applyNumberFormat="1" applyFont="1" applyAlignment="1">
      <alignment horizontal="right"/>
    </xf>
    <xf numFmtId="0" fontId="62" fillId="0" borderId="31" xfId="16" applyFont="1" applyBorder="1" applyAlignment="1">
      <alignment horizontal="right"/>
    </xf>
    <xf numFmtId="0" fontId="62" fillId="0" borderId="36" xfId="16" applyFont="1" applyBorder="1" applyAlignment="1">
      <alignment horizontal="left" wrapText="1"/>
    </xf>
    <xf numFmtId="0" fontId="62" fillId="0" borderId="1" xfId="16" applyFont="1" applyBorder="1" applyAlignment="1">
      <alignment horizontal="center" wrapText="1"/>
    </xf>
    <xf numFmtId="0" fontId="89" fillId="24" borderId="0" xfId="16" applyFont="1" applyFill="1" applyAlignment="1">
      <alignment horizontal="left" vertical="center"/>
    </xf>
    <xf numFmtId="0" fontId="61" fillId="0" borderId="31" xfId="16" applyFont="1" applyBorder="1" applyAlignment="1">
      <alignment horizontal="right"/>
    </xf>
    <xf numFmtId="167" fontId="61" fillId="0" borderId="0" xfId="2" applyNumberFormat="1" applyFont="1"/>
    <xf numFmtId="0" fontId="61" fillId="0" borderId="32" xfId="16" applyFont="1" applyBorder="1"/>
    <xf numFmtId="0" fontId="62" fillId="0" borderId="31" xfId="16" applyFont="1" applyBorder="1" applyAlignment="1">
      <alignment horizontal="center"/>
    </xf>
    <xf numFmtId="167" fontId="61" fillId="0" borderId="32" xfId="2" applyNumberFormat="1" applyFont="1" applyBorder="1" applyAlignment="1">
      <alignment horizontal="right"/>
    </xf>
    <xf numFmtId="167" fontId="61" fillId="0" borderId="33" xfId="2" applyNumberFormat="1" applyFont="1" applyBorder="1" applyAlignment="1">
      <alignment horizontal="right"/>
    </xf>
    <xf numFmtId="167" fontId="61" fillId="27" borderId="0" xfId="2" applyNumberFormat="1" applyFont="1" applyFill="1" applyAlignment="1">
      <alignment horizontal="center"/>
    </xf>
    <xf numFmtId="0" fontId="62" fillId="28" borderId="10" xfId="16" applyFont="1" applyFill="1" applyBorder="1" applyAlignment="1">
      <alignment horizontal="center"/>
    </xf>
    <xf numFmtId="0" fontId="62" fillId="28" borderId="11" xfId="16" applyFont="1" applyFill="1" applyBorder="1" applyAlignment="1">
      <alignment horizontal="center"/>
    </xf>
    <xf numFmtId="0" fontId="62" fillId="28" borderId="12" xfId="16" applyFont="1" applyFill="1" applyBorder="1" applyAlignment="1">
      <alignment horizontal="center"/>
    </xf>
    <xf numFmtId="0" fontId="61" fillId="0" borderId="1" xfId="16" applyFont="1" applyBorder="1"/>
    <xf numFmtId="0" fontId="61" fillId="0" borderId="34" xfId="16" applyFont="1" applyBorder="1"/>
    <xf numFmtId="0" fontId="61" fillId="0" borderId="35" xfId="16" applyFont="1" applyBorder="1"/>
    <xf numFmtId="0" fontId="62" fillId="0" borderId="14" xfId="16" applyFont="1" applyBorder="1" applyAlignment="1">
      <alignment horizontal="center"/>
    </xf>
    <xf numFmtId="167" fontId="61" fillId="0" borderId="0" xfId="2" applyNumberFormat="1" applyFont="1" applyAlignment="1">
      <alignment horizontal="center"/>
    </xf>
    <xf numFmtId="0" fontId="61" fillId="0" borderId="34" xfId="16" applyFont="1" applyBorder="1" applyAlignment="1">
      <alignment horizontal="right"/>
    </xf>
    <xf numFmtId="167" fontId="61" fillId="0" borderId="14" xfId="2" applyNumberFormat="1" applyFont="1" applyBorder="1" applyAlignment="1">
      <alignment horizontal="right"/>
    </xf>
    <xf numFmtId="0" fontId="18" fillId="22" borderId="0" xfId="0" applyFont="1" applyFill="1" applyAlignment="1">
      <alignment horizontal="center" vertical="center"/>
    </xf>
    <xf numFmtId="0" fontId="20" fillId="22" borderId="10" xfId="0" applyFont="1" applyFill="1" applyBorder="1" applyAlignment="1">
      <alignment horizontal="center" vertical="center"/>
    </xf>
    <xf numFmtId="0" fontId="20" fillId="22" borderId="11" xfId="0" applyFont="1" applyFill="1" applyBorder="1" applyAlignment="1">
      <alignment horizontal="center" vertical="center"/>
    </xf>
    <xf numFmtId="0" fontId="20" fillId="22" borderId="12" xfId="0" applyFont="1" applyFill="1" applyBorder="1" applyAlignment="1">
      <alignment horizontal="center" vertical="center"/>
    </xf>
    <xf numFmtId="0" fontId="66" fillId="22" borderId="8" xfId="0" applyFont="1" applyFill="1" applyBorder="1" applyAlignment="1">
      <alignment horizontal="center" vertical="center"/>
    </xf>
    <xf numFmtId="0" fontId="67" fillId="0" borderId="14" xfId="0" applyFont="1" applyBorder="1" applyAlignment="1">
      <alignment horizontal="center" vertical="center"/>
    </xf>
    <xf numFmtId="0" fontId="66" fillId="22" borderId="0" xfId="0" applyFont="1" applyFill="1" applyAlignment="1">
      <alignment horizontal="center" vertical="center"/>
    </xf>
    <xf numFmtId="0" fontId="68" fillId="18" borderId="0" xfId="0" applyFont="1" applyFill="1" applyAlignment="1">
      <alignment horizontal="center" vertical="center" wrapText="1"/>
    </xf>
    <xf numFmtId="0" fontId="66" fillId="15" borderId="0" xfId="0" applyFont="1" applyFill="1" applyAlignment="1">
      <alignment horizontal="center" vertical="center"/>
    </xf>
    <xf numFmtId="0" fontId="66" fillId="15" borderId="1" xfId="0" applyFont="1" applyFill="1" applyBorder="1" applyAlignment="1">
      <alignment horizontal="left" vertical="center"/>
    </xf>
    <xf numFmtId="0" fontId="66" fillId="29" borderId="23" xfId="0" applyFont="1" applyFill="1" applyBorder="1" applyAlignment="1">
      <alignment horizontal="center" vertical="center"/>
    </xf>
    <xf numFmtId="0" fontId="66" fillId="0" borderId="23" xfId="0" applyFont="1" applyBorder="1" applyAlignment="1">
      <alignment horizontal="center" vertical="center"/>
    </xf>
    <xf numFmtId="0" fontId="69" fillId="18" borderId="0" xfId="0" applyFont="1" applyFill="1" applyAlignment="1">
      <alignment horizontal="center" vertical="center"/>
    </xf>
    <xf numFmtId="0" fontId="66" fillId="15" borderId="0" xfId="0" applyFont="1" applyFill="1" applyAlignment="1">
      <alignment horizontal="left" vertical="center"/>
    </xf>
    <xf numFmtId="0" fontId="17" fillId="0" borderId="14" xfId="0" applyFont="1" applyBorder="1" applyAlignment="1">
      <alignment horizontal="center" vertical="center"/>
    </xf>
    <xf numFmtId="0" fontId="18" fillId="22" borderId="8" xfId="0" applyFont="1" applyFill="1" applyBorder="1" applyAlignment="1">
      <alignment horizontal="center" vertical="center"/>
    </xf>
    <xf numFmtId="43" fontId="17" fillId="17" borderId="0" xfId="1" applyFont="1" applyFill="1" applyAlignment="1">
      <alignment horizontal="center" vertical="center"/>
    </xf>
    <xf numFmtId="0" fontId="55" fillId="25" borderId="51" xfId="0" applyFont="1" applyFill="1" applyBorder="1" applyAlignment="1">
      <alignment horizontal="center" vertical="center"/>
    </xf>
    <xf numFmtId="0" fontId="51" fillId="25" borderId="0" xfId="0" applyFont="1" applyFill="1" applyAlignment="1">
      <alignment horizontal="center" vertical="center"/>
    </xf>
    <xf numFmtId="0" fontId="67" fillId="31" borderId="0" xfId="0" applyFont="1" applyFill="1" applyAlignment="1">
      <alignment horizontal="center" vertical="center"/>
    </xf>
    <xf numFmtId="0" fontId="46" fillId="0" borderId="29" xfId="14" applyBorder="1">
      <alignment horizontal="right" indent="1"/>
    </xf>
    <xf numFmtId="0" fontId="46" fillId="0" borderId="0" xfId="12">
      <alignment horizontal="left" indent="5"/>
    </xf>
    <xf numFmtId="0" fontId="46" fillId="0" borderId="26" xfId="12" applyBorder="1">
      <alignment horizontal="left" indent="5"/>
    </xf>
    <xf numFmtId="0" fontId="0" fillId="0" borderId="0" xfId="12" applyFont="1">
      <alignment horizontal="left" indent="5"/>
    </xf>
    <xf numFmtId="0" fontId="0" fillId="0" borderId="28" xfId="12" applyFont="1" applyBorder="1">
      <alignment horizontal="left" indent="5"/>
    </xf>
    <xf numFmtId="0" fontId="46" fillId="0" borderId="28" xfId="12" applyBorder="1">
      <alignment horizontal="left" indent="5"/>
    </xf>
    <xf numFmtId="0" fontId="69" fillId="0" borderId="0" xfId="16" applyFont="1" applyFill="1" applyBorder="1" applyAlignment="1">
      <alignment vertical="center"/>
    </xf>
    <xf numFmtId="0" fontId="68" fillId="0" borderId="0" xfId="16" applyFont="1" applyFill="1" applyBorder="1" applyAlignment="1">
      <alignment horizontal="center" wrapText="1"/>
    </xf>
    <xf numFmtId="0" fontId="69" fillId="0" borderId="0" xfId="16" applyFont="1" applyFill="1" applyBorder="1" applyAlignment="1">
      <alignment horizontal="center" wrapText="1"/>
    </xf>
    <xf numFmtId="0" fontId="69" fillId="0" borderId="0" xfId="16" applyFont="1" applyFill="1" applyBorder="1" applyAlignment="1">
      <alignment horizontal="center" wrapText="1"/>
    </xf>
    <xf numFmtId="0" fontId="69" fillId="0" borderId="0" xfId="16" applyFont="1" applyFill="1" applyBorder="1" applyAlignment="1">
      <alignment wrapText="1"/>
    </xf>
    <xf numFmtId="0" fontId="68" fillId="0" borderId="0" xfId="16" applyFont="1" applyFill="1" applyBorder="1" applyAlignment="1">
      <alignment horizontal="center"/>
    </xf>
    <xf numFmtId="0" fontId="68" fillId="0" borderId="0" xfId="16" applyFont="1" applyFill="1" applyBorder="1"/>
    <xf numFmtId="0" fontId="68" fillId="0" borderId="0" xfId="16" applyFont="1" applyFill="1" applyBorder="1" applyAlignment="1">
      <alignment horizontal="right"/>
    </xf>
    <xf numFmtId="167" fontId="68" fillId="0" borderId="0" xfId="2" applyNumberFormat="1" applyFont="1" applyFill="1" applyBorder="1"/>
    <xf numFmtId="10" fontId="68" fillId="0" borderId="0" xfId="3" applyNumberFormat="1" applyFont="1" applyFill="1" applyBorder="1" applyAlignment="1">
      <alignment horizontal="right"/>
    </xf>
    <xf numFmtId="10" fontId="68" fillId="0" borderId="0" xfId="3" applyNumberFormat="1" applyFont="1" applyFill="1" applyBorder="1"/>
    <xf numFmtId="0" fontId="69" fillId="0" borderId="0" xfId="16" applyFont="1" applyFill="1" applyBorder="1"/>
    <xf numFmtId="167" fontId="68" fillId="0" borderId="0" xfId="2" applyNumberFormat="1" applyFont="1" applyFill="1" applyBorder="1" applyAlignment="1">
      <alignment horizontal="right"/>
    </xf>
    <xf numFmtId="10" fontId="68" fillId="0" borderId="0" xfId="16" applyNumberFormat="1" applyFont="1" applyFill="1" applyBorder="1" applyAlignment="1">
      <alignment horizontal="right"/>
    </xf>
    <xf numFmtId="0" fontId="69" fillId="0" borderId="0" xfId="16" applyFont="1" applyFill="1" applyBorder="1" applyAlignment="1">
      <alignment horizontal="left"/>
    </xf>
    <xf numFmtId="9" fontId="68" fillId="0" borderId="0" xfId="16" applyNumberFormat="1" applyFont="1" applyFill="1" applyBorder="1" applyAlignment="1">
      <alignment horizontal="right"/>
    </xf>
    <xf numFmtId="167" fontId="68" fillId="0" borderId="0" xfId="2" applyNumberFormat="1" applyFont="1"/>
    <xf numFmtId="0" fontId="68" fillId="0" borderId="0" xfId="16" applyFont="1"/>
    <xf numFmtId="167" fontId="68" fillId="0" borderId="0" xfId="16" applyNumberFormat="1" applyFont="1"/>
  </cellXfs>
  <cellStyles count="18">
    <cellStyle name="Comma" xfId="1" builtinId="3"/>
    <cellStyle name="Comma 2" xfId="5" xr:uid="{51DFA64B-B0F5-4E16-BC29-255452C2A8E5}"/>
    <cellStyle name="Comma 3" xfId="10" xr:uid="{EE41669B-A0BC-49F9-B606-667856AA96C7}"/>
    <cellStyle name="Currency" xfId="2" builtinId="4"/>
    <cellStyle name="Currency 2" xfId="6" xr:uid="{AF8D1BA4-A14F-46EC-8A51-6E49B11EED3C}"/>
    <cellStyle name="Currency 3" xfId="8" xr:uid="{DB3D3402-C424-4247-9D12-A76EFEF21D3F}"/>
    <cellStyle name="Date" xfId="9" xr:uid="{B2835098-64A7-4813-8B6D-8E84A3AB331D}"/>
    <cellStyle name="Heading 1 2" xfId="14" xr:uid="{969E2CDB-403D-4E9C-90F3-3156F3E6362A}"/>
    <cellStyle name="Heading 2 2" xfId="12" xr:uid="{402A9457-751B-4D77-A2BC-1752226C80B4}"/>
    <cellStyle name="Heading 3 2" xfId="11" xr:uid="{2E3D3A95-BFB6-4624-94D4-132EF6D90226}"/>
    <cellStyle name="Hyperlink" xfId="17" builtinId="8"/>
    <cellStyle name="Normal" xfId="0" builtinId="0"/>
    <cellStyle name="Normal 2" xfId="4" xr:uid="{3E13AEF9-BC4F-43E1-B584-CFA82E240B09}"/>
    <cellStyle name="Normal 2 2" xfId="16" xr:uid="{4D3517B3-6BF4-49E7-9F59-ADEA9010392D}"/>
    <cellStyle name="Normal 3" xfId="7" xr:uid="{9A271764-94A5-4A99-A9AE-11E3D75BD4D9}"/>
    <cellStyle name="Percent" xfId="3" builtinId="5"/>
    <cellStyle name="Percent 2" xfId="13" xr:uid="{E9206655-271B-41C7-9615-3113CE7539BC}"/>
    <cellStyle name="Title 2" xfId="15" xr:uid="{FC07B136-CC75-44D5-B7B5-52CA61BE7843}"/>
  </cellStyles>
  <dxfs count="24">
    <dxf>
      <border>
        <left/>
        <right style="thin">
          <color indexed="20"/>
        </right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 style="thin">
          <color indexed="20"/>
        </left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 style="thin">
          <color indexed="20"/>
        </right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 style="thin">
          <color indexed="20"/>
        </left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 style="thin">
          <color indexed="20"/>
        </right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 style="thin">
          <color indexed="20"/>
        </left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/>
        <top/>
        <bottom style="thin">
          <color indexed="20"/>
        </bottom>
      </border>
    </dxf>
    <dxf>
      <border>
        <left/>
        <right/>
        <top/>
        <bottom/>
      </border>
    </dxf>
    <dxf>
      <border outline="0">
        <bottom style="thin">
          <color rgb="FF800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rgb="FF800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2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8BE8"/>
      <color rgb="FFE46923"/>
      <color rgb="FFFFFF01"/>
      <color rgb="FFFF7978"/>
      <color rgb="FFFE0000"/>
      <color rgb="FFA7A7A7"/>
      <color rgb="FF00FFCC"/>
      <color rgb="FFFFFF66"/>
      <color rgb="FF0000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Phase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F-4EA8-B23E-5480CA6BA5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6F-4EA8-B23E-5480CA6BA5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6F-4EA8-B23E-5480CA6BA5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6F-4EA8-B23E-5480CA6BA58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16F-4EA8-B23E-5480CA6BA58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16F-4EA8-B23E-5480CA6BA5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(summary!$A$11,summary!$A$15:$A$16,summary!$A$20:$A$22)</c:f>
              <c:strCache>
                <c:ptCount val="6"/>
                <c:pt idx="0">
                  <c:v>Gross Residential SF</c:v>
                </c:pt>
                <c:pt idx="1">
                  <c:v>Office</c:v>
                </c:pt>
                <c:pt idx="2">
                  <c:v> Retail </c:v>
                </c:pt>
                <c:pt idx="3">
                  <c:v>Hotel</c:v>
                </c:pt>
                <c:pt idx="4">
                  <c:v>Parking</c:v>
                </c:pt>
                <c:pt idx="5">
                  <c:v>Public buildings</c:v>
                </c:pt>
              </c:strCache>
            </c:strRef>
          </c:cat>
          <c:val>
            <c:numRef>
              <c:f>(summary!$B$11,summary!$B$15:$B$16,summary!$B$20:$B$22)</c:f>
              <c:numCache>
                <c:formatCode>_(* #,##0_);_(* \(#,##0\);_(* "-"??_);_(@_)</c:formatCode>
                <c:ptCount val="6"/>
                <c:pt idx="0">
                  <c:v>587530</c:v>
                </c:pt>
                <c:pt idx="1">
                  <c:v>768858.5</c:v>
                </c:pt>
                <c:pt idx="2">
                  <c:v>152440.54370000001</c:v>
                </c:pt>
                <c:pt idx="3">
                  <c:v>129012.52439999999</c:v>
                </c:pt>
                <c:pt idx="4">
                  <c:v>313427.08740000002</c:v>
                </c:pt>
                <c:pt idx="5">
                  <c:v>126070.70019999999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E-4F87-B3A3-D795F2F761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7-47B5-A591-700B6E3E77AD}"/>
              </c:ext>
            </c:extLst>
          </c:dPt>
          <c:dPt>
            <c:idx val="1"/>
            <c:bubble3D val="0"/>
            <c:spPr>
              <a:solidFill>
                <a:srgbClr val="E4692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C7-47B5-A591-700B6E3E77AD}"/>
              </c:ext>
            </c:extLst>
          </c:dPt>
          <c:dPt>
            <c:idx val="2"/>
            <c:bubble3D val="0"/>
            <c:spPr>
              <a:solidFill>
                <a:srgbClr val="FE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1C7-47B5-A591-700B6E3E77AD}"/>
              </c:ext>
            </c:extLst>
          </c:dPt>
          <c:dPt>
            <c:idx val="3"/>
            <c:bubble3D val="0"/>
            <c:spPr>
              <a:solidFill>
                <a:srgbClr val="FF797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7-47B5-A591-700B6E3E77AD}"/>
              </c:ext>
            </c:extLst>
          </c:dPt>
          <c:dPt>
            <c:idx val="4"/>
            <c:bubble3D val="0"/>
            <c:spPr>
              <a:solidFill>
                <a:srgbClr val="A7A7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7-47B5-A591-700B6E3E77AD}"/>
              </c:ext>
            </c:extLst>
          </c:dPt>
          <c:dPt>
            <c:idx val="5"/>
            <c:bubble3D val="0"/>
            <c:spPr>
              <a:solidFill>
                <a:srgbClr val="008B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1C7-47B5-A591-700B6E3E77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summary!$G$96:$G$101</c:f>
              <c:numCache>
                <c:formatCode>0%</c:formatCode>
                <c:ptCount val="6"/>
                <c:pt idx="0">
                  <c:v>0.28282812742553576</c:v>
                </c:pt>
                <c:pt idx="1">
                  <c:v>0.37011694689667979</c:v>
                </c:pt>
                <c:pt idx="2">
                  <c:v>7.3382590707540982E-2</c:v>
                </c:pt>
                <c:pt idx="3">
                  <c:v>6.2104693701586708E-2</c:v>
                </c:pt>
                <c:pt idx="4">
                  <c:v>0.1508790976014531</c:v>
                </c:pt>
                <c:pt idx="5">
                  <c:v>6.0688543667203568E-2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7B5-A591-700B6E3E77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5-40F2-AD2F-E68646FA9047}"/>
              </c:ext>
            </c:extLst>
          </c:dPt>
          <c:dPt>
            <c:idx val="1"/>
            <c:bubble3D val="0"/>
            <c:spPr>
              <a:solidFill>
                <a:srgbClr val="E4692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D5-40F2-AD2F-E68646FA9047}"/>
              </c:ext>
            </c:extLst>
          </c:dPt>
          <c:dPt>
            <c:idx val="2"/>
            <c:bubble3D val="0"/>
            <c:spPr>
              <a:solidFill>
                <a:srgbClr val="FE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D5-40F2-AD2F-E68646FA9047}"/>
              </c:ext>
            </c:extLst>
          </c:dPt>
          <c:dPt>
            <c:idx val="3"/>
            <c:bubble3D val="0"/>
            <c:spPr>
              <a:solidFill>
                <a:srgbClr val="FF797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5-40F2-AD2F-E68646FA9047}"/>
              </c:ext>
            </c:extLst>
          </c:dPt>
          <c:dPt>
            <c:idx val="4"/>
            <c:bubble3D val="0"/>
            <c:spPr>
              <a:solidFill>
                <a:srgbClr val="A7A7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0D5-40F2-AD2F-E68646FA904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0D5-40F2-AD2F-E68646FA9047}"/>
              </c:ext>
            </c:extLst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5-40F2-AD2F-E68646FA9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summary!$H$96:$H$101</c:f>
              <c:numCache>
                <c:formatCode>0%</c:formatCode>
                <c:ptCount val="6"/>
                <c:pt idx="0">
                  <c:v>0.68646424979892329</c:v>
                </c:pt>
                <c:pt idx="1">
                  <c:v>2.5667467542450084E-2</c:v>
                </c:pt>
                <c:pt idx="2">
                  <c:v>6.2211335227876849E-2</c:v>
                </c:pt>
                <c:pt idx="3">
                  <c:v>0.13855497620157942</c:v>
                </c:pt>
                <c:pt idx="4">
                  <c:v>8.7101971229170239E-2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D5-40F2-AD2F-E68646FA90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6-48FF-A702-A5476AC0CFCA}"/>
              </c:ext>
            </c:extLst>
          </c:dPt>
          <c:dPt>
            <c:idx val="1"/>
            <c:bubble3D val="0"/>
            <c:spPr>
              <a:solidFill>
                <a:srgbClr val="E4692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E6-48FF-A702-A5476AC0CFCA}"/>
              </c:ext>
            </c:extLst>
          </c:dPt>
          <c:dPt>
            <c:idx val="2"/>
            <c:bubble3D val="0"/>
            <c:spPr>
              <a:solidFill>
                <a:srgbClr val="FE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E6-48FF-A702-A5476AC0CF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6-48FF-A702-A5476AC0CFCA}"/>
              </c:ext>
            </c:extLst>
          </c:dPt>
          <c:dPt>
            <c:idx val="4"/>
            <c:bubble3D val="0"/>
            <c:spPr>
              <a:solidFill>
                <a:srgbClr val="A7A7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E6-48FF-A702-A5476AC0CF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E6-48FF-A702-A5476AC0CFCA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6-48FF-A702-A5476AC0CF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6-48FF-A702-A5476AC0C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summary!$I$96:$I$101</c:f>
              <c:numCache>
                <c:formatCode>0%</c:formatCode>
                <c:ptCount val="6"/>
                <c:pt idx="0">
                  <c:v>0.28815363672264338</c:v>
                </c:pt>
                <c:pt idx="1">
                  <c:v>0.42561487343703547</c:v>
                </c:pt>
                <c:pt idx="2">
                  <c:v>1.2869498245289719E-2</c:v>
                </c:pt>
                <c:pt idx="3">
                  <c:v>0</c:v>
                </c:pt>
                <c:pt idx="4">
                  <c:v>0.27336199159503155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E6-48FF-A702-A5476AC0CF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F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0-4154-81E1-3537DF7FCA22}"/>
              </c:ext>
            </c:extLst>
          </c:dPt>
          <c:dPt>
            <c:idx val="1"/>
            <c:bubble3D val="0"/>
            <c:spPr>
              <a:solidFill>
                <a:srgbClr val="E4692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50-4154-81E1-3537DF7FCA22}"/>
              </c:ext>
            </c:extLst>
          </c:dPt>
          <c:dPt>
            <c:idx val="2"/>
            <c:bubble3D val="0"/>
            <c:spPr>
              <a:solidFill>
                <a:srgbClr val="FE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50-4154-81E1-3537DF7FCA22}"/>
              </c:ext>
            </c:extLst>
          </c:dPt>
          <c:dPt>
            <c:idx val="3"/>
            <c:bubble3D val="0"/>
            <c:spPr>
              <a:solidFill>
                <a:srgbClr val="FF797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0-4154-81E1-3537DF7FCA22}"/>
              </c:ext>
            </c:extLst>
          </c:dPt>
          <c:dPt>
            <c:idx val="4"/>
            <c:bubble3D val="0"/>
            <c:spPr>
              <a:solidFill>
                <a:srgbClr val="A7A7A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50-4154-81E1-3537DF7FCA22}"/>
              </c:ext>
            </c:extLst>
          </c:dPt>
          <c:dPt>
            <c:idx val="5"/>
            <c:bubble3D val="0"/>
            <c:spPr>
              <a:solidFill>
                <a:srgbClr val="008B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50-4154-81E1-3537DF7F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summary!$J$96:$J$101</c:f>
              <c:numCache>
                <c:formatCode>0%</c:formatCode>
                <c:ptCount val="6"/>
                <c:pt idx="0">
                  <c:v>0.41151016129156714</c:v>
                </c:pt>
                <c:pt idx="1">
                  <c:v>0.27536453644808823</c:v>
                </c:pt>
                <c:pt idx="2">
                  <c:v>5.4679551066842899E-2</c:v>
                </c:pt>
                <c:pt idx="3">
                  <c:v>7.0646817860703162E-2</c:v>
                </c:pt>
                <c:pt idx="4">
                  <c:v>0.16148002406884723</c:v>
                </c:pt>
                <c:pt idx="5">
                  <c:v>2.631890926395121E-2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50-4154-81E1-3537DF7FCA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Value</a:t>
            </a:r>
            <a:r>
              <a:rPr lang="en-US" baseline="0"/>
              <a:t>-accretion</a:t>
            </a:r>
            <a:endParaRPr lang="en-US"/>
          </a:p>
        </c:rich>
      </c:tx>
      <c:layout>
        <c:manualLayout>
          <c:xMode val="edge"/>
          <c:yMode val="edge"/>
          <c:x val="0.35663009911573634"/>
          <c:y val="3.952078714831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456817851314452E-2"/>
          <c:y val="0.1463819744763411"/>
          <c:w val="0.88963411580283502"/>
          <c:h val="0.74530789119361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summary!$H$223</c:f>
              <c:strCache>
                <c:ptCount val="1"/>
                <c:pt idx="0">
                  <c:v>Completed Costs*</c:v>
                </c:pt>
              </c:strCache>
            </c:strRef>
          </c:tx>
          <c:spPr>
            <a:solidFill>
              <a:srgbClr val="FFFF0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summary!$I$222:$K$222</c:f>
              <c:strCache>
                <c:ptCount val="3"/>
                <c:pt idx="0">
                  <c:v>Phase 1</c:v>
                </c:pt>
                <c:pt idx="1">
                  <c:v>Phase 2</c:v>
                </c:pt>
                <c:pt idx="2">
                  <c:v>Phase 3</c:v>
                </c:pt>
              </c:strCache>
            </c:strRef>
          </c:cat>
          <c:val>
            <c:numRef>
              <c:f>summary!$I$223:$K$223</c:f>
              <c:numCache>
                <c:formatCode>_("$"* #,##0_);_("$"* \(#,##0\);_("$"* "-"??_);_(@_)</c:formatCode>
                <c:ptCount val="3"/>
                <c:pt idx="0">
                  <c:v>365</c:v>
                </c:pt>
                <c:pt idx="1">
                  <c:v>191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4-4632-85C0-C0685FEE3ED4}"/>
            </c:ext>
          </c:extLst>
        </c:ser>
        <c:ser>
          <c:idx val="1"/>
          <c:order val="1"/>
          <c:tx>
            <c:strRef>
              <c:f>summary!$H$224</c:f>
              <c:strCache>
                <c:ptCount val="1"/>
                <c:pt idx="0">
                  <c:v>Stabilized Value*</c:v>
                </c:pt>
              </c:strCache>
            </c:strRef>
          </c:tx>
          <c:spPr>
            <a:solidFill>
              <a:srgbClr val="FF797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summary!$I$222:$K$222</c:f>
              <c:strCache>
                <c:ptCount val="3"/>
                <c:pt idx="0">
                  <c:v>Phase 1</c:v>
                </c:pt>
                <c:pt idx="1">
                  <c:v>Phase 2</c:v>
                </c:pt>
                <c:pt idx="2">
                  <c:v>Phase 3</c:v>
                </c:pt>
              </c:strCache>
            </c:strRef>
          </c:cat>
          <c:val>
            <c:numRef>
              <c:f>summary!$I$224:$K$224</c:f>
              <c:numCache>
                <c:formatCode>_("$"* #,##0_);_("$"* \(#,##0\);_("$"* "-"??_);_(@_)</c:formatCode>
                <c:ptCount val="3"/>
                <c:pt idx="0">
                  <c:v>513</c:v>
                </c:pt>
                <c:pt idx="1">
                  <c:v>280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4-4632-85C0-C0685FEE3ED4}"/>
            </c:ext>
          </c:extLst>
        </c:ser>
        <c:ser>
          <c:idx val="2"/>
          <c:order val="2"/>
          <c:tx>
            <c:strRef>
              <c:f>summary!$H$225</c:f>
              <c:strCache>
                <c:ptCount val="1"/>
                <c:pt idx="0">
                  <c:v>Value-add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summary!$I$222:$K$222</c:f>
              <c:strCache>
                <c:ptCount val="3"/>
                <c:pt idx="0">
                  <c:v>Phase 1</c:v>
                </c:pt>
                <c:pt idx="1">
                  <c:v>Phase 2</c:v>
                </c:pt>
                <c:pt idx="2">
                  <c:v>Phase 3</c:v>
                </c:pt>
              </c:strCache>
            </c:strRef>
          </c:cat>
          <c:val>
            <c:numRef>
              <c:f>summary!$I$225:$K$225</c:f>
              <c:numCache>
                <c:formatCode>_("$"* #,##0_);_("$"* \(#,##0\);_("$"* "-"??_);_(@_)</c:formatCode>
                <c:ptCount val="3"/>
                <c:pt idx="0">
                  <c:v>148</c:v>
                </c:pt>
                <c:pt idx="1">
                  <c:v>89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C4-4632-85C0-C0685FEE3E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31222480"/>
        <c:axId val="1031236256"/>
      </c:barChart>
      <c:catAx>
        <c:axId val="103122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031236256"/>
        <c:crosses val="autoZero"/>
        <c:auto val="1"/>
        <c:lblAlgn val="ctr"/>
        <c:lblOffset val="100"/>
        <c:noMultiLvlLbl val="0"/>
      </c:catAx>
      <c:valAx>
        <c:axId val="103123625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Millions ($)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crossAx val="103122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256588217677708"/>
          <c:y val="0.20916982522963981"/>
          <c:w val="0.27185915806491867"/>
          <c:h val="0.22751621388862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summary!$A$164:$A$167</c:f>
              <c:strCache>
                <c:ptCount val="4"/>
                <c:pt idx="0">
                  <c:v>Multi</c:v>
                </c:pt>
                <c:pt idx="1">
                  <c:v>Condo</c:v>
                </c:pt>
                <c:pt idx="2">
                  <c:v>Affordable</c:v>
                </c:pt>
                <c:pt idx="3">
                  <c:v>Hotel</c:v>
                </c:pt>
              </c:strCache>
            </c:strRef>
          </c:cat>
          <c:val>
            <c:numRef>
              <c:f>summary!$C$164:$C$167</c:f>
              <c:numCache>
                <c:formatCode>_(* #,##0_);_(* \(#,##0\);_(* "-"??_);_(@_)</c:formatCode>
                <c:ptCount val="4"/>
                <c:pt idx="0">
                  <c:v>471.04017977528082</c:v>
                </c:pt>
                <c:pt idx="1">
                  <c:v>145.48843243243243</c:v>
                </c:pt>
                <c:pt idx="2">
                  <c:v>88.79862857142858</c:v>
                </c:pt>
                <c:pt idx="3">
                  <c:v>297.72121015384613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2-494A-A2E6-8B1485A6CC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35110888"/>
        <c:axId val="635109904"/>
      </c:barChart>
      <c:catAx>
        <c:axId val="635110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35109904"/>
        <c:crosses val="autoZero"/>
        <c:auto val="1"/>
        <c:lblAlgn val="ctr"/>
        <c:lblOffset val="100"/>
        <c:noMultiLvlLbl val="0"/>
      </c:catAx>
      <c:valAx>
        <c:axId val="635109904"/>
        <c:scaling>
          <c:orientation val="minMax"/>
          <c:max val="7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3511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768k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C-42B5-B7A4-68D14279F7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152K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C-42B5-B7A4-68D14279F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summary!$A$97:$A$98</c:f>
              <c:strCache>
                <c:ptCount val="2"/>
                <c:pt idx="0">
                  <c:v>Office</c:v>
                </c:pt>
                <c:pt idx="1">
                  <c:v>Retail</c:v>
                </c:pt>
              </c:strCache>
            </c:strRef>
          </c:cat>
          <c:val>
            <c:numRef>
              <c:f>summary!$C$97:$C$98</c:f>
              <c:numCache>
                <c:formatCode>_(* #,##0_);_(* \(#,##0\);_(* "-"??_);_(@_)</c:formatCode>
                <c:ptCount val="2"/>
                <c:pt idx="0">
                  <c:v>768858.5</c:v>
                </c:pt>
                <c:pt idx="1">
                  <c:v>152440.54370000001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C-42B5-B7A4-68D14279F7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92933408"/>
        <c:axId val="692930456"/>
      </c:barChart>
      <c:catAx>
        <c:axId val="692933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2930456"/>
        <c:crosses val="autoZero"/>
        <c:auto val="1"/>
        <c:lblAlgn val="ctr"/>
        <c:lblOffset val="100"/>
        <c:noMultiLvlLbl val="0"/>
      </c:catAx>
      <c:valAx>
        <c:axId val="692930456"/>
        <c:scaling>
          <c:orientation val="minMax"/>
          <c:max val="8000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SF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9293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summary!$A$164:$A$167</c:f>
              <c:strCache>
                <c:ptCount val="4"/>
                <c:pt idx="0">
                  <c:v>Multi</c:v>
                </c:pt>
                <c:pt idx="1">
                  <c:v>Condo</c:v>
                </c:pt>
                <c:pt idx="2">
                  <c:v>Affordable</c:v>
                </c:pt>
                <c:pt idx="3">
                  <c:v>Hotel</c:v>
                </c:pt>
              </c:strCache>
            </c:strRef>
          </c:cat>
          <c:val>
            <c:numRef>
              <c:f>summary!$D$164:$D$167</c:f>
              <c:numCache>
                <c:formatCode>_(* #,##0_);_(* \(#,##0\);_(* "-"??_);_(@_)</c:formatCode>
                <c:ptCount val="4"/>
                <c:pt idx="0">
                  <c:v>565.91470972584261</c:v>
                </c:pt>
                <c:pt idx="1">
                  <c:v>521.98281718918929</c:v>
                </c:pt>
                <c:pt idx="2">
                  <c:v>115.6108702457143</c:v>
                </c:pt>
                <c:pt idx="3">
                  <c:v>483.21720230769233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2-4BAD-9CB7-ACC00428BB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35110888"/>
        <c:axId val="635109904"/>
      </c:barChart>
      <c:catAx>
        <c:axId val="635110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35109904"/>
        <c:crosses val="autoZero"/>
        <c:auto val="1"/>
        <c:lblAlgn val="ctr"/>
        <c:lblOffset val="100"/>
        <c:noMultiLvlLbl val="0"/>
      </c:catAx>
      <c:valAx>
        <c:axId val="635109904"/>
        <c:scaling>
          <c:orientation val="minMax"/>
          <c:max val="7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3511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summary!$A$164:$A$167</c:f>
              <c:strCache>
                <c:ptCount val="4"/>
                <c:pt idx="0">
                  <c:v>Multi</c:v>
                </c:pt>
                <c:pt idx="1">
                  <c:v>Condo</c:v>
                </c:pt>
                <c:pt idx="2">
                  <c:v>Affordable</c:v>
                </c:pt>
                <c:pt idx="3">
                  <c:v>Hotel</c:v>
                </c:pt>
              </c:strCache>
            </c:strRef>
          </c:cat>
          <c:val>
            <c:numRef>
              <c:f>summary!$E$164:$E$167</c:f>
              <c:numCache>
                <c:formatCode>_(* #,##0_);_(* \(#,##0\);_(* "-"??_);_(@_)</c:formatCode>
                <c:ptCount val="4"/>
                <c:pt idx="0">
                  <c:v>373.44970786516859</c:v>
                </c:pt>
                <c:pt idx="2">
                  <c:v>59.351828571428577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1-42CC-8802-C0B08AA5B4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35110888"/>
        <c:axId val="635109904"/>
      </c:barChart>
      <c:catAx>
        <c:axId val="635110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35109904"/>
        <c:crosses val="autoZero"/>
        <c:auto val="1"/>
        <c:lblAlgn val="ctr"/>
        <c:lblOffset val="100"/>
        <c:noMultiLvlLbl val="0"/>
      </c:catAx>
      <c:valAx>
        <c:axId val="635109904"/>
        <c:scaling>
          <c:orientation val="minMax"/>
          <c:max val="7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35110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38k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7-4E0F-BE5A-9B0D53EBEF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94k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7-4E0F-BE5A-9B0D53EBE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summary!$A$97:$A$98</c:f>
              <c:strCache>
                <c:ptCount val="2"/>
                <c:pt idx="0">
                  <c:v>Office</c:v>
                </c:pt>
                <c:pt idx="1">
                  <c:v>Retail</c:v>
                </c:pt>
              </c:strCache>
            </c:strRef>
          </c:cat>
          <c:val>
            <c:numRef>
              <c:f>summary!$D$97:$D$98</c:f>
              <c:numCache>
                <c:formatCode>_(* #,##0_);_(* \(#,##0\);_(* "-"??_);_(@_)</c:formatCode>
                <c:ptCount val="2"/>
                <c:pt idx="0">
                  <c:v>38790.5</c:v>
                </c:pt>
                <c:pt idx="1">
                  <c:v>94018.188399999999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E0F-BE5A-9B0D53EBEF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92933408"/>
        <c:axId val="692930456"/>
      </c:barChart>
      <c:catAx>
        <c:axId val="692933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2930456"/>
        <c:crosses val="autoZero"/>
        <c:auto val="1"/>
        <c:lblAlgn val="ctr"/>
        <c:lblOffset val="100"/>
        <c:noMultiLvlLbl val="0"/>
      </c:catAx>
      <c:valAx>
        <c:axId val="692930456"/>
        <c:scaling>
          <c:orientation val="minMax"/>
          <c:max val="8000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SF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9293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Phase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C-4C38-B63A-2EFDF93341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EC-4C38-B63A-2EFDF93341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EC-4C38-B63A-2EFDF93341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C-4C38-B63A-2EFDF93341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6EC-4C38-B63A-2EFDF93341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6EC-4C38-B63A-2EFDF93341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(summary!$A$11,summary!$A$15:$A$16,summary!$A$20:$A$22)</c:f>
              <c:strCache>
                <c:ptCount val="6"/>
                <c:pt idx="0">
                  <c:v>Gross Residential SF</c:v>
                </c:pt>
                <c:pt idx="1">
                  <c:v>Office</c:v>
                </c:pt>
                <c:pt idx="2">
                  <c:v> Retail </c:v>
                </c:pt>
                <c:pt idx="3">
                  <c:v>Hotel</c:v>
                </c:pt>
                <c:pt idx="4">
                  <c:v>Parking</c:v>
                </c:pt>
                <c:pt idx="5">
                  <c:v>Public buildings</c:v>
                </c:pt>
              </c:strCache>
            </c:strRef>
          </c:cat>
          <c:val>
            <c:numRef>
              <c:f>(summary!$C$11,summary!$C$15:$C$16,summary!$C$20:$C$22)</c:f>
              <c:numCache>
                <c:formatCode>_(* #,##0_);_(* \(#,##0\);_(* "-"??_);_(@_)</c:formatCode>
                <c:ptCount val="6"/>
                <c:pt idx="0">
                  <c:v>1037433.5308999999</c:v>
                </c:pt>
                <c:pt idx="1">
                  <c:v>38790.5</c:v>
                </c:pt>
                <c:pt idx="2">
                  <c:v>94018.188399999999</c:v>
                </c:pt>
                <c:pt idx="3">
                  <c:v>209394.12100000001</c:v>
                </c:pt>
                <c:pt idx="4">
                  <c:v>131634.68540000002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4-4C3E-AB6A-AA636351073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511k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5-475A-9188-2DCFA2DE592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15k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5-475A-9188-2DCFA2DE5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summary!$A$97:$A$98</c:f>
              <c:strCache>
                <c:ptCount val="2"/>
                <c:pt idx="0">
                  <c:v>Office</c:v>
                </c:pt>
                <c:pt idx="1">
                  <c:v>Retail</c:v>
                </c:pt>
              </c:strCache>
            </c:strRef>
          </c:cat>
          <c:val>
            <c:numRef>
              <c:f>summary!$E$97:$E$98</c:f>
              <c:numCache>
                <c:formatCode>_(* #,##0_);_(* \(#,##0\);_(* "-"??_);_(@_)</c:formatCode>
                <c:ptCount val="2"/>
                <c:pt idx="0">
                  <c:v>511379.82342500007</c:v>
                </c:pt>
                <c:pt idx="1">
                  <c:v>15462.809574999999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5-475A-9188-2DCFA2DE59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27"/>
        <c:axId val="692933408"/>
        <c:axId val="692930456"/>
      </c:barChart>
      <c:catAx>
        <c:axId val="692933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2930456"/>
        <c:crosses val="autoZero"/>
        <c:auto val="1"/>
        <c:lblAlgn val="ctr"/>
        <c:lblOffset val="100"/>
        <c:noMultiLvlLbl val="0"/>
      </c:catAx>
      <c:valAx>
        <c:axId val="692930456"/>
        <c:scaling>
          <c:orientation val="minMax"/>
          <c:max val="8000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SF deliveries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69293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'res, market-rate (2)'!$S$16:$S$18</c:f>
              <c:strCache>
                <c:ptCount val="3"/>
                <c:pt idx="0">
                  <c:v>Cincinnati Market: Total Inventory</c:v>
                </c:pt>
                <c:pt idx="1">
                  <c:v>Cincinnati Market: 12 month absorption</c:v>
                </c:pt>
                <c:pt idx="2">
                  <c:v>Cincinnati United Annual Absorption</c:v>
                </c:pt>
              </c:strCache>
            </c:strRef>
          </c:cat>
          <c:val>
            <c:numRef>
              <c:f>'res, market-rate (2)'!$T$16:$T$18</c:f>
              <c:numCache>
                <c:formatCode>_(* #,##0_);_(* \(#,##0\);_(* "-"??_);_(@_)</c:formatCode>
                <c:ptCount val="3"/>
                <c:pt idx="0">
                  <c:v>125223</c:v>
                </c:pt>
                <c:pt idx="1">
                  <c:v>2556</c:v>
                </c:pt>
                <c:pt idx="2">
                  <c:v>235.06743289438202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3-44A5-89B5-709BF2E4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1297216"/>
        <c:axId val="759880024"/>
      </c:barChart>
      <c:catAx>
        <c:axId val="651297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880024"/>
        <c:crosses val="autoZero"/>
        <c:auto val="1"/>
        <c:lblAlgn val="ctr"/>
        <c:lblOffset val="100"/>
        <c:noMultiLvlLbl val="0"/>
      </c:catAx>
      <c:valAx>
        <c:axId val="75988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29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'res, market-rate (2)'!$S$16</c:f>
              <c:strCache>
                <c:ptCount val="1"/>
                <c:pt idx="0">
                  <c:v>Cincinnati Market: Total Inventory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'res, market-rate (2)'!$T$16</c:f>
              <c:numCache>
                <c:formatCode>_(* #,##0_);_(* \(#,##0\);_(* "-"??_);_(@_)</c:formatCode>
                <c:ptCount val="1"/>
                <c:pt idx="0">
                  <c:v>125223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B-490C-BEA3-D72BE888E8B6}"/>
            </c:ext>
          </c:extLst>
        </c:ser>
        <c:ser>
          <c:idx val="1"/>
          <c:order val="1"/>
          <c:tx>
            <c:strRef>
              <c:f>'res, market-rate (2)'!$S$17</c:f>
              <c:strCache>
                <c:ptCount val="1"/>
                <c:pt idx="0">
                  <c:v>Cincinnati Market: 12 month absorption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'res, market-rate (2)'!$T$17</c:f>
              <c:numCache>
                <c:formatCode>_(* #,##0_);_(* \(#,##0\);_(* "-"??_);_(@_)</c:formatCode>
                <c:ptCount val="1"/>
                <c:pt idx="0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B-490C-BEA3-D72BE888E8B6}"/>
            </c:ext>
          </c:extLst>
        </c:ser>
        <c:ser>
          <c:idx val="2"/>
          <c:order val="2"/>
          <c:tx>
            <c:strRef>
              <c:f>'res, market-rate (2)'!$S$18</c:f>
              <c:strCache>
                <c:ptCount val="1"/>
                <c:pt idx="0">
                  <c:v>Cincinnati United Annual Absorption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'res, market-rate (2)'!$T$18</c:f>
              <c:numCache>
                <c:formatCode>_(* #,##0_);_(* \(#,##0\);_(* "-"??_);_(@_)</c:formatCode>
                <c:ptCount val="1"/>
                <c:pt idx="0">
                  <c:v>235.06743289438202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0B-490C-BEA3-D72BE888E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1115240"/>
        <c:axId val="761113600"/>
      </c:barChart>
      <c:catAx>
        <c:axId val="76111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3600"/>
        <c:crosses val="autoZero"/>
        <c:auto val="1"/>
        <c:lblAlgn val="ctr"/>
        <c:lblOffset val="100"/>
        <c:noMultiLvlLbl val="0"/>
      </c:catAx>
      <c:valAx>
        <c:axId val="7611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'res, market-rate (2)'!$S$16</c:f>
              <c:strCache>
                <c:ptCount val="1"/>
                <c:pt idx="0">
                  <c:v>Cincinnati Market: Total Inventory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'res, market-rate (2)'!$T$16</c:f>
              <c:numCache>
                <c:formatCode>_(* #,##0_);_(* \(#,##0\);_(* "-"??_);_(@_)</c:formatCode>
                <c:ptCount val="1"/>
                <c:pt idx="0">
                  <c:v>125223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C-40F4-BD11-3D15A3A00930}"/>
            </c:ext>
          </c:extLst>
        </c:ser>
        <c:ser>
          <c:idx val="1"/>
          <c:order val="1"/>
          <c:tx>
            <c:strRef>
              <c:f>'res, market-rate (2)'!$S$17</c:f>
              <c:strCache>
                <c:ptCount val="1"/>
                <c:pt idx="0">
                  <c:v>Cincinnati Market: 12 month absorption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'res, market-rate (2)'!$T$17</c:f>
              <c:numCache>
                <c:formatCode>_(* #,##0_);_(* \(#,##0\);_(* "-"??_);_(@_)</c:formatCode>
                <c:ptCount val="1"/>
                <c:pt idx="0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C-40F4-BD11-3D15A3A00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3391816"/>
        <c:axId val="763393456"/>
      </c:barChart>
      <c:catAx>
        <c:axId val="76339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393456"/>
        <c:crosses val="autoZero"/>
        <c:auto val="1"/>
        <c:lblAlgn val="ctr"/>
        <c:lblOffset val="100"/>
        <c:noMultiLvlLbl val="0"/>
      </c:catAx>
      <c:valAx>
        <c:axId val="7633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39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b="1"/>
              <a:t>Can the market absorb the new supply?</a:t>
            </a:r>
          </a:p>
        </c:rich>
      </c:tx>
      <c:layout>
        <c:manualLayout>
          <c:xMode val="edge"/>
          <c:yMode val="edge"/>
          <c:x val="0.23070880890523593"/>
          <c:y val="6.16293878635926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66334208223975"/>
          <c:y val="0.11648117448348384"/>
          <c:w val="0.73544776902887143"/>
          <c:h val="0.71073436467619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'res, market-rate (2)'!$S$21</c:f>
              <c:strCache>
                <c:ptCount val="1"/>
                <c:pt idx="0">
                  <c:v>Cincinnati United  average annual absorption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40003575911492539"/>
                  <c:y val="-0.1269825927734216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Cincinnati United, proposed units per year:</a:t>
                    </a:r>
                    <a:fld id="{CCA01B65-48EC-4813-8E4C-6206478F3D1F}" type="VALUE">
                      <a:rPr lang="en-US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495514298780783"/>
                      <c:h val="0.1415775392128075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6F0-44BF-8272-94C39F3312F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'res, market-rate (2)'!$T$20</c:f>
              <c:strCache>
                <c:ptCount val="1"/>
                <c:pt idx="0">
                  <c:v>Units</c:v>
                </c:pt>
              </c:strCache>
            </c:strRef>
          </c:cat>
          <c:val>
            <c:numRef>
              <c:f>'res, market-rate (2)'!$T$21</c:f>
              <c:numCache>
                <c:formatCode>_(* #,##0_);_(* \(#,##0\);_(* "-"??_);_(@_)</c:formatCode>
                <c:ptCount val="1"/>
                <c:pt idx="0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0-44BF-8272-94C39F3312F2}"/>
            </c:ext>
          </c:extLst>
        </c:ser>
        <c:ser>
          <c:idx val="1"/>
          <c:order val="1"/>
          <c:tx>
            <c:strRef>
              <c:f>'res, market-rate (2)'!$S$22</c:f>
              <c:strCache>
                <c:ptCount val="1"/>
                <c:pt idx="0">
                  <c:v>Cincinnati market 12 month absorption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35592453776268301"/>
                  <c:y val="-0.3672705773224306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 month absorption (units): </a:t>
                    </a:r>
                    <a:fld id="{32309812-B12C-4D82-A57E-936EAFA94095}" type="VALUE">
                      <a:rPr lang="en-US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770276765983228"/>
                      <c:h val="0.1015747056683479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6F0-44BF-8272-94C39F3312F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'res, market-rate (2)'!$T$20</c:f>
              <c:strCache>
                <c:ptCount val="1"/>
                <c:pt idx="0">
                  <c:v>Units</c:v>
                </c:pt>
              </c:strCache>
            </c:strRef>
          </c:cat>
          <c:val>
            <c:numRef>
              <c:f>'res, market-rate (2)'!$T$22</c:f>
              <c:numCache>
                <c:formatCode>_(* #,##0_);_(* \(#,##0\);_(* "-"??_);_(@_)</c:formatCode>
                <c:ptCount val="1"/>
                <c:pt idx="0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0-44BF-8272-94C39F3312F2}"/>
            </c:ext>
          </c:extLst>
        </c:ser>
        <c:ser>
          <c:idx val="2"/>
          <c:order val="2"/>
          <c:tx>
            <c:strRef>
              <c:f>'res, market-rate (2)'!$S$23</c:f>
              <c:strCache>
                <c:ptCount val="1"/>
                <c:pt idx="0">
                  <c:v>Cincinnati market total inventory</c:v>
                </c:pt>
              </c:strCache>
            </c:strRef>
          </c:tx>
          <c:spPr>
            <a:solidFill>
              <a:srgbClr val="E4692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3175033211286894"/>
                  <c:y val="-0.2186198141159189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Total inventory (units):</a:t>
                    </a:r>
                    <a:fld id="{8DEDBAE5-B3CD-45AF-AD8F-9D05D24A67E1}" type="VALUE">
                      <a:rPr lang="en-US" b="1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388576789859593"/>
                      <c:h val="8.732845369265554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6F0-44BF-8272-94C39F3312F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'res, market-rate (2)'!$T$20</c:f>
              <c:strCache>
                <c:ptCount val="1"/>
                <c:pt idx="0">
                  <c:v>Units</c:v>
                </c:pt>
              </c:strCache>
            </c:strRef>
          </c:cat>
          <c:val>
            <c:numRef>
              <c:f>'res, market-rate (2)'!$T$23</c:f>
              <c:numCache>
                <c:formatCode>_(* #,##0_);_(* \(#,##0\);_(* "-"??_);_(@_)</c:formatCode>
                <c:ptCount val="1"/>
                <c:pt idx="0">
                  <c:v>122432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0-44BF-8272-94C39F331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2558776"/>
        <c:axId val="932559104"/>
      </c:barChart>
      <c:catAx>
        <c:axId val="932558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2559104"/>
        <c:crosses val="autoZero"/>
        <c:auto val="1"/>
        <c:lblAlgn val="ctr"/>
        <c:lblOffset val="100"/>
        <c:noMultiLvlLbl val="0"/>
      </c:catAx>
      <c:valAx>
        <c:axId val="932559104"/>
        <c:scaling>
          <c:orientation val="minMax"/>
        </c:scaling>
        <c:delete val="1"/>
        <c:axPos val="l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 b="1"/>
                  <a:t>TOTAL INVENTORY (UNITS)</a:t>
                </a:r>
              </a:p>
            </c:rich>
          </c:tx>
          <c:layout>
            <c:manualLayout>
              <c:xMode val="edge"/>
              <c:yMode val="edge"/>
              <c:x val="0.77800991777405404"/>
              <c:y val="0.361940191747660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crossAx val="932558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Monthly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'res, condo (2)'!$S$13</c:f>
              <c:strCache>
                <c:ptCount val="1"/>
                <c:pt idx="0">
                  <c:v>Average units sold per month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'res, condo (2)'!$R$14:$R$24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'res, condo (2)'!$S$14:$S$24</c:f>
              <c:numCache>
                <c:formatCode>General</c:formatCode>
                <c:ptCount val="11"/>
                <c:pt idx="6" formatCode="_(* #,##0_);_(* \(#,##0\);_(* &quot;-&quot;??_);_(@_)">
                  <c:v>6</c:v>
                </c:pt>
                <c:pt idx="7" formatCode="_(* #,##0_);_(* \(#,##0\);_(* &quot;-&quot;??_);_(@_)">
                  <c:v>6</c:v>
                </c:pt>
                <c:pt idx="8" formatCode="_(* #,##0_);_(* \(#,##0\);_(* &quot;-&quot;??_);_(@_)">
                  <c:v>21.666666666666668</c:v>
                </c:pt>
                <c:pt idx="9" formatCode="_(* #,##0_);_(* \(#,##0\);_(* &quot;-&quot;??_);_(@_)">
                  <c:v>21.666666666666668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B-4635-B7FD-B3F30CC7EF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952349096"/>
        <c:axId val="952351064"/>
      </c:barChart>
      <c:catAx>
        <c:axId val="952349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52351064"/>
        <c:crosses val="autoZero"/>
        <c:auto val="1"/>
        <c:lblAlgn val="ctr"/>
        <c:lblOffset val="100"/>
        <c:noMultiLvlLbl val="0"/>
      </c:catAx>
      <c:valAx>
        <c:axId val="95235106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Units sold,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95234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400" b="0"/>
              <a:t>Units completed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'res, condo (2)'!$V$13</c:f>
              <c:strCache>
                <c:ptCount val="1"/>
                <c:pt idx="0">
                  <c:v>Units completed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'res, condo (2)'!$U$14:$U$16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'res, condo (2)'!$V$14:$V$16</c:f>
              <c:numCache>
                <c:formatCode>_(* #,##0_);_(* \(#,##0\);_(* "-"??_);_(@_)</c:formatCode>
                <c:ptCount val="3"/>
                <c:pt idx="0">
                  <c:v>145.48843243243243</c:v>
                </c:pt>
                <c:pt idx="1">
                  <c:v>521.98281718918929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9-47CA-879F-7C7AD99A1F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952364512"/>
        <c:axId val="649206008"/>
      </c:barChart>
      <c:catAx>
        <c:axId val="952364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Phase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9206008"/>
        <c:crosses val="autoZero"/>
        <c:auto val="1"/>
        <c:lblAlgn val="ctr"/>
        <c:lblOffset val="100"/>
        <c:noMultiLvlLbl val="0"/>
      </c:catAx>
      <c:valAx>
        <c:axId val="64920600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Units completed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95236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Century Gothic" panose="020B050202020202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400" b="0"/>
              <a:t>Units completed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'res, condo (2)'!$V$13</c:f>
              <c:strCache>
                <c:ptCount val="1"/>
                <c:pt idx="0">
                  <c:v>Units completed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'res, condo (2)'!$U$14:$U$16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'res, condo (2)'!$V$14:$V$16</c:f>
              <c:numCache>
                <c:formatCode>_(* #,##0_);_(* \(#,##0\);_(* "-"??_);_(@_)</c:formatCode>
                <c:ptCount val="3"/>
                <c:pt idx="0">
                  <c:v>145.48843243243243</c:v>
                </c:pt>
                <c:pt idx="1">
                  <c:v>521.98281718918929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09B-BCEA-B42C20C3F9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"/>
        <c:axId val="952364512"/>
        <c:axId val="649206008"/>
      </c:barChart>
      <c:catAx>
        <c:axId val="952364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Phase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9206008"/>
        <c:crosses val="autoZero"/>
        <c:auto val="1"/>
        <c:lblAlgn val="ctr"/>
        <c:lblOffset val="100"/>
        <c:noMultiLvlLbl val="0"/>
      </c:catAx>
      <c:valAx>
        <c:axId val="64920600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Units completed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crossAx val="95236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Century Gothic" panose="020B050202020202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Delivery</a:t>
            </a:r>
            <a:r>
              <a:rPr lang="en-US" baseline="0"/>
              <a:t> and absorption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'res, affordable'!$S$8</c:f>
              <c:strCache>
                <c:ptCount val="1"/>
                <c:pt idx="0">
                  <c:v>Units Completed</c:v>
                </c:pt>
              </c:strCache>
            </c:strRef>
          </c:tx>
          <c:spPr>
            <a:solidFill>
              <a:srgbClr val="FFFF01"/>
            </a:solidFill>
            <a:ln>
              <a:noFill/>
            </a:ln>
            <a:effectLst/>
          </c:spPr>
          <c:invertIfNegative val="0"/>
          <c:cat>
            <c:numRef>
              <c:f>'res, affordable'!$R$9:$R$18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'res, affordable'!$S$9:$S$18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88.79862857142858</c:v>
                </c:pt>
                <c:pt idx="4">
                  <c:v>88.79862857142858</c:v>
                </c:pt>
                <c:pt idx="5">
                  <c:v>204.40949881714289</c:v>
                </c:pt>
                <c:pt idx="6">
                  <c:v>204.40949881714289</c:v>
                </c:pt>
                <c:pt idx="7">
                  <c:v>263.76132738857149</c:v>
                </c:pt>
                <c:pt idx="8">
                  <c:v>263.76132738857149</c:v>
                </c:pt>
                <c:pt idx="9">
                  <c:v>263.76132738857149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9-41AE-BDC1-B5D4710A25C3}"/>
            </c:ext>
          </c:extLst>
        </c:ser>
        <c:ser>
          <c:idx val="1"/>
          <c:order val="1"/>
          <c:tx>
            <c:strRef>
              <c:f>'res, affordable'!$V$8</c:f>
              <c:strCache>
                <c:ptCount val="1"/>
                <c:pt idx="0">
                  <c:v>Units leased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cat>
            <c:numRef>
              <c:f>'res, affordable'!$R$9:$R$18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'res, affordable'!$V$9:$V$18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87.022656000000012</c:v>
                </c:pt>
                <c:pt idx="4">
                  <c:v>87.022656000000012</c:v>
                </c:pt>
                <c:pt idx="5">
                  <c:v>200.32130884080001</c:v>
                </c:pt>
                <c:pt idx="6">
                  <c:v>200.32130884080001</c:v>
                </c:pt>
                <c:pt idx="7">
                  <c:v>258.48610084080002</c:v>
                </c:pt>
                <c:pt idx="8">
                  <c:v>258.48610084080002</c:v>
                </c:pt>
                <c:pt idx="9">
                  <c:v>258.48610084080002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9-41AE-BDC1-B5D4710A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965447216"/>
        <c:axId val="965447544"/>
      </c:barChart>
      <c:catAx>
        <c:axId val="965447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65447544"/>
        <c:crosses val="autoZero"/>
        <c:auto val="1"/>
        <c:lblAlgn val="ctr"/>
        <c:lblOffset val="100"/>
        <c:noMultiLvlLbl val="0"/>
      </c:catAx>
      <c:valAx>
        <c:axId val="96544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Units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654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b="1"/>
              <a:t>Can the market absorb the new supply?</a:t>
            </a:r>
          </a:p>
        </c:rich>
      </c:tx>
      <c:layout>
        <c:manualLayout>
          <c:xMode val="edge"/>
          <c:yMode val="edge"/>
          <c:x val="0.16475454486173027"/>
          <c:y val="6.1629278076176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66334208223975"/>
          <c:y val="0.11648117448348384"/>
          <c:w val="0.73544776902887143"/>
          <c:h val="0.71073436467619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'office (2)'!$R$13</c:f>
              <c:strCache>
                <c:ptCount val="1"/>
                <c:pt idx="0">
                  <c:v>Cincinnati United  average annual absorption</c:v>
                </c:pt>
              </c:strCache>
            </c:strRef>
          </c:tx>
          <c:spPr>
            <a:solidFill>
              <a:srgbClr val="FFFF0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43182592135010811"/>
                  <c:y val="-0.1761529727836521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r>
                      <a:rPr lang="en-US" baseline="0"/>
                      <a:t>Cincinnati United, proposed absorption per year:  </a:t>
                    </a:r>
                  </a:p>
                  <a:p>
                    <a:pPr>
                      <a:defRPr/>
                    </a:pPr>
                    <a:fld id="{BF7811C8-E554-46C8-9558-1719D48CC865}" type="VALUE">
                      <a:rPr lang="en-US" b="1" baseline="0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876774356306968"/>
                      <c:h val="0.1820032019232702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1934-4375-BF4C-DCD72F1AD2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'office (2)'!$S$12</c:f>
              <c:strCache>
                <c:ptCount val="1"/>
                <c:pt idx="0">
                  <c:v>SF</c:v>
                </c:pt>
              </c:strCache>
            </c:strRef>
          </c:cat>
          <c:val>
            <c:numRef>
              <c:f>'office (2)'!$S$13</c:f>
              <c:numCache>
                <c:formatCode>_(* #,##0_);_(* \(#,##0\);_(* "-"??_);_(@_)</c:formatCode>
                <c:ptCount val="1"/>
                <c:pt idx="0">
                  <c:v>172713.70586892861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4-4375-BF4C-DCD72F1AD2CD}"/>
            </c:ext>
          </c:extLst>
        </c:ser>
        <c:ser>
          <c:idx val="1"/>
          <c:order val="1"/>
          <c:tx>
            <c:strRef>
              <c:f>'office (2)'!$R$14</c:f>
              <c:strCache>
                <c:ptCount val="1"/>
                <c:pt idx="0">
                  <c:v>Cincinnati market 12 month absorption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41436256857144943"/>
                  <c:y val="-0.393505631185169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r>
                      <a:rPr lang="en-US" baseline="0"/>
                      <a:t>12 month absorption (SF):</a:t>
                    </a:r>
                  </a:p>
                  <a:p>
                    <a:pPr>
                      <a:defRPr/>
                    </a:pPr>
                    <a:fld id="{827902AC-7485-46E9-961B-42C4F3FD47A8}" type="VALUE">
                      <a:rPr lang="en-US" b="1" baseline="0"/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843105601858277"/>
                      <c:h val="0.133362561487670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934-4375-BF4C-DCD72F1AD2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'office (2)'!$S$12</c:f>
              <c:strCache>
                <c:ptCount val="1"/>
                <c:pt idx="0">
                  <c:v>SF</c:v>
                </c:pt>
              </c:strCache>
            </c:strRef>
          </c:cat>
          <c:val>
            <c:numRef>
              <c:f>'office (2)'!$S$14</c:f>
              <c:numCache>
                <c:formatCode>_(* #,##0_);_(* \(#,##0\);_(* "-"??_);_(@_)</c:formatCode>
                <c:ptCount val="1"/>
                <c:pt idx="0">
                  <c:v>1400000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4-4375-BF4C-DCD72F1AD2CD}"/>
            </c:ext>
          </c:extLst>
        </c:ser>
        <c:ser>
          <c:idx val="2"/>
          <c:order val="2"/>
          <c:tx>
            <c:strRef>
              <c:f>'office (2)'!$R$15</c:f>
              <c:strCache>
                <c:ptCount val="1"/>
                <c:pt idx="0">
                  <c:v>Cincinnati market total inventory</c:v>
                </c:pt>
              </c:strCache>
            </c:strRef>
          </c:tx>
          <c:spPr>
            <a:solidFill>
              <a:srgbClr val="E4692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35251751265513037"/>
                  <c:y val="-0.262259145711880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r>
                      <a:rPr lang="en-US" baseline="0"/>
                      <a:t>Total inventory (SF): </a:t>
                    </a:r>
                    <a:fld id="{2AABAB4C-F3B1-4A56-8DAC-5CF7C7B4CD61}" type="VALUE">
                      <a:rPr lang="en-US" b="1" baseline="0"/>
                      <a:pPr>
                        <a:defRPr/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583550643652467"/>
                      <c:h val="0.140691203490434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934-4375-BF4C-DCD72F1AD2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'office (2)'!$S$12</c:f>
              <c:strCache>
                <c:ptCount val="1"/>
                <c:pt idx="0">
                  <c:v>SF</c:v>
                </c:pt>
              </c:strCache>
            </c:strRef>
          </c:cat>
          <c:val>
            <c:numRef>
              <c:f>'office (2)'!$S$15</c:f>
              <c:numCache>
                <c:formatCode>_(* #,##0_);_(* \(#,##0\);_(* "-"??_);_(@_)</c:formatCode>
                <c:ptCount val="1"/>
                <c:pt idx="0">
                  <c:v>104517959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34-4375-BF4C-DCD72F1AD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2558776"/>
        <c:axId val="932559104"/>
      </c:barChart>
      <c:catAx>
        <c:axId val="932558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32559104"/>
        <c:crosses val="autoZero"/>
        <c:auto val="1"/>
        <c:lblAlgn val="ctr"/>
        <c:lblOffset val="100"/>
        <c:noMultiLvlLbl val="0"/>
      </c:catAx>
      <c:valAx>
        <c:axId val="932559104"/>
        <c:scaling>
          <c:orientation val="minMax"/>
        </c:scaling>
        <c:delete val="1"/>
        <c:axPos val="l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 b="1"/>
                  <a:t>TOTAL INVENTORY (SF)</a:t>
                </a:r>
              </a:p>
            </c:rich>
          </c:tx>
          <c:layout>
            <c:manualLayout>
              <c:xMode val="edge"/>
              <c:yMode val="edge"/>
              <c:x val="0.77800991777405404"/>
              <c:y val="0.361940191747660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crossAx val="932558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Phase</a:t>
            </a:r>
            <a:r>
              <a:rPr lang="en-US" baseline="0"/>
              <a:t>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9-4C48-A486-35E05658ED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79-4C48-A486-35E05658ED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79-4C48-A486-35E05658ED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9-4C48-A486-35E05658ED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79-4C48-A486-35E05658ED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79-4C48-A486-35E05658ED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(summary!$A$11,summary!$A$15:$A$16,summary!$A$20:$A$22)</c:f>
              <c:strCache>
                <c:ptCount val="6"/>
                <c:pt idx="0">
                  <c:v>Gross Residential SF</c:v>
                </c:pt>
                <c:pt idx="1">
                  <c:v>Office</c:v>
                </c:pt>
                <c:pt idx="2">
                  <c:v> Retail </c:v>
                </c:pt>
                <c:pt idx="3">
                  <c:v>Hotel</c:v>
                </c:pt>
                <c:pt idx="4">
                  <c:v>Parking</c:v>
                </c:pt>
                <c:pt idx="5">
                  <c:v>Public buildings</c:v>
                </c:pt>
              </c:strCache>
            </c:strRef>
          </c:cat>
          <c:val>
            <c:numRef>
              <c:f>(summary!$D$11,summary!$D$15:$D$16,summary!$D$20:$D$22)</c:f>
              <c:numCache>
                <c:formatCode>_(* #,##0_);_(* \(#,##0\);_(* "-"??_);_(@_)</c:formatCode>
                <c:ptCount val="6"/>
                <c:pt idx="0">
                  <c:v>346219</c:v>
                </c:pt>
                <c:pt idx="1">
                  <c:v>511379.82342500007</c:v>
                </c:pt>
                <c:pt idx="2">
                  <c:v>15462.809574999999</c:v>
                </c:pt>
                <c:pt idx="3">
                  <c:v>0</c:v>
                </c:pt>
                <c:pt idx="4">
                  <c:v>328446.71490000002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7-4C2B-AFB4-6774599AB67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'hotel (2)'!$R$9</c:f>
              <c:strCache>
                <c:ptCount val="1"/>
                <c:pt idx="0">
                  <c:v>Rooms delivered</c:v>
                </c:pt>
              </c:strCache>
            </c:strRef>
          </c:tx>
          <c:spPr>
            <a:solidFill>
              <a:srgbClr val="FF797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'hotel (2)'!$Q$10:$Q$12</c:f>
              <c:strCache>
                <c:ptCount val="3"/>
                <c:pt idx="0">
                  <c:v>Phase 1</c:v>
                </c:pt>
                <c:pt idx="1">
                  <c:v>Phase 2</c:v>
                </c:pt>
                <c:pt idx="2">
                  <c:v>Phase 3</c:v>
                </c:pt>
              </c:strCache>
            </c:strRef>
          </c:cat>
          <c:val>
            <c:numRef>
              <c:f>'hotel (2)'!$R$10:$R$12</c:f>
              <c:numCache>
                <c:formatCode>_(* #,##0_);_(* \(#,##0\);_(* "-"??_);_(@_)</c:formatCode>
                <c:ptCount val="3"/>
                <c:pt idx="0">
                  <c:v>297.72121015384613</c:v>
                </c:pt>
                <c:pt idx="1">
                  <c:v>483.21720230769233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3-4C53-81E4-1CCD4EFC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27"/>
        <c:axId val="964381784"/>
        <c:axId val="712689672"/>
      </c:barChart>
      <c:catAx>
        <c:axId val="96438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2689672"/>
        <c:crosses val="autoZero"/>
        <c:auto val="1"/>
        <c:lblAlgn val="ctr"/>
        <c:lblOffset val="100"/>
        <c:noMultiLvlLbl val="0"/>
      </c:catAx>
      <c:valAx>
        <c:axId val="71268967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Rooms delivered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crossAx val="964381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parking!$S$9</c:f>
              <c:strCache>
                <c:ptCount val="1"/>
                <c:pt idx="0">
                  <c:v>Parking spaces delivered</c:v>
                </c:pt>
              </c:strCache>
            </c:strRef>
          </c:tx>
          <c:spPr>
            <a:solidFill>
              <a:srgbClr val="008BE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parking!$R$10:$R$12</c:f>
              <c:strCache>
                <c:ptCount val="3"/>
                <c:pt idx="0">
                  <c:v>Phase 1</c:v>
                </c:pt>
                <c:pt idx="1">
                  <c:v>Phase 2</c:v>
                </c:pt>
                <c:pt idx="2">
                  <c:v>Phase 3</c:v>
                </c:pt>
              </c:strCache>
            </c:strRef>
          </c:cat>
          <c:val>
            <c:numRef>
              <c:f>parking!$S$10:$S$12</c:f>
              <c:numCache>
                <c:formatCode>_(* #,##0_);_(* \(#,##0\);_(* "-"??_);_(@_)</c:formatCode>
                <c:ptCount val="3"/>
                <c:pt idx="0">
                  <c:v>940.28126220000001</c:v>
                </c:pt>
                <c:pt idx="1">
                  <c:v>394.90405620000007</c:v>
                </c:pt>
                <c:pt idx="2">
                  <c:v>985.34014470000011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3-4F5D-8822-DBDC3AF9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27"/>
        <c:axId val="964381784"/>
        <c:axId val="712689672"/>
      </c:barChart>
      <c:catAx>
        <c:axId val="96438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2689672"/>
        <c:crosses val="autoZero"/>
        <c:auto val="1"/>
        <c:lblAlgn val="ctr"/>
        <c:lblOffset val="100"/>
        <c:noMultiLvlLbl val="0"/>
      </c:catAx>
      <c:valAx>
        <c:axId val="71268967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Parking spaces (units)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crossAx val="964381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</a:t>
            </a:r>
            <a:r>
              <a:rPr lang="en-US" baseline="0"/>
              <a:t> Program Breakdown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B-40DB-9657-CD433C0319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B-40DB-9657-CD433C0319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3B-40DB-9657-CD433C0319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B-40DB-9657-CD433C03190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3B-40DB-9657-CD433C03190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A3B-40DB-9657-CD433C0319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(summary!$A$11,summary!$A$15:$A$16,summary!$A$20:$A$22)</c:f>
              <c:strCache>
                <c:ptCount val="6"/>
                <c:pt idx="0">
                  <c:v>Gross Residential SF</c:v>
                </c:pt>
                <c:pt idx="1">
                  <c:v>Office</c:v>
                </c:pt>
                <c:pt idx="2">
                  <c:v> Retail </c:v>
                </c:pt>
                <c:pt idx="3">
                  <c:v>Hotel</c:v>
                </c:pt>
                <c:pt idx="4">
                  <c:v>Parking</c:v>
                </c:pt>
                <c:pt idx="5">
                  <c:v>Public buildings</c:v>
                </c:pt>
              </c:strCache>
            </c:strRef>
          </c:cat>
          <c:val>
            <c:numRef>
              <c:f>(summary!$AC$11,summary!$AC$15:$AC$16,summary!$AC$20:$AC$22)</c:f>
              <c:numCache>
                <c:formatCode>_(* #,##0_);_(* \(#,##0\);_(* "-"??_);_(@_)</c:formatCode>
                <c:ptCount val="6"/>
                <c:pt idx="0">
                  <c:v>1971182.5308999997</c:v>
                </c:pt>
                <c:pt idx="1">
                  <c:v>1319028.8234250001</c:v>
                </c:pt>
                <c:pt idx="2">
                  <c:v>261921.54167500001</c:v>
                </c:pt>
                <c:pt idx="3">
                  <c:v>338406.64540000004</c:v>
                </c:pt>
                <c:pt idx="4">
                  <c:v>773508.48770000006</c:v>
                </c:pt>
                <c:pt idx="5">
                  <c:v>126070.70019999999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D-482A-B508-F32A6955693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3-4220-9819-A4E248831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F3-4220-9819-A4E248831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F3-4220-9819-A4E248831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summary!$A$12:$A$14</c:f>
              <c:strCache>
                <c:ptCount val="3"/>
                <c:pt idx="0">
                  <c:v>Residential, market-rate</c:v>
                </c:pt>
                <c:pt idx="1">
                  <c:v>Residential, condominiums</c:v>
                </c:pt>
                <c:pt idx="2">
                  <c:v>Residential, affordable</c:v>
                </c:pt>
              </c:strCache>
            </c:strRef>
          </c:cat>
          <c:val>
            <c:numRef>
              <c:f>summary!$AC$12:$AC$14</c:f>
              <c:numCache>
                <c:formatCode>_(* #,##0_);_(* \(#,##0\);_(* "-"??_);_(@_)</c:formatCode>
                <c:ptCount val="3"/>
                <c:pt idx="0">
                  <c:v>1046050.0763799999</c:v>
                </c:pt>
                <c:pt idx="1">
                  <c:v>617410.90590000001</c:v>
                </c:pt>
                <c:pt idx="2">
                  <c:v>307721.54862000002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9-4F21-B794-90D707E9833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C5-4990-A684-8E10CF48B593}"/>
              </c:ext>
            </c:extLst>
          </c:dPt>
          <c:dPt>
            <c:idx val="1"/>
            <c:invertIfNegative val="0"/>
            <c:bubble3D val="0"/>
            <c:spPr>
              <a:solidFill>
                <a:srgbClr val="E469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C5-4990-A684-8E10CF48B593}"/>
              </c:ext>
            </c:extLst>
          </c:dPt>
          <c:dPt>
            <c:idx val="2"/>
            <c:invertIfNegative val="0"/>
            <c:bubble3D val="0"/>
            <c:spPr>
              <a:solidFill>
                <a:srgbClr val="FE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8C5-4990-A684-8E10CF48B593}"/>
              </c:ext>
            </c:extLst>
          </c:dPt>
          <c:dPt>
            <c:idx val="3"/>
            <c:invertIfNegative val="0"/>
            <c:bubble3D val="0"/>
            <c:spPr>
              <a:solidFill>
                <a:srgbClr val="FF79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C5-4990-A684-8E10CF48B593}"/>
              </c:ext>
            </c:extLst>
          </c:dPt>
          <c:dPt>
            <c:idx val="4"/>
            <c:invertIfNegative val="0"/>
            <c:bubble3D val="0"/>
            <c:spPr>
              <a:solidFill>
                <a:srgbClr val="A7A7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8C5-4990-A684-8E10CF48B593}"/>
              </c:ext>
            </c:extLst>
          </c:dPt>
          <c:dPt>
            <c:idx val="5"/>
            <c:invertIfNegative val="0"/>
            <c:bubble3D val="0"/>
            <c:spPr>
              <a:solidFill>
                <a:srgbClr val="008B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C5-4990-A684-8E10CF48B5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summary!$C$96:$C$101</c:f>
              <c:numCache>
                <c:formatCode>_(* #,##0_);_(* \(#,##0\);_(* "-"??_);_(@_)</c:formatCode>
                <c:ptCount val="6"/>
                <c:pt idx="0">
                  <c:v>587530</c:v>
                </c:pt>
                <c:pt idx="1">
                  <c:v>768858.5</c:v>
                </c:pt>
                <c:pt idx="2">
                  <c:v>152440.54370000001</c:v>
                </c:pt>
                <c:pt idx="3">
                  <c:v>129012.52439999999</c:v>
                </c:pt>
                <c:pt idx="4">
                  <c:v>313427.08740000002</c:v>
                </c:pt>
                <c:pt idx="5">
                  <c:v>126070.70019999999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5-4990-A684-8E10CF48B5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3"/>
        <c:overlap val="10"/>
        <c:axId val="845167320"/>
        <c:axId val="845167648"/>
      </c:barChart>
      <c:catAx>
        <c:axId val="845167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45167648"/>
        <c:crosses val="autoZero"/>
        <c:auto val="1"/>
        <c:lblAlgn val="ctr"/>
        <c:lblOffset val="1"/>
        <c:tickMarkSkip val="1000"/>
        <c:noMultiLvlLbl val="0"/>
      </c:catAx>
      <c:valAx>
        <c:axId val="845167648"/>
        <c:scaling>
          <c:orientation val="minMax"/>
          <c:max val="2500000"/>
        </c:scaling>
        <c:delete val="1"/>
        <c:axPos val="t"/>
        <c:numFmt formatCode="_(* #,##0_);_(* \(#,##0\);_(* &quot;-&quot;??_);_(@_)" sourceLinked="1"/>
        <c:majorTickMark val="out"/>
        <c:minorTickMark val="none"/>
        <c:tickLblPos val="nextTo"/>
        <c:crossAx val="845167320"/>
        <c:crosses val="autoZero"/>
        <c:crossBetween val="between"/>
      </c:valAx>
      <c:spPr>
        <a:noFill/>
        <a:ln w="3175" cmpd="sng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 anchor="t" anchorCtr="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A-4297-B857-7E0C3400B7A5}"/>
              </c:ext>
            </c:extLst>
          </c:dPt>
          <c:dPt>
            <c:idx val="1"/>
            <c:invertIfNegative val="0"/>
            <c:bubble3D val="0"/>
            <c:spPr>
              <a:solidFill>
                <a:srgbClr val="E469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52A-4297-B857-7E0C3400B7A5}"/>
              </c:ext>
            </c:extLst>
          </c:dPt>
          <c:dPt>
            <c:idx val="2"/>
            <c:invertIfNegative val="0"/>
            <c:bubble3D val="0"/>
            <c:spPr>
              <a:solidFill>
                <a:srgbClr val="FE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A-4297-B857-7E0C3400B7A5}"/>
              </c:ext>
            </c:extLst>
          </c:dPt>
          <c:dPt>
            <c:idx val="3"/>
            <c:invertIfNegative val="0"/>
            <c:bubble3D val="0"/>
            <c:spPr>
              <a:solidFill>
                <a:srgbClr val="FF79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A-4297-B857-7E0C3400B7A5}"/>
              </c:ext>
            </c:extLst>
          </c:dPt>
          <c:dPt>
            <c:idx val="4"/>
            <c:invertIfNegative val="0"/>
            <c:bubble3D val="0"/>
            <c:spPr>
              <a:solidFill>
                <a:srgbClr val="A7A7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2A-4297-B857-7E0C3400B7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summary!$D$96:$D$101</c:f>
              <c:numCache>
                <c:formatCode>_(* #,##0_);_(* \(#,##0\);_(* "-"??_);_(@_)</c:formatCode>
                <c:ptCount val="6"/>
                <c:pt idx="0">
                  <c:v>1037433.5308999999</c:v>
                </c:pt>
                <c:pt idx="1">
                  <c:v>38790.5</c:v>
                </c:pt>
                <c:pt idx="2">
                  <c:v>94018.188399999999</c:v>
                </c:pt>
                <c:pt idx="3">
                  <c:v>209394.12100000001</c:v>
                </c:pt>
                <c:pt idx="4">
                  <c:v>131634.68540000002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A-4297-B857-7E0C3400B7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3"/>
        <c:overlap val="10"/>
        <c:axId val="845167320"/>
        <c:axId val="845167648"/>
      </c:barChart>
      <c:catAx>
        <c:axId val="845167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45167648"/>
        <c:crosses val="autoZero"/>
        <c:auto val="1"/>
        <c:lblAlgn val="ctr"/>
        <c:lblOffset val="1"/>
        <c:tickMarkSkip val="1000"/>
        <c:noMultiLvlLbl val="0"/>
      </c:catAx>
      <c:valAx>
        <c:axId val="845167648"/>
        <c:scaling>
          <c:orientation val="minMax"/>
          <c:max val="2500000"/>
        </c:scaling>
        <c:delete val="1"/>
        <c:axPos val="t"/>
        <c:numFmt formatCode="_(* #,##0_);_(* \(#,##0\);_(* &quot;-&quot;??_);_(@_)" sourceLinked="1"/>
        <c:majorTickMark val="out"/>
        <c:minorTickMark val="none"/>
        <c:tickLblPos val="nextTo"/>
        <c:crossAx val="845167320"/>
        <c:crosses val="autoZero"/>
        <c:crossBetween val="between"/>
      </c:valAx>
      <c:spPr>
        <a:noFill/>
        <a:ln w="3175" cmpd="sng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 anchor="t" anchorCtr="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4-4B1E-9A95-B93A76D9035C}"/>
              </c:ext>
            </c:extLst>
          </c:dPt>
          <c:dPt>
            <c:idx val="1"/>
            <c:invertIfNegative val="0"/>
            <c:bubble3D val="0"/>
            <c:spPr>
              <a:solidFill>
                <a:srgbClr val="E469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F4-4B1E-9A95-B93A76D9035C}"/>
              </c:ext>
            </c:extLst>
          </c:dPt>
          <c:dPt>
            <c:idx val="2"/>
            <c:invertIfNegative val="0"/>
            <c:bubble3D val="0"/>
            <c:spPr>
              <a:solidFill>
                <a:srgbClr val="FE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CF4-4B1E-9A95-B93A76D9035C}"/>
              </c:ext>
            </c:extLst>
          </c:dPt>
          <c:dPt>
            <c:idx val="4"/>
            <c:invertIfNegative val="0"/>
            <c:bubble3D val="0"/>
            <c:spPr>
              <a:solidFill>
                <a:srgbClr val="A7A7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4-4B1E-9A95-B93A76D903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summary!$E$96:$E$101</c:f>
              <c:numCache>
                <c:formatCode>_(* #,##0_);_(* \(#,##0\);_(* "-"??_);_(@_)</c:formatCode>
                <c:ptCount val="6"/>
                <c:pt idx="0">
                  <c:v>346219</c:v>
                </c:pt>
                <c:pt idx="1">
                  <c:v>511379.82342500007</c:v>
                </c:pt>
                <c:pt idx="2">
                  <c:v>15462.809574999999</c:v>
                </c:pt>
                <c:pt idx="3">
                  <c:v>0</c:v>
                </c:pt>
                <c:pt idx="4">
                  <c:v>328446.71490000002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4-4B1E-9A95-B93A76D903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3"/>
        <c:overlap val="10"/>
        <c:axId val="845167320"/>
        <c:axId val="845167648"/>
      </c:barChart>
      <c:catAx>
        <c:axId val="845167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45167648"/>
        <c:crosses val="autoZero"/>
        <c:auto val="1"/>
        <c:lblAlgn val="ctr"/>
        <c:lblOffset val="1"/>
        <c:tickMarkSkip val="1000"/>
        <c:noMultiLvlLbl val="0"/>
      </c:catAx>
      <c:valAx>
        <c:axId val="845167648"/>
        <c:scaling>
          <c:orientation val="minMax"/>
          <c:max val="2500000"/>
        </c:scaling>
        <c:delete val="1"/>
        <c:axPos val="t"/>
        <c:numFmt formatCode="_(* #,##0_);_(* \(#,##0\);_(* &quot;-&quot;??_);_(@_)" sourceLinked="1"/>
        <c:majorTickMark val="out"/>
        <c:minorTickMark val="none"/>
        <c:tickLblPos val="nextTo"/>
        <c:crossAx val="845167320"/>
        <c:crosses val="autoZero"/>
        <c:crossBetween val="between"/>
      </c:valAx>
      <c:spPr>
        <a:noFill/>
        <a:ln w="3175" cmpd="sng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 anchor="t" anchorCtr="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94796392674817"/>
          <c:y val="0.11686819528688579"/>
          <c:w val="0.59627619434867463"/>
          <c:h val="0.81634997883489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6-476D-813D-A9648BA2BB79}"/>
              </c:ext>
            </c:extLst>
          </c:dPt>
          <c:dPt>
            <c:idx val="1"/>
            <c:invertIfNegative val="0"/>
            <c:bubble3D val="0"/>
            <c:spPr>
              <a:solidFill>
                <a:srgbClr val="E469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FC6-476D-813D-A9648BA2BB79}"/>
              </c:ext>
            </c:extLst>
          </c:dPt>
          <c:dPt>
            <c:idx val="2"/>
            <c:invertIfNegative val="0"/>
            <c:bubble3D val="0"/>
            <c:spPr>
              <a:solidFill>
                <a:srgbClr val="FE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C6-476D-813D-A9648BA2BB79}"/>
              </c:ext>
            </c:extLst>
          </c:dPt>
          <c:dPt>
            <c:idx val="3"/>
            <c:invertIfNegative val="0"/>
            <c:bubble3D val="0"/>
            <c:spPr>
              <a:solidFill>
                <a:srgbClr val="FF797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6-476D-813D-A9648BA2BB79}"/>
              </c:ext>
            </c:extLst>
          </c:dPt>
          <c:dPt>
            <c:idx val="4"/>
            <c:invertIfNegative val="0"/>
            <c:bubble3D val="0"/>
            <c:spPr>
              <a:solidFill>
                <a:srgbClr val="A7A7A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C6-476D-813D-A9648BA2B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8B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C6-476D-813D-A9648BA2BB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summary!$B$96:$B$101</c:f>
              <c:strCache>
                <c:ptCount val="6"/>
                <c:pt idx="0">
                  <c:v>Residential (SF)</c:v>
                </c:pt>
                <c:pt idx="1">
                  <c:v>Office (SF)</c:v>
                </c:pt>
                <c:pt idx="2">
                  <c:v>Retail (SF)</c:v>
                </c:pt>
                <c:pt idx="3">
                  <c:v>Hotel (SF)</c:v>
                </c:pt>
                <c:pt idx="4">
                  <c:v>Parking (SF)</c:v>
                </c:pt>
                <c:pt idx="5">
                  <c:v>Public Buildings (SF)</c:v>
                </c:pt>
              </c:strCache>
            </c:strRef>
          </c:cat>
          <c:val>
            <c:numRef>
              <c:f>summary!$F$96:$F$101</c:f>
              <c:numCache>
                <c:formatCode>_(* #,##0_);_(* \(#,##0\);_(* "-"??_);_(@_)</c:formatCode>
                <c:ptCount val="6"/>
                <c:pt idx="0">
                  <c:v>1971182.5308999999</c:v>
                </c:pt>
                <c:pt idx="1">
                  <c:v>1319028.8234250001</c:v>
                </c:pt>
                <c:pt idx="2">
                  <c:v>261921.54167500001</c:v>
                </c:pt>
                <c:pt idx="3">
                  <c:v>338406.64540000004</c:v>
                </c:pt>
                <c:pt idx="4">
                  <c:v>773508.48770000006</c:v>
                </c:pt>
                <c:pt idx="5">
                  <c:v>126070.70019999999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6-476D-813D-A9648BA2B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3"/>
        <c:overlap val="10"/>
        <c:axId val="845167320"/>
        <c:axId val="845167648"/>
      </c:barChart>
      <c:catAx>
        <c:axId val="845167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45167648"/>
        <c:crosses val="autoZero"/>
        <c:auto val="1"/>
        <c:lblAlgn val="ctr"/>
        <c:lblOffset val="1"/>
        <c:tickMarkSkip val="1000"/>
        <c:noMultiLvlLbl val="0"/>
      </c:catAx>
      <c:valAx>
        <c:axId val="845167648"/>
        <c:scaling>
          <c:orientation val="minMax"/>
          <c:max val="2500000"/>
        </c:scaling>
        <c:delete val="1"/>
        <c:axPos val="t"/>
        <c:numFmt formatCode="_(* #,##0_);_(* \(#,##0\);_(* &quot;-&quot;??_);_(@_)" sourceLinked="1"/>
        <c:majorTickMark val="out"/>
        <c:minorTickMark val="none"/>
        <c:tickLblPos val="nextTo"/>
        <c:crossAx val="845167320"/>
        <c:crosses val="autoZero"/>
        <c:crossBetween val="between"/>
      </c:valAx>
      <c:spPr>
        <a:noFill/>
        <a:ln w="3175" cmpd="sng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 anchor="t" anchorCtr="0"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5.png"/><Relationship Id="rId2" Type="http://schemas.openxmlformats.org/officeDocument/2006/relationships/customXml" Target="../ink/ink1.xml"/><Relationship Id="rId1" Type="http://schemas.openxmlformats.org/officeDocument/2006/relationships/image" Target="../media/image3.png"/><Relationship Id="rId6" Type="http://schemas.openxmlformats.org/officeDocument/2006/relationships/customXml" Target="../ink/ink3.xml"/><Relationship Id="rId5" Type="http://schemas.openxmlformats.org/officeDocument/2006/relationships/image" Target="../media/image4.png"/><Relationship Id="rId4" Type="http://schemas.openxmlformats.org/officeDocument/2006/relationships/customXml" Target="../ink/ink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735135</xdr:colOff>
      <xdr:row>27</xdr:row>
      <xdr:rowOff>12371</xdr:rowOff>
    </xdr:from>
    <xdr:to>
      <xdr:col>5</xdr:col>
      <xdr:colOff>674810</xdr:colOff>
      <xdr:row>55</xdr:row>
      <xdr:rowOff>116280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F96968-43AD-4603-80EE-7FA4B62296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76487</xdr:colOff>
      <xdr:row>27</xdr:row>
      <xdr:rowOff>864</xdr:rowOff>
    </xdr:from>
    <xdr:to>
      <xdr:col>12</xdr:col>
      <xdr:colOff>492412</xdr:colOff>
      <xdr:row>56</xdr:row>
      <xdr:rowOff>864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D06DC03-A155-4680-9B9C-47A7212D8F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764886</xdr:colOff>
      <xdr:row>27</xdr:row>
      <xdr:rowOff>25400</xdr:rowOff>
    </xdr:from>
    <xdr:to>
      <xdr:col>19</xdr:col>
      <xdr:colOff>387061</xdr:colOff>
      <xdr:row>56</xdr:row>
      <xdr:rowOff>25400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4379F78-50D9-4A57-8387-A0362B1A0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789215</xdr:colOff>
      <xdr:row>55</xdr:row>
      <xdr:rowOff>101762</xdr:rowOff>
    </xdr:from>
    <xdr:to>
      <xdr:col>5</xdr:col>
      <xdr:colOff>728890</xdr:colOff>
      <xdr:row>91</xdr:row>
      <xdr:rowOff>101762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35FA8A7-F518-4496-A408-BCC2A0E605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201954</xdr:colOff>
      <xdr:row>56</xdr:row>
      <xdr:rowOff>95250</xdr:rowOff>
    </xdr:from>
    <xdr:to>
      <xdr:col>12</xdr:col>
      <xdr:colOff>612588</xdr:colOff>
      <xdr:row>92</xdr:row>
      <xdr:rowOff>95250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73FAE5A-A7AF-4D22-BAB4-179FA05BD4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48561</xdr:colOff>
      <xdr:row>109</xdr:row>
      <xdr:rowOff>66489</xdr:rowOff>
    </xdr:from>
    <xdr:to>
      <xdr:col>5</xdr:col>
      <xdr:colOff>112569</xdr:colOff>
      <xdr:row>120</xdr:row>
      <xdr:rowOff>47693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88553B-4BDA-43C0-8F71-C05A3FEE6D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415924</xdr:colOff>
      <xdr:row>109</xdr:row>
      <xdr:rowOff>71438</xdr:rowOff>
    </xdr:from>
    <xdr:to>
      <xdr:col>9</xdr:col>
      <xdr:colOff>568832</xdr:colOff>
      <xdr:row>120</xdr:row>
      <xdr:rowOff>52642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575F989-4980-45E4-8D95-74DFE2827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845456</xdr:colOff>
      <xdr:row>109</xdr:row>
      <xdr:rowOff>85271</xdr:rowOff>
    </xdr:from>
    <xdr:to>
      <xdr:col>13</xdr:col>
      <xdr:colOff>604664</xdr:colOff>
      <xdr:row>120</xdr:row>
      <xdr:rowOff>66475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C876982-34B6-4CD3-87F8-D957D6F4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35792</xdr:colOff>
      <xdr:row>109</xdr:row>
      <xdr:rowOff>87746</xdr:rowOff>
    </xdr:from>
    <xdr:to>
      <xdr:col>18</xdr:col>
      <xdr:colOff>49000</xdr:colOff>
      <xdr:row>120</xdr:row>
      <xdr:rowOff>81650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CBDAFFF-41F6-4ADE-A953-A369590FF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13607</xdr:colOff>
      <xdr:row>120</xdr:row>
      <xdr:rowOff>116115</xdr:rowOff>
    </xdr:from>
    <xdr:to>
      <xdr:col>5</xdr:col>
      <xdr:colOff>190500</xdr:colOff>
      <xdr:row>167</xdr:row>
      <xdr:rowOff>9072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8C6DF0-D417-45EA-A2DD-3C636654A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333375</xdr:colOff>
      <xdr:row>121</xdr:row>
      <xdr:rowOff>15875</xdr:rowOff>
    </xdr:from>
    <xdr:to>
      <xdr:col>9</xdr:col>
      <xdr:colOff>573768</xdr:colOff>
      <xdr:row>167</xdr:row>
      <xdr:rowOff>35832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98AC5790-2ED4-4E82-B765-A5B93E492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793750</xdr:colOff>
      <xdr:row>121</xdr:row>
      <xdr:rowOff>47625</xdr:rowOff>
    </xdr:from>
    <xdr:to>
      <xdr:col>13</xdr:col>
      <xdr:colOff>637268</xdr:colOff>
      <xdr:row>167</xdr:row>
      <xdr:rowOff>67582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221B443-DCB5-4787-A422-D08FB71F3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47625</xdr:colOff>
      <xdr:row>122</xdr:row>
      <xdr:rowOff>15875</xdr:rowOff>
    </xdr:from>
    <xdr:to>
      <xdr:col>18</xdr:col>
      <xdr:colOff>145143</xdr:colOff>
      <xdr:row>168</xdr:row>
      <xdr:rowOff>35832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601A921B-BFC6-4E42-ABB4-4F5620266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671561</xdr:colOff>
      <xdr:row>186</xdr:row>
      <xdr:rowOff>108720</xdr:rowOff>
    </xdr:from>
    <xdr:to>
      <xdr:col>13</xdr:col>
      <xdr:colOff>808182</xdr:colOff>
      <xdr:row>208</xdr:row>
      <xdr:rowOff>5775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3A4B4A21-A48A-4C77-BA06-F7F7C1E6B6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421697</xdr:colOff>
      <xdr:row>158</xdr:row>
      <xdr:rowOff>30884</xdr:rowOff>
    </xdr:from>
    <xdr:to>
      <xdr:col>12</xdr:col>
      <xdr:colOff>802697</xdr:colOff>
      <xdr:row>176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A4108B-628C-4464-B3B8-A2409529DD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883227</xdr:colOff>
      <xdr:row>85</xdr:row>
      <xdr:rowOff>88900</xdr:rowOff>
    </xdr:from>
    <xdr:to>
      <xdr:col>9</xdr:col>
      <xdr:colOff>1158875</xdr:colOff>
      <xdr:row>105</xdr:row>
      <xdr:rowOff>72736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DC2EA4-8DC7-4AB7-8932-DC9DD22E74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889000</xdr:colOff>
      <xdr:row>158</xdr:row>
      <xdr:rowOff>15875</xdr:rowOff>
    </xdr:from>
    <xdr:to>
      <xdr:col>16</xdr:col>
      <xdr:colOff>539750</xdr:colOff>
      <xdr:row>176</xdr:row>
      <xdr:rowOff>13566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2339A3-655C-45AE-BB1B-E386C458C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428625</xdr:colOff>
      <xdr:row>158</xdr:row>
      <xdr:rowOff>0</xdr:rowOff>
    </xdr:from>
    <xdr:to>
      <xdr:col>20</xdr:col>
      <xdr:colOff>158750</xdr:colOff>
      <xdr:row>175</xdr:row>
      <xdr:rowOff>124691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5FF661F-B752-4D2F-98B1-EA87BBF87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154214</xdr:colOff>
      <xdr:row>85</xdr:row>
      <xdr:rowOff>45357</xdr:rowOff>
    </xdr:from>
    <xdr:to>
      <xdr:col>14</xdr:col>
      <xdr:colOff>856219</xdr:colOff>
      <xdr:row>105</xdr:row>
      <xdr:rowOff>29193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436FEFA-E782-4ACF-8732-CAFF61C3F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1000125</xdr:colOff>
      <xdr:row>85</xdr:row>
      <xdr:rowOff>79375</xdr:rowOff>
    </xdr:from>
    <xdr:to>
      <xdr:col>19</xdr:col>
      <xdr:colOff>688398</xdr:colOff>
      <xdr:row>105</xdr:row>
      <xdr:rowOff>63211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C11290A-B773-4F32-8BEC-B0935AB19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179295</xdr:colOff>
      <xdr:row>3</xdr:row>
      <xdr:rowOff>78781</xdr:rowOff>
    </xdr:from>
    <xdr:to>
      <xdr:col>26</xdr:col>
      <xdr:colOff>462824</xdr:colOff>
      <xdr:row>44</xdr:row>
      <xdr:rowOff>22068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4E6897-79D2-4783-BD53-2546794E2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406400</xdr:colOff>
      <xdr:row>13</xdr:row>
      <xdr:rowOff>76200</xdr:rowOff>
    </xdr:from>
    <xdr:to>
      <xdr:col>21</xdr:col>
      <xdr:colOff>515620</xdr:colOff>
      <xdr:row>37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F0F41A-D343-4A50-9F35-B6F4F2982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381000</xdr:colOff>
      <xdr:row>15</xdr:row>
      <xdr:rowOff>32657</xdr:rowOff>
    </xdr:from>
    <xdr:to>
      <xdr:col>28</xdr:col>
      <xdr:colOff>348615</xdr:colOff>
      <xdr:row>42</xdr:row>
      <xdr:rowOff>88985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88AF49-7F41-4AF2-B1E0-5D538D7E1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1176230</xdr:colOff>
      <xdr:row>54</xdr:row>
      <xdr:rowOff>80818</xdr:rowOff>
    </xdr:from>
    <xdr:to>
      <xdr:col>5</xdr:col>
      <xdr:colOff>1090237</xdr:colOff>
      <xdr:row>91</xdr:row>
      <xdr:rowOff>108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29BCE-DFE5-4E9E-9635-EEA81ED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30" y="7412182"/>
          <a:ext cx="9214679" cy="5025883"/>
        </a:xfrm>
        <a:prstGeom prst="rect">
          <a:avLst/>
        </a:prstGeom>
      </xdr:spPr>
    </xdr:pic>
    <xdr:clientData/>
  </xdr:twoCellAnchor>
  <xdr:twoCellAnchor editAs="oneCell">
    <xdr:from>
      <xdr:col>2</xdr:col>
      <xdr:colOff>1874780</xdr:colOff>
      <xdr:row>73</xdr:row>
      <xdr:rowOff>124328</xdr:rowOff>
    </xdr:from>
    <xdr:to>
      <xdr:col>3</xdr:col>
      <xdr:colOff>99595</xdr:colOff>
      <xdr:row>85</xdr:row>
      <xdr:rowOff>21180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5BF704BA-892F-4C8A-B939-E80A8E56C72E}"/>
                </a:ext>
              </a:extLst>
            </xdr14:cNvPr>
            <xdr14:cNvContentPartPr/>
          </xdr14:nvContentPartPr>
          <xdr14:nvPr macro=""/>
          <xdr14:xfrm>
            <a:off x="4160780" y="9725528"/>
            <a:ext cx="1473475" cy="1508482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5BF704BA-892F-4C8A-B939-E80A8E56C72E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164498" y="6959463"/>
              <a:ext cx="1482445" cy="159242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170080</xdr:colOff>
      <xdr:row>71</xdr:row>
      <xdr:rowOff>99847</xdr:rowOff>
    </xdr:from>
    <xdr:to>
      <xdr:col>4</xdr:col>
      <xdr:colOff>515620</xdr:colOff>
      <xdr:row>79</xdr:row>
      <xdr:rowOff>22368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D755FA0-2316-4398-8C1E-60734C6403BD}"/>
                </a:ext>
              </a:extLst>
            </xdr14:cNvPr>
            <xdr14:cNvContentPartPr/>
          </xdr14:nvContentPartPr>
          <xdr14:nvPr macro=""/>
          <xdr14:xfrm>
            <a:off x="5700930" y="9434347"/>
            <a:ext cx="2241650" cy="981701"/>
          </xdr14:xfrm>
        </xdr:contentPart>
      </mc:Choice>
      <mc:Fallback xmlns="">
        <xdr:pic>
          <xdr:nvPicPr>
            <xdr:cNvPr id="76" name="Ink 75">
              <a:extLst>
                <a:ext uri="{FF2B5EF4-FFF2-40B4-BE49-F238E27FC236}">
                  <a16:creationId xmlns:a16="http://schemas.microsoft.com/office/drawing/2014/main" id="{7D755FA0-2316-4398-8C1E-60734C6403BD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035169" y="10920049"/>
              <a:ext cx="2260604" cy="107695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1325880</xdr:colOff>
      <xdr:row>59</xdr:row>
      <xdr:rowOff>42665</xdr:rowOff>
    </xdr:from>
    <xdr:to>
      <xdr:col>4</xdr:col>
      <xdr:colOff>249438</xdr:colOff>
      <xdr:row>69</xdr:row>
      <xdr:rowOff>97621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EE75FC9-12EA-4849-88CD-D037F331D2F2}"/>
                </a:ext>
              </a:extLst>
            </xdr14:cNvPr>
            <xdr14:cNvContentPartPr/>
          </xdr14:nvContentPartPr>
          <xdr14:nvPr macro=""/>
          <xdr14:xfrm>
            <a:off x="3616628" y="9241263"/>
            <a:ext cx="4073918" cy="1432207"/>
          </xdr14:xfrm>
        </xdr:contentPart>
      </mc:Choice>
      <mc:Fallback xmlns="">
        <xdr:pic>
          <xdr:nvPicPr>
            <xdr:cNvPr id="123" name="Ink 122">
              <a:extLst>
                <a:ext uri="{FF2B5EF4-FFF2-40B4-BE49-F238E27FC236}">
                  <a16:creationId xmlns:a16="http://schemas.microsoft.com/office/drawing/2014/main" id="{8EE75FC9-12EA-4849-88CD-D037F331D2F2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607607" y="9232113"/>
              <a:ext cx="4091599" cy="1450142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480784</xdr:colOff>
      <xdr:row>2</xdr:row>
      <xdr:rowOff>84938</xdr:rowOff>
    </xdr:from>
    <xdr:to>
      <xdr:col>8</xdr:col>
      <xdr:colOff>306160</xdr:colOff>
      <xdr:row>85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DFEB319-3CB8-4CCA-808D-A561C9BB9382}"/>
            </a:ext>
          </a:extLst>
        </xdr:cNvPr>
        <xdr:cNvSpPr/>
      </xdr:nvSpPr>
      <xdr:spPr>
        <a:xfrm>
          <a:off x="480784" y="351638"/>
          <a:ext cx="9350376" cy="11186312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230910</xdr:colOff>
      <xdr:row>0</xdr:row>
      <xdr:rowOff>80819</xdr:rowOff>
    </xdr:from>
    <xdr:to>
      <xdr:col>1</xdr:col>
      <xdr:colOff>1397000</xdr:colOff>
      <xdr:row>2</xdr:row>
      <xdr:rowOff>92364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E60CB1-2A0E-4478-B0B0-C5816B5FB3F9}"/>
            </a:ext>
          </a:extLst>
        </xdr:cNvPr>
        <xdr:cNvSpPr/>
      </xdr:nvSpPr>
      <xdr:spPr>
        <a:xfrm>
          <a:off x="230910" y="80819"/>
          <a:ext cx="1775690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Income /</a:t>
          </a:r>
          <a:r>
            <a:rPr lang="en-US" sz="1100" baseline="0"/>
            <a:t> unit drivers</a:t>
          </a:r>
          <a:endParaRPr lang="en-US" sz="1100"/>
        </a:p>
        <a:p>
          <a:pPr algn="l"/>
          <a:endParaRPr lang="en-US" sz="1100"/>
        </a:p>
      </xdr:txBody>
    </xdr:sp>
    <xdr:clientData/>
  </xdr:twoCellAnchor>
  <xdr:twoCellAnchor>
    <xdr:from>
      <xdr:col>8</xdr:col>
      <xdr:colOff>508000</xdr:colOff>
      <xdr:row>2</xdr:row>
      <xdr:rowOff>44529</xdr:rowOff>
    </xdr:from>
    <xdr:to>
      <xdr:col>25</xdr:col>
      <xdr:colOff>408214</xdr:colOff>
      <xdr:row>17</xdr:row>
      <xdr:rowOff>34636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18D10F6-4964-4861-82B4-4913ACB6F7CC}"/>
            </a:ext>
          </a:extLst>
        </xdr:cNvPr>
        <xdr:cNvSpPr/>
      </xdr:nvSpPr>
      <xdr:spPr>
        <a:xfrm>
          <a:off x="10033000" y="311229"/>
          <a:ext cx="15914914" cy="214275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458558</xdr:colOff>
      <xdr:row>18</xdr:row>
      <xdr:rowOff>117554</xdr:rowOff>
    </xdr:from>
    <xdr:to>
      <xdr:col>15</xdr:col>
      <xdr:colOff>809625</xdr:colOff>
      <xdr:row>77</xdr:row>
      <xdr:rowOff>9071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45020656-AC90-4193-A3FD-05C9EF80C298}"/>
            </a:ext>
          </a:extLst>
        </xdr:cNvPr>
        <xdr:cNvSpPr/>
      </xdr:nvSpPr>
      <xdr:spPr>
        <a:xfrm>
          <a:off x="9983558" y="2670254"/>
          <a:ext cx="7285267" cy="775916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492167</xdr:colOff>
      <xdr:row>0</xdr:row>
      <xdr:rowOff>88076</xdr:rowOff>
    </xdr:from>
    <xdr:to>
      <xdr:col>9</xdr:col>
      <xdr:colOff>1658258</xdr:colOff>
      <xdr:row>2</xdr:row>
      <xdr:rowOff>99621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403A12A-9B8B-4E00-AD8F-01EACA148750}"/>
            </a:ext>
          </a:extLst>
        </xdr:cNvPr>
        <xdr:cNvSpPr/>
      </xdr:nvSpPr>
      <xdr:spPr>
        <a:xfrm>
          <a:off x="10017167" y="88076"/>
          <a:ext cx="1775691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Operating assumptions</a:t>
          </a:r>
        </a:p>
      </xdr:txBody>
    </xdr:sp>
    <xdr:clientData/>
  </xdr:twoCellAnchor>
  <xdr:twoCellAnchor>
    <xdr:from>
      <xdr:col>8</xdr:col>
      <xdr:colOff>354281</xdr:colOff>
      <xdr:row>17</xdr:row>
      <xdr:rowOff>13691</xdr:rowOff>
    </xdr:from>
    <xdr:to>
      <xdr:col>9</xdr:col>
      <xdr:colOff>1520372</xdr:colOff>
      <xdr:row>19</xdr:row>
      <xdr:rowOff>25236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5CC0D5-5F41-445C-A606-5512860E1A00}"/>
            </a:ext>
          </a:extLst>
        </xdr:cNvPr>
        <xdr:cNvSpPr/>
      </xdr:nvSpPr>
      <xdr:spPr>
        <a:xfrm>
          <a:off x="9879281" y="2433041"/>
          <a:ext cx="1775691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Construction /</a:t>
          </a:r>
          <a:r>
            <a:rPr lang="en-US" sz="1100" b="1" baseline="0"/>
            <a:t> Misc.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856288</xdr:colOff>
      <xdr:row>2</xdr:row>
      <xdr:rowOff>42333</xdr:rowOff>
    </xdr:from>
    <xdr:to>
      <xdr:col>7</xdr:col>
      <xdr:colOff>937107</xdr:colOff>
      <xdr:row>18</xdr:row>
      <xdr:rowOff>60889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37FF11-1768-45FA-AB29-AF73357C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688" y="309033"/>
          <a:ext cx="2519219" cy="2436636"/>
        </a:xfrm>
        <a:prstGeom prst="rect">
          <a:avLst/>
        </a:prstGeom>
      </xdr:spPr>
    </xdr:pic>
    <xdr:clientData/>
  </xdr:twoCellAnchor>
  <xdr:twoCellAnchor>
    <xdr:from>
      <xdr:col>16</xdr:col>
      <xdr:colOff>426173</xdr:colOff>
      <xdr:row>18</xdr:row>
      <xdr:rowOff>120094</xdr:rowOff>
    </xdr:from>
    <xdr:to>
      <xdr:col>21</xdr:col>
      <xdr:colOff>519545</xdr:colOff>
      <xdr:row>46</xdr:row>
      <xdr:rowOff>26894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5BCC643-8D44-45CA-A219-73DA8F115B35}"/>
            </a:ext>
          </a:extLst>
        </xdr:cNvPr>
        <xdr:cNvSpPr/>
      </xdr:nvSpPr>
      <xdr:spPr>
        <a:xfrm>
          <a:off x="17812473" y="2672794"/>
          <a:ext cx="4728872" cy="3640600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61522</xdr:colOff>
      <xdr:row>17</xdr:row>
      <xdr:rowOff>63994</xdr:rowOff>
    </xdr:from>
    <xdr:to>
      <xdr:col>18</xdr:col>
      <xdr:colOff>915886</xdr:colOff>
      <xdr:row>19</xdr:row>
      <xdr:rowOff>75539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F1FE94F-6AED-4B2A-A162-732B421D2C63}"/>
            </a:ext>
          </a:extLst>
        </xdr:cNvPr>
        <xdr:cNvSpPr/>
      </xdr:nvSpPr>
      <xdr:spPr>
        <a:xfrm>
          <a:off x="17447822" y="2483344"/>
          <a:ext cx="2708564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Financing sources</a:t>
          </a:r>
          <a:endParaRPr lang="en-US" sz="1100"/>
        </a:p>
      </xdr:txBody>
    </xdr:sp>
    <xdr:clientData/>
  </xdr:twoCellAnchor>
  <xdr:twoCellAnchor editAs="oneCell">
    <xdr:from>
      <xdr:col>9</xdr:col>
      <xdr:colOff>180370</xdr:colOff>
      <xdr:row>79</xdr:row>
      <xdr:rowOff>104256</xdr:rowOff>
    </xdr:from>
    <xdr:to>
      <xdr:col>17</xdr:col>
      <xdr:colOff>213665</xdr:colOff>
      <xdr:row>105</xdr:row>
      <xdr:rowOff>99331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CE35298-AD9D-4B02-9DB1-72029B58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4970" y="10791306"/>
          <a:ext cx="8201935" cy="3899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480784</xdr:colOff>
      <xdr:row>2</xdr:row>
      <xdr:rowOff>84938</xdr:rowOff>
    </xdr:from>
    <xdr:to>
      <xdr:col>8</xdr:col>
      <xdr:colOff>306160</xdr:colOff>
      <xdr:row>104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D9A67B8-B3C9-4944-8EC7-7DC15994C399}"/>
            </a:ext>
          </a:extLst>
        </xdr:cNvPr>
        <xdr:cNvSpPr/>
      </xdr:nvSpPr>
      <xdr:spPr>
        <a:xfrm>
          <a:off x="478244" y="360528"/>
          <a:ext cx="9352916" cy="11473332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230910</xdr:colOff>
      <xdr:row>0</xdr:row>
      <xdr:rowOff>80819</xdr:rowOff>
    </xdr:from>
    <xdr:to>
      <xdr:col>1</xdr:col>
      <xdr:colOff>1397000</xdr:colOff>
      <xdr:row>2</xdr:row>
      <xdr:rowOff>92364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0CFA098-3915-4C9C-8E13-4834B4DC7287}"/>
            </a:ext>
          </a:extLst>
        </xdr:cNvPr>
        <xdr:cNvSpPr/>
      </xdr:nvSpPr>
      <xdr:spPr>
        <a:xfrm>
          <a:off x="230910" y="82089"/>
          <a:ext cx="1773150" cy="28840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Income /</a:t>
          </a:r>
          <a:r>
            <a:rPr lang="en-US" sz="1100" baseline="0"/>
            <a:t> unit drivers</a:t>
          </a:r>
          <a:endParaRPr lang="en-US" sz="1100"/>
        </a:p>
        <a:p>
          <a:pPr algn="l"/>
          <a:endParaRPr lang="en-US" sz="1100"/>
        </a:p>
      </xdr:txBody>
    </xdr:sp>
    <xdr:clientData/>
  </xdr:twoCellAnchor>
  <xdr:twoCellAnchor>
    <xdr:from>
      <xdr:col>8</xdr:col>
      <xdr:colOff>508000</xdr:colOff>
      <xdr:row>2</xdr:row>
      <xdr:rowOff>44529</xdr:rowOff>
    </xdr:from>
    <xdr:to>
      <xdr:col>25</xdr:col>
      <xdr:colOff>408214</xdr:colOff>
      <xdr:row>21</xdr:row>
      <xdr:rowOff>34636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298FFFB-1DFD-4DE7-BF97-6D69946EC2B7}"/>
            </a:ext>
          </a:extLst>
        </xdr:cNvPr>
        <xdr:cNvSpPr/>
      </xdr:nvSpPr>
      <xdr:spPr>
        <a:xfrm>
          <a:off x="10035540" y="320119"/>
          <a:ext cx="15950474" cy="217450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458558</xdr:colOff>
      <xdr:row>22</xdr:row>
      <xdr:rowOff>117554</xdr:rowOff>
    </xdr:from>
    <xdr:to>
      <xdr:col>15</xdr:col>
      <xdr:colOff>809625</xdr:colOff>
      <xdr:row>96</xdr:row>
      <xdr:rowOff>9071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7A9AF17-A83D-4582-8A92-6D92758110BB}"/>
            </a:ext>
          </a:extLst>
        </xdr:cNvPr>
        <xdr:cNvSpPr/>
      </xdr:nvSpPr>
      <xdr:spPr>
        <a:xfrm>
          <a:off x="9983558" y="2717244"/>
          <a:ext cx="7303047" cy="798395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492167</xdr:colOff>
      <xdr:row>0</xdr:row>
      <xdr:rowOff>88076</xdr:rowOff>
    </xdr:from>
    <xdr:to>
      <xdr:col>9</xdr:col>
      <xdr:colOff>1658258</xdr:colOff>
      <xdr:row>2</xdr:row>
      <xdr:rowOff>99621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B6C0C10-CD0F-4AB6-911C-6C69733990CF}"/>
            </a:ext>
          </a:extLst>
        </xdr:cNvPr>
        <xdr:cNvSpPr/>
      </xdr:nvSpPr>
      <xdr:spPr>
        <a:xfrm>
          <a:off x="10017167" y="90616"/>
          <a:ext cx="1779501" cy="28078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Operating assumptions</a:t>
          </a:r>
        </a:p>
      </xdr:txBody>
    </xdr:sp>
    <xdr:clientData/>
  </xdr:twoCellAnchor>
  <xdr:twoCellAnchor>
    <xdr:from>
      <xdr:col>8</xdr:col>
      <xdr:colOff>354281</xdr:colOff>
      <xdr:row>21</xdr:row>
      <xdr:rowOff>13691</xdr:rowOff>
    </xdr:from>
    <xdr:to>
      <xdr:col>9</xdr:col>
      <xdr:colOff>1520372</xdr:colOff>
      <xdr:row>23</xdr:row>
      <xdr:rowOff>25236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3A0DAFA-DC5A-410F-BF90-671C6405CCAE}"/>
            </a:ext>
          </a:extLst>
        </xdr:cNvPr>
        <xdr:cNvSpPr/>
      </xdr:nvSpPr>
      <xdr:spPr>
        <a:xfrm>
          <a:off x="9881821" y="2477491"/>
          <a:ext cx="1771881" cy="28078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Construction /</a:t>
          </a:r>
          <a:r>
            <a:rPr lang="en-US" sz="1100" b="1" baseline="0"/>
            <a:t> Misc.</a:t>
          </a:r>
        </a:p>
        <a:p>
          <a:pPr algn="l"/>
          <a:endParaRPr lang="en-US" sz="1100"/>
        </a:p>
      </xdr:txBody>
    </xdr:sp>
    <xdr:clientData/>
  </xdr:twoCellAnchor>
  <xdr:twoCellAnchor>
    <xdr:from>
      <xdr:col>16</xdr:col>
      <xdr:colOff>426173</xdr:colOff>
      <xdr:row>22</xdr:row>
      <xdr:rowOff>120094</xdr:rowOff>
    </xdr:from>
    <xdr:to>
      <xdr:col>21</xdr:col>
      <xdr:colOff>519545</xdr:colOff>
      <xdr:row>65</xdr:row>
      <xdr:rowOff>26894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11312CFD-4042-4629-AEF5-2CB1D6424A66}"/>
            </a:ext>
          </a:extLst>
        </xdr:cNvPr>
        <xdr:cNvSpPr/>
      </xdr:nvSpPr>
      <xdr:spPr>
        <a:xfrm>
          <a:off x="17831523" y="2719784"/>
          <a:ext cx="4737762" cy="3743470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61522</xdr:colOff>
      <xdr:row>21</xdr:row>
      <xdr:rowOff>63994</xdr:rowOff>
    </xdr:from>
    <xdr:to>
      <xdr:col>18</xdr:col>
      <xdr:colOff>915886</xdr:colOff>
      <xdr:row>23</xdr:row>
      <xdr:rowOff>75539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64F0365-5380-4A9C-9337-021201FB3EF6}"/>
            </a:ext>
          </a:extLst>
        </xdr:cNvPr>
        <xdr:cNvSpPr/>
      </xdr:nvSpPr>
      <xdr:spPr>
        <a:xfrm>
          <a:off x="17463062" y="2522714"/>
          <a:ext cx="2716184" cy="28840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Financing sources</a:t>
          </a:r>
          <a:endParaRPr lang="en-US" sz="1100"/>
        </a:p>
      </xdr:txBody>
    </xdr:sp>
    <xdr:clientData/>
  </xdr:twoCellAnchor>
  <xdr:twoCellAnchor editAs="oneCell">
    <xdr:from>
      <xdr:col>9</xdr:col>
      <xdr:colOff>180370</xdr:colOff>
      <xdr:row>98</xdr:row>
      <xdr:rowOff>104256</xdr:rowOff>
    </xdr:from>
    <xdr:to>
      <xdr:col>17</xdr:col>
      <xdr:colOff>212395</xdr:colOff>
      <xdr:row>125</xdr:row>
      <xdr:rowOff>134412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103434-4A10-4846-9223-BB68D4DF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2430" y="11066896"/>
          <a:ext cx="8227335" cy="3970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480784</xdr:colOff>
      <xdr:row>2</xdr:row>
      <xdr:rowOff>84938</xdr:rowOff>
    </xdr:from>
    <xdr:to>
      <xdr:col>8</xdr:col>
      <xdr:colOff>306160</xdr:colOff>
      <xdr:row>85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7E4BB08-41E8-4B23-A6A9-A70DCD7C7D3C}"/>
            </a:ext>
          </a:extLst>
        </xdr:cNvPr>
        <xdr:cNvSpPr/>
      </xdr:nvSpPr>
      <xdr:spPr>
        <a:xfrm>
          <a:off x="478244" y="360528"/>
          <a:ext cx="9352916" cy="11473332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230910</xdr:colOff>
      <xdr:row>0</xdr:row>
      <xdr:rowOff>80819</xdr:rowOff>
    </xdr:from>
    <xdr:to>
      <xdr:col>1</xdr:col>
      <xdr:colOff>1397000</xdr:colOff>
      <xdr:row>2</xdr:row>
      <xdr:rowOff>92364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1FBB6FF-7BD6-47D3-9046-02D205696AB8}"/>
            </a:ext>
          </a:extLst>
        </xdr:cNvPr>
        <xdr:cNvSpPr/>
      </xdr:nvSpPr>
      <xdr:spPr>
        <a:xfrm>
          <a:off x="230910" y="82089"/>
          <a:ext cx="1773150" cy="28840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Income /</a:t>
          </a:r>
          <a:r>
            <a:rPr lang="en-US" sz="1100" baseline="0"/>
            <a:t> unit drivers</a:t>
          </a:r>
          <a:endParaRPr lang="en-US" sz="1100"/>
        </a:p>
        <a:p>
          <a:pPr algn="l"/>
          <a:endParaRPr lang="en-US" sz="1100"/>
        </a:p>
      </xdr:txBody>
    </xdr:sp>
    <xdr:clientData/>
  </xdr:twoCellAnchor>
  <xdr:twoCellAnchor>
    <xdr:from>
      <xdr:col>8</xdr:col>
      <xdr:colOff>508000</xdr:colOff>
      <xdr:row>2</xdr:row>
      <xdr:rowOff>44529</xdr:rowOff>
    </xdr:from>
    <xdr:to>
      <xdr:col>25</xdr:col>
      <xdr:colOff>408214</xdr:colOff>
      <xdr:row>17</xdr:row>
      <xdr:rowOff>34636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41B978E-FEE2-4763-8753-424D11EF2565}"/>
            </a:ext>
          </a:extLst>
        </xdr:cNvPr>
        <xdr:cNvSpPr/>
      </xdr:nvSpPr>
      <xdr:spPr>
        <a:xfrm>
          <a:off x="10035540" y="320119"/>
          <a:ext cx="15950474" cy="217450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458558</xdr:colOff>
      <xdr:row>18</xdr:row>
      <xdr:rowOff>117554</xdr:rowOff>
    </xdr:from>
    <xdr:to>
      <xdr:col>15</xdr:col>
      <xdr:colOff>809625</xdr:colOff>
      <xdr:row>77</xdr:row>
      <xdr:rowOff>9071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48C3D8D-CB4B-44FF-BF56-A47645F6F85E}"/>
            </a:ext>
          </a:extLst>
        </xdr:cNvPr>
        <xdr:cNvSpPr/>
      </xdr:nvSpPr>
      <xdr:spPr>
        <a:xfrm>
          <a:off x="9983558" y="2717244"/>
          <a:ext cx="7303047" cy="798395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492167</xdr:colOff>
      <xdr:row>0</xdr:row>
      <xdr:rowOff>88076</xdr:rowOff>
    </xdr:from>
    <xdr:to>
      <xdr:col>9</xdr:col>
      <xdr:colOff>1658258</xdr:colOff>
      <xdr:row>2</xdr:row>
      <xdr:rowOff>99621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1ABBD41-139C-44BF-B831-FEBD85C15EE7}"/>
            </a:ext>
          </a:extLst>
        </xdr:cNvPr>
        <xdr:cNvSpPr/>
      </xdr:nvSpPr>
      <xdr:spPr>
        <a:xfrm>
          <a:off x="10017167" y="90616"/>
          <a:ext cx="1779501" cy="28078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Operating assumptions</a:t>
          </a:r>
        </a:p>
      </xdr:txBody>
    </xdr:sp>
    <xdr:clientData/>
  </xdr:twoCellAnchor>
  <xdr:twoCellAnchor>
    <xdr:from>
      <xdr:col>8</xdr:col>
      <xdr:colOff>354281</xdr:colOff>
      <xdr:row>17</xdr:row>
      <xdr:rowOff>13691</xdr:rowOff>
    </xdr:from>
    <xdr:to>
      <xdr:col>9</xdr:col>
      <xdr:colOff>1520372</xdr:colOff>
      <xdr:row>19</xdr:row>
      <xdr:rowOff>25236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BB6379-E567-4D42-BEFE-1E91ED31098B}"/>
            </a:ext>
          </a:extLst>
        </xdr:cNvPr>
        <xdr:cNvSpPr/>
      </xdr:nvSpPr>
      <xdr:spPr>
        <a:xfrm>
          <a:off x="9881821" y="2477491"/>
          <a:ext cx="1771881" cy="28078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Construction /</a:t>
          </a:r>
          <a:r>
            <a:rPr lang="en-US" sz="1100" b="1" baseline="0"/>
            <a:t> Misc.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856288</xdr:colOff>
      <xdr:row>2</xdr:row>
      <xdr:rowOff>42333</xdr:rowOff>
    </xdr:from>
    <xdr:to>
      <xdr:col>7</xdr:col>
      <xdr:colOff>937107</xdr:colOff>
      <xdr:row>16</xdr:row>
      <xdr:rowOff>101174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07CBAB7-A4B2-460E-AD97-1A1082A5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7498" y="317923"/>
          <a:ext cx="2512869" cy="2481086"/>
        </a:xfrm>
        <a:prstGeom prst="rect">
          <a:avLst/>
        </a:prstGeom>
      </xdr:spPr>
    </xdr:pic>
    <xdr:clientData/>
  </xdr:twoCellAnchor>
  <xdr:twoCellAnchor>
    <xdr:from>
      <xdr:col>16</xdr:col>
      <xdr:colOff>426173</xdr:colOff>
      <xdr:row>18</xdr:row>
      <xdr:rowOff>120094</xdr:rowOff>
    </xdr:from>
    <xdr:to>
      <xdr:col>21</xdr:col>
      <xdr:colOff>519545</xdr:colOff>
      <xdr:row>46</xdr:row>
      <xdr:rowOff>26894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FEDB6DE-5BE9-4805-9DA8-C3C3F9E5ADF1}"/>
            </a:ext>
          </a:extLst>
        </xdr:cNvPr>
        <xdr:cNvSpPr/>
      </xdr:nvSpPr>
      <xdr:spPr>
        <a:xfrm>
          <a:off x="17831523" y="2719784"/>
          <a:ext cx="4737762" cy="3743470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61522</xdr:colOff>
      <xdr:row>17</xdr:row>
      <xdr:rowOff>63994</xdr:rowOff>
    </xdr:from>
    <xdr:to>
      <xdr:col>18</xdr:col>
      <xdr:colOff>915886</xdr:colOff>
      <xdr:row>19</xdr:row>
      <xdr:rowOff>75539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F77320F-2FB1-4541-A725-A479D523B1C2}"/>
            </a:ext>
          </a:extLst>
        </xdr:cNvPr>
        <xdr:cNvSpPr/>
      </xdr:nvSpPr>
      <xdr:spPr>
        <a:xfrm>
          <a:off x="17463062" y="2522714"/>
          <a:ext cx="2716184" cy="28840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Financing sources</a:t>
          </a:r>
          <a:endParaRPr lang="en-US" sz="1100"/>
        </a:p>
      </xdr:txBody>
    </xdr:sp>
    <xdr:clientData/>
  </xdr:twoCellAnchor>
  <xdr:twoCellAnchor editAs="oneCell">
    <xdr:from>
      <xdr:col>9</xdr:col>
      <xdr:colOff>180370</xdr:colOff>
      <xdr:row>79</xdr:row>
      <xdr:rowOff>104256</xdr:rowOff>
    </xdr:from>
    <xdr:to>
      <xdr:col>17</xdr:col>
      <xdr:colOff>213665</xdr:colOff>
      <xdr:row>106</xdr:row>
      <xdr:rowOff>138701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6CCF14-FE9E-46B3-935F-E360D52D6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2430" y="11066896"/>
          <a:ext cx="8227335" cy="3970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480784</xdr:colOff>
      <xdr:row>2</xdr:row>
      <xdr:rowOff>84938</xdr:rowOff>
    </xdr:from>
    <xdr:to>
      <xdr:col>8</xdr:col>
      <xdr:colOff>306160</xdr:colOff>
      <xdr:row>85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847FEB3-6AEF-4EC3-8373-7E0974F8465D}"/>
            </a:ext>
          </a:extLst>
        </xdr:cNvPr>
        <xdr:cNvSpPr/>
      </xdr:nvSpPr>
      <xdr:spPr>
        <a:xfrm>
          <a:off x="480784" y="351638"/>
          <a:ext cx="9350376" cy="11186312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230910</xdr:colOff>
      <xdr:row>0</xdr:row>
      <xdr:rowOff>80819</xdr:rowOff>
    </xdr:from>
    <xdr:to>
      <xdr:col>1</xdr:col>
      <xdr:colOff>1397000</xdr:colOff>
      <xdr:row>2</xdr:row>
      <xdr:rowOff>92364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C1E269A-C9A8-47A4-93F4-F1B2BC89B7AB}"/>
            </a:ext>
          </a:extLst>
        </xdr:cNvPr>
        <xdr:cNvSpPr/>
      </xdr:nvSpPr>
      <xdr:spPr>
        <a:xfrm>
          <a:off x="230910" y="80819"/>
          <a:ext cx="1775690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Income /</a:t>
          </a:r>
          <a:r>
            <a:rPr lang="en-US" sz="1100" baseline="0"/>
            <a:t> unit drivers</a:t>
          </a:r>
          <a:endParaRPr lang="en-US" sz="1100"/>
        </a:p>
        <a:p>
          <a:pPr algn="l"/>
          <a:endParaRPr lang="en-US" sz="1100"/>
        </a:p>
      </xdr:txBody>
    </xdr:sp>
    <xdr:clientData/>
  </xdr:twoCellAnchor>
  <xdr:twoCellAnchor>
    <xdr:from>
      <xdr:col>8</xdr:col>
      <xdr:colOff>508000</xdr:colOff>
      <xdr:row>2</xdr:row>
      <xdr:rowOff>44529</xdr:rowOff>
    </xdr:from>
    <xdr:to>
      <xdr:col>25</xdr:col>
      <xdr:colOff>408214</xdr:colOff>
      <xdr:row>17</xdr:row>
      <xdr:rowOff>34636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6D55440-9F96-4B54-8FAC-8B50E5FF03D1}"/>
            </a:ext>
          </a:extLst>
        </xdr:cNvPr>
        <xdr:cNvSpPr/>
      </xdr:nvSpPr>
      <xdr:spPr>
        <a:xfrm>
          <a:off x="10033000" y="311229"/>
          <a:ext cx="15914914" cy="214275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458558</xdr:colOff>
      <xdr:row>18</xdr:row>
      <xdr:rowOff>117554</xdr:rowOff>
    </xdr:from>
    <xdr:to>
      <xdr:col>15</xdr:col>
      <xdr:colOff>809625</xdr:colOff>
      <xdr:row>77</xdr:row>
      <xdr:rowOff>9071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4D636435-4F48-489C-882B-6B244AD55D09}"/>
            </a:ext>
          </a:extLst>
        </xdr:cNvPr>
        <xdr:cNvSpPr/>
      </xdr:nvSpPr>
      <xdr:spPr>
        <a:xfrm>
          <a:off x="9983558" y="2670254"/>
          <a:ext cx="7285267" cy="7759167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492167</xdr:colOff>
      <xdr:row>0</xdr:row>
      <xdr:rowOff>88076</xdr:rowOff>
    </xdr:from>
    <xdr:to>
      <xdr:col>9</xdr:col>
      <xdr:colOff>1658258</xdr:colOff>
      <xdr:row>2</xdr:row>
      <xdr:rowOff>99621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208F1ED-8701-4509-97A1-BC316F44C27A}"/>
            </a:ext>
          </a:extLst>
        </xdr:cNvPr>
        <xdr:cNvSpPr/>
      </xdr:nvSpPr>
      <xdr:spPr>
        <a:xfrm>
          <a:off x="10017167" y="88076"/>
          <a:ext cx="1775691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Operating assumptions</a:t>
          </a:r>
        </a:p>
      </xdr:txBody>
    </xdr:sp>
    <xdr:clientData/>
  </xdr:twoCellAnchor>
  <xdr:twoCellAnchor>
    <xdr:from>
      <xdr:col>8</xdr:col>
      <xdr:colOff>354281</xdr:colOff>
      <xdr:row>17</xdr:row>
      <xdr:rowOff>13691</xdr:rowOff>
    </xdr:from>
    <xdr:to>
      <xdr:col>9</xdr:col>
      <xdr:colOff>1520372</xdr:colOff>
      <xdr:row>19</xdr:row>
      <xdr:rowOff>25236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7000BF6-8FB9-4C61-BB67-C9AD27988638}"/>
            </a:ext>
          </a:extLst>
        </xdr:cNvPr>
        <xdr:cNvSpPr/>
      </xdr:nvSpPr>
      <xdr:spPr>
        <a:xfrm>
          <a:off x="9879281" y="2433041"/>
          <a:ext cx="1775691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Construction /</a:t>
          </a:r>
          <a:r>
            <a:rPr lang="en-US" sz="1100" b="1" baseline="0"/>
            <a:t> Misc.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856288</xdr:colOff>
      <xdr:row>2</xdr:row>
      <xdr:rowOff>42333</xdr:rowOff>
    </xdr:from>
    <xdr:to>
      <xdr:col>7</xdr:col>
      <xdr:colOff>939647</xdr:colOff>
      <xdr:row>18</xdr:row>
      <xdr:rowOff>58072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BE2655-E8E3-4AD5-B877-E45034BD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688" y="309033"/>
          <a:ext cx="2517949" cy="2435366"/>
        </a:xfrm>
        <a:prstGeom prst="rect">
          <a:avLst/>
        </a:prstGeom>
      </xdr:spPr>
    </xdr:pic>
    <xdr:clientData/>
  </xdr:twoCellAnchor>
  <xdr:twoCellAnchor>
    <xdr:from>
      <xdr:col>16</xdr:col>
      <xdr:colOff>426173</xdr:colOff>
      <xdr:row>18</xdr:row>
      <xdr:rowOff>120094</xdr:rowOff>
    </xdr:from>
    <xdr:to>
      <xdr:col>21</xdr:col>
      <xdr:colOff>519545</xdr:colOff>
      <xdr:row>46</xdr:row>
      <xdr:rowOff>26894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6ECC85F-796F-40C0-B615-3D76E38FABEB}"/>
            </a:ext>
          </a:extLst>
        </xdr:cNvPr>
        <xdr:cNvSpPr/>
      </xdr:nvSpPr>
      <xdr:spPr>
        <a:xfrm>
          <a:off x="17812473" y="2672794"/>
          <a:ext cx="4728872" cy="3640600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61522</xdr:colOff>
      <xdr:row>17</xdr:row>
      <xdr:rowOff>63994</xdr:rowOff>
    </xdr:from>
    <xdr:to>
      <xdr:col>18</xdr:col>
      <xdr:colOff>915886</xdr:colOff>
      <xdr:row>19</xdr:row>
      <xdr:rowOff>75539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F9E27B63-AFB5-4FF6-A6D5-568F86F03BD4}"/>
            </a:ext>
          </a:extLst>
        </xdr:cNvPr>
        <xdr:cNvSpPr/>
      </xdr:nvSpPr>
      <xdr:spPr>
        <a:xfrm>
          <a:off x="17447822" y="2483344"/>
          <a:ext cx="2708564" cy="278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Financing sources</a:t>
          </a:r>
          <a:endParaRPr lang="en-US" sz="1100"/>
        </a:p>
      </xdr:txBody>
    </xdr:sp>
    <xdr:clientData/>
  </xdr:twoCellAnchor>
  <xdr:twoCellAnchor editAs="oneCell">
    <xdr:from>
      <xdr:col>9</xdr:col>
      <xdr:colOff>180370</xdr:colOff>
      <xdr:row>79</xdr:row>
      <xdr:rowOff>104256</xdr:rowOff>
    </xdr:from>
    <xdr:to>
      <xdr:col>16</xdr:col>
      <xdr:colOff>22481</xdr:colOff>
      <xdr:row>106</xdr:row>
      <xdr:rowOff>25284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937F1D2-4779-4873-A4D8-334F72CC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4970" y="10791306"/>
          <a:ext cx="8210825" cy="3910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480784</xdr:colOff>
      <xdr:row>2</xdr:row>
      <xdr:rowOff>84938</xdr:rowOff>
    </xdr:from>
    <xdr:to>
      <xdr:col>8</xdr:col>
      <xdr:colOff>306160</xdr:colOff>
      <xdr:row>85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092F3CD-DF96-49CF-B052-CE7B2C113075}"/>
            </a:ext>
          </a:extLst>
        </xdr:cNvPr>
        <xdr:cNvSpPr/>
      </xdr:nvSpPr>
      <xdr:spPr>
        <a:xfrm>
          <a:off x="480784" y="362029"/>
          <a:ext cx="9385012" cy="11587516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230910</xdr:colOff>
      <xdr:row>0</xdr:row>
      <xdr:rowOff>80819</xdr:rowOff>
    </xdr:from>
    <xdr:to>
      <xdr:col>1</xdr:col>
      <xdr:colOff>1397000</xdr:colOff>
      <xdr:row>2</xdr:row>
      <xdr:rowOff>92364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5F2AE16-A18C-4ABC-9A30-23C3872D02CC}"/>
            </a:ext>
          </a:extLst>
        </xdr:cNvPr>
        <xdr:cNvSpPr/>
      </xdr:nvSpPr>
      <xdr:spPr>
        <a:xfrm>
          <a:off x="230910" y="80819"/>
          <a:ext cx="1777999" cy="2886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Income /</a:t>
          </a:r>
          <a:r>
            <a:rPr lang="en-US" sz="1100" baseline="0"/>
            <a:t> unit drivers</a:t>
          </a:r>
          <a:endParaRPr lang="en-US" sz="1100"/>
        </a:p>
        <a:p>
          <a:pPr algn="l"/>
          <a:endParaRPr lang="en-US" sz="1100"/>
        </a:p>
      </xdr:txBody>
    </xdr:sp>
    <xdr:clientData/>
  </xdr:twoCellAnchor>
  <xdr:twoCellAnchor>
    <xdr:from>
      <xdr:col>8</xdr:col>
      <xdr:colOff>508000</xdr:colOff>
      <xdr:row>2</xdr:row>
      <xdr:rowOff>44529</xdr:rowOff>
    </xdr:from>
    <xdr:to>
      <xdr:col>25</xdr:col>
      <xdr:colOff>408214</xdr:colOff>
      <xdr:row>17</xdr:row>
      <xdr:rowOff>34636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CF2C97F-8728-46FA-A610-40A652482E4D}"/>
            </a:ext>
          </a:extLst>
        </xdr:cNvPr>
        <xdr:cNvSpPr/>
      </xdr:nvSpPr>
      <xdr:spPr>
        <a:xfrm>
          <a:off x="10005786" y="316672"/>
          <a:ext cx="15149285" cy="2158178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458558</xdr:colOff>
      <xdr:row>18</xdr:row>
      <xdr:rowOff>117554</xdr:rowOff>
    </xdr:from>
    <xdr:to>
      <xdr:col>15</xdr:col>
      <xdr:colOff>809625</xdr:colOff>
      <xdr:row>77</xdr:row>
      <xdr:rowOff>9071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CDC69E2-D7C3-4478-B19B-12A584CC7BD7}"/>
            </a:ext>
          </a:extLst>
        </xdr:cNvPr>
        <xdr:cNvSpPr/>
      </xdr:nvSpPr>
      <xdr:spPr>
        <a:xfrm>
          <a:off x="9956344" y="2693840"/>
          <a:ext cx="7272567" cy="7919731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492167</xdr:colOff>
      <xdr:row>0</xdr:row>
      <xdr:rowOff>88076</xdr:rowOff>
    </xdr:from>
    <xdr:to>
      <xdr:col>9</xdr:col>
      <xdr:colOff>1658258</xdr:colOff>
      <xdr:row>2</xdr:row>
      <xdr:rowOff>99621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6D5681-6AAA-44A9-B7BE-6970AAFEBEDE}"/>
            </a:ext>
          </a:extLst>
        </xdr:cNvPr>
        <xdr:cNvSpPr/>
      </xdr:nvSpPr>
      <xdr:spPr>
        <a:xfrm>
          <a:off x="9989953" y="88076"/>
          <a:ext cx="1773876" cy="283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Operating assumptions</a:t>
          </a:r>
        </a:p>
      </xdr:txBody>
    </xdr:sp>
    <xdr:clientData/>
  </xdr:twoCellAnchor>
  <xdr:twoCellAnchor>
    <xdr:from>
      <xdr:col>8</xdr:col>
      <xdr:colOff>354281</xdr:colOff>
      <xdr:row>17</xdr:row>
      <xdr:rowOff>13691</xdr:rowOff>
    </xdr:from>
    <xdr:to>
      <xdr:col>9</xdr:col>
      <xdr:colOff>1520372</xdr:colOff>
      <xdr:row>19</xdr:row>
      <xdr:rowOff>25236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44E97B4-68F2-470C-935D-72F4A1BCBBB2}"/>
            </a:ext>
          </a:extLst>
        </xdr:cNvPr>
        <xdr:cNvSpPr/>
      </xdr:nvSpPr>
      <xdr:spPr>
        <a:xfrm>
          <a:off x="9852067" y="2453905"/>
          <a:ext cx="1773876" cy="2836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Construction /</a:t>
          </a:r>
          <a:r>
            <a:rPr lang="en-US" sz="1100" b="1" baseline="0"/>
            <a:t> Misc.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856288</xdr:colOff>
      <xdr:row>2</xdr:row>
      <xdr:rowOff>42333</xdr:rowOff>
    </xdr:from>
    <xdr:to>
      <xdr:col>7</xdr:col>
      <xdr:colOff>939647</xdr:colOff>
      <xdr:row>19</xdr:row>
      <xdr:rowOff>62159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54A123-C71E-454A-8063-261AB962A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9455" y="317500"/>
          <a:ext cx="2514985" cy="2483202"/>
        </a:xfrm>
        <a:prstGeom prst="rect">
          <a:avLst/>
        </a:prstGeom>
      </xdr:spPr>
    </xdr:pic>
    <xdr:clientData/>
  </xdr:twoCellAnchor>
  <xdr:twoCellAnchor>
    <xdr:from>
      <xdr:col>16</xdr:col>
      <xdr:colOff>426173</xdr:colOff>
      <xdr:row>18</xdr:row>
      <xdr:rowOff>120094</xdr:rowOff>
    </xdr:from>
    <xdr:to>
      <xdr:col>21</xdr:col>
      <xdr:colOff>519545</xdr:colOff>
      <xdr:row>46</xdr:row>
      <xdr:rowOff>26894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9850C0F-1AB2-47A8-95FD-4881B928EF7E}"/>
            </a:ext>
          </a:extLst>
        </xdr:cNvPr>
        <xdr:cNvSpPr/>
      </xdr:nvSpPr>
      <xdr:spPr>
        <a:xfrm>
          <a:off x="17825173" y="2740912"/>
          <a:ext cx="4711554" cy="3786073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61522</xdr:colOff>
      <xdr:row>17</xdr:row>
      <xdr:rowOff>63994</xdr:rowOff>
    </xdr:from>
    <xdr:to>
      <xdr:col>18</xdr:col>
      <xdr:colOff>915886</xdr:colOff>
      <xdr:row>19</xdr:row>
      <xdr:rowOff>75539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AE14827-E6AD-46FA-AB4A-6D8D8B102C0B}"/>
            </a:ext>
          </a:extLst>
        </xdr:cNvPr>
        <xdr:cNvSpPr/>
      </xdr:nvSpPr>
      <xdr:spPr>
        <a:xfrm>
          <a:off x="17460522" y="2546267"/>
          <a:ext cx="1778000" cy="2886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Financing sources</a:t>
          </a:r>
          <a:endParaRPr lang="en-US" sz="1100"/>
        </a:p>
      </xdr:txBody>
    </xdr:sp>
    <xdr:clientData/>
  </xdr:twoCellAnchor>
  <xdr:twoCellAnchor editAs="oneCell">
    <xdr:from>
      <xdr:col>9</xdr:col>
      <xdr:colOff>180370</xdr:colOff>
      <xdr:row>79</xdr:row>
      <xdr:rowOff>104256</xdr:rowOff>
    </xdr:from>
    <xdr:to>
      <xdr:col>17</xdr:col>
      <xdr:colOff>216205</xdr:colOff>
      <xdr:row>106</xdr:row>
      <xdr:rowOff>62501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211E871-16CF-42EE-9BB7-5EE0B355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8283" y="10722560"/>
          <a:ext cx="8206352" cy="38689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528154</xdr:colOff>
      <xdr:row>12</xdr:row>
      <xdr:rowOff>39978</xdr:rowOff>
    </xdr:from>
    <xdr:to>
      <xdr:col>38</xdr:col>
      <xdr:colOff>223354</xdr:colOff>
      <xdr:row>34</xdr:row>
      <xdr:rowOff>72887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11F80B-DD9E-4E8B-9BBA-10A652C21F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184923</xdr:colOff>
      <xdr:row>2</xdr:row>
      <xdr:rowOff>61679</xdr:rowOff>
    </xdr:from>
    <xdr:to>
      <xdr:col>33</xdr:col>
      <xdr:colOff>551953</xdr:colOff>
      <xdr:row>31</xdr:row>
      <xdr:rowOff>8339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7388EB0-0B71-46FD-9707-002BF5681A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117033</xdr:colOff>
      <xdr:row>5</xdr:row>
      <xdr:rowOff>100689</xdr:rowOff>
    </xdr:from>
    <xdr:to>
      <xdr:col>35</xdr:col>
      <xdr:colOff>125288</xdr:colOff>
      <xdr:row>39</xdr:row>
      <xdr:rowOff>81086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30D33F-615B-437F-A78F-F5DCC52573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69179</xdr:colOff>
      <xdr:row>12</xdr:row>
      <xdr:rowOff>50972</xdr:rowOff>
    </xdr:from>
    <xdr:to>
      <xdr:col>26</xdr:col>
      <xdr:colOff>517339</xdr:colOff>
      <xdr:row>49</xdr:row>
      <xdr:rowOff>35859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8FFCCFB-D09D-4FE4-92DB-D5E7DC5224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559495</xdr:colOff>
      <xdr:row>27</xdr:row>
      <xdr:rowOff>67777</xdr:rowOff>
    </xdr:from>
    <xdr:to>
      <xdr:col>18</xdr:col>
      <xdr:colOff>147855</xdr:colOff>
      <xdr:row>49</xdr:row>
      <xdr:rowOff>48578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53EC3A-0FD4-4EB5-A07B-8BD5CDF716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380637</xdr:colOff>
      <xdr:row>27</xdr:row>
      <xdr:rowOff>5443</xdr:rowOff>
    </xdr:from>
    <xdr:to>
      <xdr:col>26</xdr:col>
      <xdr:colOff>68217</xdr:colOff>
      <xdr:row>49</xdr:row>
      <xdr:rowOff>86723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D0ADB-7E4A-48EB-BA6F-DD084C6E28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98612</xdr:colOff>
      <xdr:row>26</xdr:row>
      <xdr:rowOff>64022</xdr:rowOff>
    </xdr:from>
    <xdr:to>
      <xdr:col>27</xdr:col>
      <xdr:colOff>419345</xdr:colOff>
      <xdr:row>47</xdr:row>
      <xdr:rowOff>118904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DBDEAD-92CD-434B-84C7-2114E2643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2563</xdr:colOff>
      <xdr:row>47</xdr:row>
      <xdr:rowOff>3159</xdr:rowOff>
    </xdr:from>
    <xdr:to>
      <xdr:col>25</xdr:col>
      <xdr:colOff>303553</xdr:colOff>
      <xdr:row>68</xdr:row>
      <xdr:rowOff>115250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FAC84-1A0D-442A-AFF9-BAED4086FE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21T21:00:38.086"/>
    </inkml:context>
    <inkml:brush xml:id="br0">
      <inkml:brushProperty name="width" value="0.05" units="cm"/>
      <inkml:brushProperty name="height" value="0.05" units="cm"/>
      <inkml:brushProperty name="color" value="#E71225"/>
    </inkml:brush>
  </inkml:definitions>
  <inkml:trace contextRef="#ctx0" brushRef="#br0">1818 2013 2072,'-21'-9'1059,"17"2"878,4 9 791,0 1-2681,2 18 213,0-2 0,2 2 0,0-3 0,1 3 0,6 12-260,12 42 115,42 168 1633,-31-106-1388,-14-63 63,-2 0 0,5 72-423,-18-89 93,3 2 0,2-3 0,9 22-93,-6-9 67,-12-55-17,1 0 0,1-1 0,0 2 0,1-2 0,0 0-1,5 9-49,-6-11-1060,-4-11 585</inkml:trace>
  <inkml:trace contextRef="#ctx0" brushRef="#br0" timeOffset="997.314">2106 3230 1336,'19'54'719,"-13"-43"-9,-4-13-655,-1-9 1945,0 1-1405,0 2 1,0-3-1,1 1 0,1 1 1,0 1-1,3-8-595,4-17 722,-5 18-628,1 3 0,1-3-1,0 1 1,1 3 0,1-1 0,6-7-94,4-9 225,-2 7 76,3-4 1,-2 5-1,3-1 0,0 1 1,1 1-1,20-13-301,38-19 494,41-21-494,26-16 529,-97 57 4,1 3 0,40-17-533,112-36 628,25-13-352,211-104 1028,-395 179-1054,23-7-250,-52 21-277,0 1 0,1 1 0,-1 1 0,1-2 0,0 2 0,7 1 277,-23 0-592</inkml:trace>
  <inkml:trace contextRef="#ctx0" brushRef="#br0" timeOffset="2035.291">1865 2049 4745,'36'-14'3971,"20"-4"-3971,4-2 765,24-6 755,75-15-1520,92-5 1247,17-6 489,211-67-155,-410 100-1483,40-4 61,-3 5-1,9 3-158,48-8 145,-130 16-97,-23 5-22,-1 0 1,0 0-1,0 1 0,0 0 1,0 0-1,-1 1 0,1 0 0,6 1-26,-14-1 3,0 1 0,0-1 0,0 1-1,0-1 1,0 1 0,0 0-1,0 0 1,0-1 0,0 1 0,0 0-1,0-1 1,-1 1 0,1 0-1,0 0 1,-1 0 0,1 0-1,-1 0 1,1 0 0,-1 0 0,0 0-1,1 0 1,-1 0 0,0 1-1,0-1 1,0 0 0,0 1-3,1 35 45,-1-28-14,0-4 129,-3-8-976,2 3 473</inkml:trace>
  <inkml:trace contextRef="#ctx0" brushRef="#br0" timeOffset="2596.344">4027 1737 4617,'8'-2'1928,"3"3"-959,3 15-801,-5 6-136,-5 15 0,0 7 8,-3 3 24,2 5-8,0-1-32</inkml:trace>
  <inkml:trace contextRef="#ctx0" brushRef="#br0" timeOffset="11045.086">2348 2218 3105,'3'4'1904,"-1"1"-112,8 5-655,22 22-601,-23-13-120,1 8-104,-2 1 16,-2 8 16,-1 0-48,-2-1-104,-3-1-56,1-9-80,-1-6-104,2-13-1592,0-6 1216</inkml:trace>
  <inkml:trace contextRef="#ctx0" brushRef="#br0" timeOffset="11661.098">2379 2188 3785,'-8'14'1314,"8"-14"-1275,0 0-1,0 0 1,0 0 0,0 0-1,0 1 1,0-1-1,0 0 1,0 0 0,0 0-1,0 1 1,0-1 0,0 0-1,0 0 1,0 0-1,0 0 1,0 0 0,0 1-1,0-1 1,0 0 0,0 0-1,1 0 1,-1 0-1,0 0 1,0 1 0,0-1-1,0 0 1,0 0 0,0 0-1,1 0 1,-1 0 0,0 0-1,0 0 1,0 0-1,0 1 1,1-1 0,-1 0-1,0 0 1,0 0 0,0 0-1,0 0-38,29-4 2366,-12 0-2235,30-7 959,-22 8-438,0-3 1,24 0-653,-42 5 63,0 1 0,0 0 0,0 0 0,-1 1 0,1 0 0,0 0 0,0 1 0,-2-1 0,2 3 0,-1-2 0,1-1 0,4 4-63,-9-4 16,0 0 0,-1 0 1,1 1-1,-1 0 0,1-1 1,-1 1-1,1-1 0,-1 1 0,0-1 1,0 1-1,0 0 0,0-1 0,0 1 1,0 0-1,0 0 0,0 0 0,-1 0 1,1-1-1,-1 1 0,0-1 0,1 1 1,-1 0-1,0-1 0,0 1 0,0 0 1,-1 0-1,1 0 0,0 0 0,-1 1 1,1-1-1,-1 0 0,0 1 0,0-1 1,1-1-1,-1 1 0,-1 1-16,-5 7 45,0 1-1,0 0 0,-2 0 1,1 0-1,-2 0-44,2-1 22,-20 24-11,12-14-186,-2 1 1,-1-2 0,0 0-1,0-1 1,-12 6 174,7-12-2374,3-5 1034</inkml:trace>
  <inkml:trace contextRef="#ctx0" brushRef="#br0" timeOffset="88804.481">1506 2134 2144,'4'7'457,"1"-1"0,0 0 0,0 0-1,0 0 1,2 0-457,23 30 208,-17-7 318,2 2 0,-3 1 0,-2 0 0,-1 1 0,3 20-526,-1-2 262,-2 1 1,-2-1-1,-3 1 1,-2 0-1,-2 1 1,-4 15-263,-10 63 1197,6-77-753,7-51-445,1-3-446,-1-1 263</inkml:trace>
  <inkml:trace contextRef="#ctx0" brushRef="#br0" timeOffset="105929.924">1484 1792 2769,'-8'-12'2031,"5"9"149,2 13-1158,1-1-1257,-1 20 543,2-1-1,1 2 1,1-1-1,3 9-307,10 31 1480,7 14-1480,-3 0 470,-14-51-320,3 1 1,3 7-151,-4-11 172,-1-2 0,2 10-172,-4-9 540,2 0-1,7 18-539,-4-14 81,-2-1 0,-2 1 0,0 1 1,-3-2-1,0 9-81,8 63 211,-1-46-163,3-3 1,2 1-1,2-2 0,3 2 0,2-2 1,8 9-49,-19-38 45,-2 1 0,-1 0 1,1 1-1,-3 2-45,16 46 156,-14-52-79,0-1 20,-1 3 0,-1-3 0,2 21-97,1-15 48,-2-9 0,-7-18-59,0 0 0,0-1 0,0 1 0,0 0-1,0 0 1,0 0 0,0 0 0,0 0 0,0 0 0,0 0 0,0 0-1,0 0 1,0 0 0,0 0 0,0 0 0,0 0 0,0 0 0,0-1 0,0 1-1,0 0 1,-1 0 0,1 0 0,0 0 0,0 0 0,0 0 0,0 0 0,0 0-1,0 0 1,0 0 0,0 0 0,0 0 0,0 0 0,0 0 0,0 0-1,0 0 1,0 0 0,0 0 0,-1 0 0,1 0 0,0 0 0,0 0 0,0 0-1,0 0 1,0 0 0,0 0 0,0 0 0,0 0 0,0 0 0,0 0-1,0 0 1,0 0 0,0 0 0,0 0 0,-1 0 0,1 0 0,0 0 0,0 0-1,0 0 1,0 0 0,0 0 0,0 0 0,0 1 0,0-1 0,0 0 0,0 0-1,0 0 1,0 0 0,0 0 0,0 0 11,0 0-204,-1-1-152</inkml:trace>
  <inkml:trace contextRef="#ctx0" brushRef="#br0" timeOffset="107346.866">1898 3507 3601,'-1'0'3563,"-5"2"-2779,-46 17 377,1 1 0,-28 17-1161,44-17 194,2 2 0,1 1 0,-26 25-194,0 4 288,-20 27-288,41-42 421,0-3 0,-2-1 0,-17 10-421,41-35 332,8-2-168,-1 0 0,0 1 0,1-1 0,-1 0 0,-4 8-164,7-6 12,1-1 1,0-1-1,1 1 1,0 1-1,0-1 1,1 1-1,0-1 0,0 1 1,0 5-13,1-5 57,0-1 1,-1-1-1,0 2 1,-1-1-1,1 0 1,-2 2-1,0-4 1,0 2-1,-1 2-57,-3-29 823,-19-111-304,-44-115-519,23 81-92,19 67 85,-36-147 33,46 158-9,1 12-22,4 0-1,3-2 1,1-31 5,4 24 82,-12-55-82,7 65 13,2 11-11,-2 1 1,-12-27-3,20 75-9,1-2-1,0 1 1,1-1 0,1 1-1,1 1 1,0-3 0,1 3-1,1-1 1,0-3 9,1-1 33,-1-2 0,-1 2-1,-1-1 1,0-1 0,-3-2-33,-6-32 215,4 34-175,0-2 0,2 3-1,1-4-39,1 17 30,0 0-1,1-1 0,0 1 0,1-1 1,-1 0-1,1 2 0,1-1 0,-1 0 1,1 0-1,1 1 0,-1 0-29,-2 5 8,-1-1-1,1 1 1,0-1-1,0 0 1,0 1-1,0 0 1,0-1-1,0 1 1,0 0 0,0 0-1,0 0 1,0-1-1,1 1 1,0-1-8,-1 2-10,1 1 0,-1-1 0,-1 0 1,1 0-1,0 1 0,1-1 0,-1 1 1,0-1-1,0 2 0,0-2 0,0 1 1,0-1-1,0 1 0,0 0 0,0 0 1,0 0 9,9 7-10,12 4-19,-1-1-1,0 0 1,2-1-1,-2 0 1,25 6 29,-29-12 2,0 0 0,0-1 0,-1-2 0,2 1 1,-1-1-1,0-1 0,1-1 0,-1 0 0,1-1-2,20-6 18,-3-1 0,1-2-1,-1-2 1,-1-1 0,2-2-18,-9 5-24,-5 0-297,19-6-3616,-26 13 2382</inkml:trace>
  <inkml:trace contextRef="#ctx0" brushRef="#br0" timeOffset="108807.411">752 1728 3185,'7'45'1628,"-7"-62"1554,0 12-3130,0-1 0,0 0 0,0 1 1,-1-1-1,0 1 0,0-1 0,0 1 1,-1-1-1,0 0 0,0 2 0,0-2 1,-1 1-1,-2-3-52,-6-5 490,0 1 0,-2-1-1,-7-5-489,10 10 214,0 1-1,0-2 1,2 0-1,1-1 0,-1 0 1,1 0-1,-4-6-213,-16-34 103,-12-23 401,39 72-485,-1 0 0,1 0 0,-1-1 0,1 1 0,0 1 0,-1-2 0,1 1-1,0 0 1,0 0 0,0-1 0,0 1 0,0-1 0,0 0 0,1 1 0,-1 1 0,0-1 0,1-1 0,-1 1 0,0 0 0,1 0 0,0-1 0,-1 1 0,1 0-1,0 0 1,0 0 0,-1 0 0,1 0 0,0 0 0,0 0 0,0 0 0,0 1 0,1-1 0,-1 0 0,0 0 0,0 1 0,0-1 0,0 1 0,1-1 0,-1 1-1,0 0 1,1-1-19,8-1-8,1 0 0,-1-1-1,1 2 1,0-2 0,1 3 8,0-2 38,31-1 9,-2-3 0,-1-2-1,1-2 1,-1-1 0,12-6-47,39-18 171,127-47 74,-162 71-85,-55 11-157,0 0 1,0 0-1,0 1 1,0 0 0,0 0-1,0-1 1,0 1-1,-1 0 1,1 0-1,0 0 1,0 0-1,-1 0 1,1 0-1,-1 0 1,1 0-1,-1 0 1,1 0-1,-1 0 1,0 1-1,1-1 1,-1 0-1,0 0 1,0 0-4,3 7 6,22 43-13,-6-12-9,-2 1 0,-2 1 0,4 17 16,-5 0 3,-3 7-3,-5-26-9,1-2-1,1-1 0,3 2 0,5 9 10,-3-20-427,5-8 194</inkml:trace>
  <inkml:trace contextRef="#ctx0" brushRef="#br0" timeOffset="112983.193">129 402 3497,'-21'-11'3231,"15"5"-2097,24 40 709,55 95-763,-3 2 0,-7 11-1080,-29-56 244,-15-38 315,2 1 1,0 0-1,8 4-559,-25-46 124,0-1-1,0 0 1,1 0 0,0 0 0,1-1-124,-6-5-87,1 1 0,0-1 0,-1 1 0,1 0 0,0-1 0,-1 1 0,1 0 0,0-1 0,0 1 1,-1-1-1,1 1 0,0-1 0,0 0 0,0 1 0,0-1 0,0 0 0,-1 1 0,1-1 1,0 0-1,0 0 0,0 0 0,0 0 0,0 0 0,0 0 0,0 0 0,0 0 0,0 0 0,0-1 1,0 1-1,0 0 0,-1-1 0,1 1 0,0 0 0,0-1 0,0 1 0,0-1 0,-1 1 0,1-1 1,1 1-1,-2-1 0,1 0 0,0 1 0,0-2 87,8-15-1443</inkml:trace>
  <inkml:trace contextRef="#ctx0" brushRef="#br0" timeOffset="113884.019">1 423 6873,'0'-2'190,"0"0"0,0 1 0,-1-1 0,1 0 0,1 1 0,-1-1-1,0 0 1,0 1 0,1 0 0,-1-1 0,1 1 0,-1-1 0,1 1 0,0-1-1,-1 1 1,1-1 0,0 1 0,0 0 0,0-1 0,0 2 0,1-1-1,-1 0 1,0-1 0,0-1 0,1 2-190,7-6-2,1 0 1,-1 2-1,5-5 2,-5 6 356,32-20-21,1 4 0,-1 1 0,5 2 0,23-8-335,187-43 901,-144 44 33,91-36-934,-160 41 183,17-1 229,0 0 1,53-11-413,-109 30 11,0 0-1,1 0 1,-1 1-1,0 0 1,0-1-1,0 1 1,0 1-1,0-1 0,0 1 1,0-1-1,0 1 1,0 0-1,0 0 1,0 1-1,0-1 1,-1 1-1,2 1-10,1 1 25,-1-1 0,1 3-1,-1 0 1,0-1 0,0 0-1,-1 0 1,0 1 0,0-1-1,2 6-24,22 40 198,-3 0-1,7 25-197,36 108 105,-41-104-34,-8-14 103,-1 1-1,-4 3 1,-3-2 0,-3 2-174,-8-69 8,0-1-1,0 1 1,0 0 0,0-1 0,0 1-1,0 0 1,-1 0 0,1-1 0,0 1-1,0 0 1,0-1 0,-1 1 0,1 0 0,0-1-1,-1 1 1,1-1 0,-1 1 0,1 0-1,-1-1 1,1 1 0,-1-1 0,1 2-1,-1-2 1,1 0 0,-1 1 0,0-1-1,1 1 1,-1-1 0,0 0 0,1 0 0,-1 1-1,0-1 1,1 0 0,-1 0 0,0 0-1,0 0 1,1 0 0,-1 0 0,0 0-1,0 0 1,1 0 0,-1 0 0,0 0-8,-40-7 153,30 4-125,-16 1-14,0 0 1,-2 2 0,2 0 0,0 2-1,0 1 1,0 1 0,-19 6-15,-11 4 166,0 4-1,0 1 1,-3 5-166,-3 5-90,-44 28 90,18-7-1235,28-21 693</inkml:trace>
  <inkml:trace contextRef="#ctx0" brushRef="#br0" timeOffset="119108.686">881 1526 3209,'-16'16'1477,"16"-16"-1400,-1 0-1,1 1 0,0-1 1,0 1-1,-1-1 1,1 1-1,0-1 0,0 1 1,0-1-1,0 1 1,0-1-1,0 1 0,0-1 1,0 1-1,0-1 0,0 1 1,0-1-1,0 0 1,0 0-1,0 1 0,0-1 1,1 1-1,-1-1 1,0 1-1,0-1 0,1 1-76,8 14 40,-7-7 161,3 2 102,0-2-1,-2 1 0,1 0 0,-1 0 1,0 1-1,-1 0 0,0 0 0,-1 0-302,-2-14 57,1-1 0,-2 0 0,1 2 0,0-3-1,-1 1 1,0 1 0,-2-3-57,1-2 30,-12-27 1,10 26 71,1 0 1,0 1-1,0-1 1,1 0-1,0-2 1,1 2 0,0-5-103,2 14 28,0 1 1,0-1-1,0 1 1,0-1 0,0 0-1,0 1 1,0-1-1,0 0 1,0 0 0,0 1-1,0-1 1,0 0 0,1 0-1,-1 1 1,0-1-1,1 0 1,-1 1 0,0-1-1,1 1 1,-1-1-1,1 0 1,-1 1 0,1-1-1,-1 1 1,1-1 0,-1 1-1,1 0 1,0 0-1,-1 0 1,1-1 0,0 1-29,0 0 23,1 0 1,-1 0 0,1 0 0,0 0 0,-1 0 0,1 0 0,0 0-1,-1 0 1,1 1 0,-1-1 0,1 0 0,-2 0 0,2 1 0,0 0-24,7 4 30,1 1 0,-1-2 0,9 9-30,-18-13 6,21 14 19,-11-7-15,-2-2 1,0 1-1,1 1 1,-2-1-1,0 1 0,0 0 1,-1 0-1,4 8-10,-9-15 4,-1 1 1,1-1-1,-1 1 0,0 0 1,0 0-1,2 0 0,-2-1 0,0 1 1,0 0-1,0 0 0,0 0 0,0 0 1,0 0-1,0 0 0,0 0 0,0 0 1,-2-1-1,2 1 0,0 0 1,0 0-1,-1 0 0,1 0 0,-1-1 1,1 1-1,-1 0 0,1-1 0,-1 0 1,0 1-1,1 0 0,-1-1 0,0 1 1,1-1-1,-1 1 0,0 0 1,0-1-1,1 0 0,-2 1-4,-3 2 24,-2 0-1,2 0 0,-1-1 1,0-1-1,-2 2-23,-5 1-57,6 0 13</inkml:trace>
  <inkml:trace contextRef="#ctx0" brushRef="#br0" timeOffset="119726.451">1167 1402 3281,'-1'-2'464,"0"1"-144,-2-5 392,-1 3-512,3 0-72,-3 2 96,4 1 144,0 0 360,-1 0 193,1 0 151,0 0-24,2 10-224,8 28-168,-5-14-328,2 7-120,4-3-656,-3 1-928,6-9 904</inkml:trace>
  <inkml:trace contextRef="#ctx0" brushRef="#br0" timeOffset="120377.094">941 2438 3441,'-38'4'2136,"34"-5"-79,2-1-473,2 5-664,0-3-256,0 3-336,6 15-48,11 41-32,-5-18-31,0 3-89,2-1-40,-4-7-96,-1-3-184,-4-11-1169,-2-6 961</inkml:trace>
  <inkml:trace contextRef="#ctx0" brushRef="#br0" timeOffset="120779.521">937 2519 2913,'-4'-8'712,"-8"-11"2741,33 10-19,-8 5-3078,0 1 1,-1-1-1,0 2 1,1 0-1,0 1 1,7-1-357,-15 2 10,0 0 1,0 1-1,0-1 1,0 1 0,0 0-1,0 0 1,0 0-1,0 0 1,0 1 0,-1 0-1,2 0 1,-2 0-1,1 2 1,-2-2 0,1 0-1,0 1 1,0 0-1,1 2-10,-3-3 8,0 1 0,0 1 0,1 0-1,-1-1 1,-1 0 0,1 0 0,-1 0-1,0 1 1,0 0 0,0-1 0,-1 0-1,1 2 1,-1-2 0,0 1-1,0 0 1,0 1 0,-1 0-8,-1 10 56,-1 2 0,-1 0 0,-3 3-56,6-15 19,-1 0-49,1 0-1,-1-1 1,0 0 0,-1 2-1,1-1 1,-1-1 0,0-1-1,-1 4 31,-21 13-3023,9-11 1707</inkml:trace>
  <inkml:trace contextRef="#ctx0" brushRef="#br0" timeOffset="121828.472">1173 2447 3121,'0'0'149,"-1"1"1,1-1-1,-1 0 0,1 0 1,0 0-1,-1 0 1,1 0-1,-1 0 1,1 0-1,-1 0 0,1 0 1,-1 0-1,1-1 1,-1 1-1,1 0 1,0 0-1,-1 0 0,1 0 1,-1-1-1,1 1 1,0 0-1,-1 0 1,1 0-1,-1 0 0,1 0 1,0-1-1,0 1 1,-1 0-1,1-1 1,0 1-1,0-1 0,-1 1 1,1 0-1,0-1 1,0 1-1,0-1 1,0 1-1,-1-1 0,1 1-149,1-2 208,-1 0 0,0 1-1,1-1 1,0 0-1,-1 1 1,1-1 0,0 1-1,0-1 1,0 1-1,0-1 1,1 0-208,32-34 1255,-29 33-1218,0-1 0,1 1 0,-1 0 0,0 1 0,0-1 0,2 1 0,-1-1 0,0 0 0,0 2-1,0-1-36,-4 2-7,-1-1-1,1 1 0,-1 0 1,1 0-1,-1 0 0,1 0 1,-1 0-1,1 0 0,-1 0 1,1 0-1,-1 0 0,1 1 1,-1-1-1,1 1 0,-1-1 1,0 1-1,1-1 0,-1 1 1,0 0-1,1 1 0,-1-1 1,0-1-1,0 1 0,0 0 1,0 0-1,0 1 0,0-1 1,0 0-1,0 0 0,0 0 1,0 0-1,-1 0 0,1 0 1,0 1-1,-1-1 0,1 1 1,-1-1-1,0 0 0,0 0 1,1 0-1,-1 1 0,0-1 1,0 1 7,0 12 22,0-3 1,-1 1-1,0 0 1,-2 8-23,1-9 251,0 3-1,1-3 1,0 2 0,2 9-251,-1-20 72,0 0 0,0 0 0,1 0-1,-1-1 1,0 2 0,1-1 0,0 0-1,-1 0 1,1 0 0,0-1 0,0 1 0,0 0-1,0 0 1,2 1-72,-2-2 9,0-1 0,0 1 0,0-1-1,0 1 1,1-1 0,-1 0 0,0 1 0,0-1 0,1 0-1,-1 0 1,0 0 0,1 0 0,-1 0 0,0 0 0,0 0-1,1 0 1,-1-1 0,0 1 0,0 0 0,1-1 0,-1 1-1,0-1 1,0 1 0,0-1 0,-1 1-9,17-8-213,0 0 0,11-8 213,7-3-446,15-6 147</inkml:trace>
  <inkml:trace contextRef="#ctx0" brushRef="#br0" timeOffset="125013.245">2900 2045 2000,'-8'31'1002,"7"-29"-929,0-1 1,-1 0-1,1-1 1,0 1-1,-1 0 1,0 0-1,1-1 1,-1 1-1,1-1 1,-1 1-1,0-1 0,1 1 1,-1-1-1,0 0 1,1 0-1,-1 0 1,0 0-1,1 0 1,-2 0-74,-5 0 160,3 2 174,-1 0 0,2 1 1,-1-1-1,1 1 0,-1-1 0,1 1 0,0 0 0,-2 1-334,-26 15 3719,29-20-2684,5-6-746,6-7-190,3 1-67,-1-1 0,2 4 0,-1-2 0,2 1 0,6-4-32,-15 12 23,-1 0 0,1 1-1,0-1 1,0 1 0,0-1 0,1 1 0,-1 1 0,0-1 0,1 1 0,0-1 0,-1 1-1,1 0 1,0 1 0,-1-1 0,1 1 0,0 0 0,0 0 0,-1 0 0,1 1 0,1 0-1,1 0-22,-5 0 17,-1-1-1,1 1 0,-1 0 0,0-1 1,1 1-1,-1 0 0,0 0 0,1 0 1,-1 0-1,0 0 0,0 0 0,-1 1 0,1-1 1,0 0-1,0 0 0,-1 1 0,1-1 1,0 0-1,-1 1 0,1-1 0,-1 1 1,1-1-1,-1 0 0,0 0 0,1 0 0,-1 0 1,0 2-1,0-2 0,0 1 0,0-1 1,-1 1-1,1-1 0,0 1 0,-1-1 1,1 1-1,-1-1 0,1 1 0,-1-1-16,-3 12 46,0-5 0,-2 3 0,1 1 0,-9 5-46,5-2 176,9-15-161,0 0 0,0 0 0,0 1 0,0-1 0,-1 0 0,1 0 0,0 1 0,0-1 0,0 0 0,0 0 0,0 1 0,0-1 0,-1 0 0,1 0 0,0 1 0,0-1 0,0 0 0,0 0 1,0 1-1,0-1 0,0 0 0,0 1 0,0-1 0,0 0 0,1 0 0,-1 1 0,0-1 0,0 0 0,0 0 0,0 1 0,0-1 0,0 0 0,1 0 0,-1 1 0,0-1 0,0 0 0,0 0 0,0 0 0,1 1 1,-1-1-1,0 0 0,0 0 0,1 0 0,-1 0 0,0 0 0,0 0 0,1 2-15,20-2 385,19-11-22,-4-6-209,-20 11-15,-13 6 69,-5 0 139,-11 9 30,1 1 1,1 0-1,-2 0-377,-12 11-909,3-3 428</inkml:trace>
  <inkml:trace contextRef="#ctx0" brushRef="#br0" timeOffset="126470.385">3008 2206 4857,'-12'14'1917,"19"-19"-275,27-25 142,-29 25-1756,5-5 165,1 1 1,2 0-1,7-5-193,-16 12 27,0 0-1,0 0 0,0 0 1,0 0-1,0 0 0,1 1 1,-1 0-1,0 0 0,2 0 1,-2 1-1,1-1 0,-1 1 1,0 0-1,4 0-26,-8 0 8,0 0 0,1 0 0,-1 0-1,0 0 1,1 1 0,-1-1 0,0 0 0,1 0 0,-1 0 0,0 0-1,1 0 1,-1 0 0,0 1 0,0-1 0,1 0 0,-1 0-1,0 1 1,0-1 0,1 0 0,-1 0 0,0 1 0,0-1 0,0 0-1,1 0 1,-1 1 0,0-1 0,0 0 0,0 1 0,0-1-1,0 0 1,0 1 0,0-1 0,0 0 0,0 1 0,1-1-1,-2 0 1,1 1 0,0-1 0,0 0 0,0 1 0,0-1 0,0 0-8,-6 16 223,5-14-189,-16 27 695,-2 1 0,-2-1-729,-15 27 737,27-39-629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21T21:18:49.117"/>
    </inkml:context>
    <inkml:brush xml:id="br0">
      <inkml:brushProperty name="width" value="0.05" units="cm"/>
      <inkml:brushProperty name="height" value="0.05" units="cm"/>
      <inkml:brushProperty name="color" value="#E71225"/>
    </inkml:brush>
  </inkml:definitions>
  <inkml:trace contextRef="#ctx0" brushRef="#br0">1021 338 2721,'0'-1'378,"-1"0"-1,1 0 1,-1 0 0,0 0 0,1 0 0,-1 0 0,0 0 0,0 0 0,0 0 0,1 0 0,-1 0 0,0 0 0,0 1 0,-1-2 0,1 2 0,0 0 0,0-1-378,0 1 68,0 0 1,1 0-1,-1 1 1,0-1-1,1 0 1,-1 0 0,1 0-1,-1 0 1,0 2-1,1-2 1,-1 1-1,1-1 1,-1 0-1,1 1 1,0-1-1,-1 1 1,1-1 0,0 1-1,-1 0 1,1-1-1,0 1 1,-1-1-1,1 1 1,0-1-1,0 1 1,0 0-1,0-1 1,0 1 0,0-1-1,0 1 1,0 0-1,0-1 1,0 1-69,-5 44 494,1 0 1,4 1-1,1-2 1,2 0-1,6 19-494,0 23 1438,-7-20-732,-3-2 0,-6 33-706,6-64 190,2-1 0,2 7-190,0 17 78,-7 56-1697,5-110-15,0 2 654</inkml:trace>
  <inkml:trace contextRef="#ctx0" brushRef="#br0" timeOffset="920.601">1014 1191 6321,'17'-2'5207,"12"-4"-3368,7-3-948,91-2 2643,30 3-3534,-14 2 1535,61-11 76,-49 1-1296,-89 8-42,-2-2 0,55-16-273,-85 18 16,-28 6-663,0 2-1,0-2 1,0 0-1,-1 0 0,6-3 648,0-2-1165</inkml:trace>
  <inkml:trace contextRef="#ctx0" brushRef="#br0" timeOffset="1751.433">1030 308 6625,'38'-10'5323,"63"-6"-4246,-25 5 285,69-17 1118,-64 10-1581,2 5 0,40-1-899,-108 13-216,1 0 0,1 2 0,2 0 216,-9 0-269</inkml:trace>
  <inkml:trace contextRef="#ctx0" brushRef="#br0" timeOffset="2620.797">1814 210 6241,'-2'0'309,"-14"1"1329,16-1-1600,0 0 1,0 0-1,0 0 1,-1 0-1,1 0 1,0 0-1,0 0 0,0 0 1,-1 0-1,1 0 1,0 0-1,0 0 1,-1 0-1,1 0 0,0 0 1,0 0-1,0 0 1,-1 0-1,1 0 0,0 0 1,0 0-1,0-1 1,-1 1-1,1 0 1,0 0-1,0 0 0,0 0 1,0 0-1,0-1 1,-1 1-1,1 0 1,0 0-1,0 0 0,0 0 1,0-1-1,0 1 1,0 0-1,0 0 1,0 0-1,0 0 0,0-1 1,0 1-1,0 0 1,0 0-1,0 0 1,0-1-1,0 1 0,0 0 1,0 0-1,0 0 1,0 0-1,0 0 1,0 0-1,0 0 0,0 0 1,0 0-1,1-1-38,-1 1 21,0 0 0,0 0-1,0-1 1,0 1 0,0 0 0,1 0-1,-1 0 1,0 0 0,0 0-1,0-1 1,0 1 0,1 0 0,-1 0-1,0 0 1,0 0 0,1 0 0,-1 0-1,0 0 1,0 0 0,1-1-1,-1 1 1,0 0 0,0 0 0,1 0-1,-1 0 1,0 0 0,0 0 0,1 0-1,-1 0 1,0 1 0,0-1-1,1 0 1,-1 0 0,0 0 0,0 0-1,0 0 1,1 0-21,10 7 308,4 11-57,4 14 295,11 23-546,0 1 589,3 1 463,-11-17 515,21 30-1567,101 153 1333,-138-212-1266,17 23 113,-6-7-43,-1-1-1,-2 3 1,5 11-137,-18-36-18,9 24 143,1-3 0,9 17-125,-14-36-268</inkml:trace>
  <inkml:trace contextRef="#ctx0" brushRef="#br0" timeOffset="3036.659">1348 602 5009,'-12'-12'2745,"9"10"1074,5 13-2895,11 49 592,3 12-582,12 25-934,-25-88-1127,0-4 470</inkml:trace>
  <inkml:trace contextRef="#ctx0" brushRef="#br0" timeOffset="3428.506">1470 597 7978,'15'15'2904,"-10"-8"-2256,1 5-263,4 4-161,1 2 56,2 4-72,-3 3-32,2 2-40,-2 0-48,-2-4-32,-1-4 24,-4-7 16,-1-3 0,-3-5-1096,1-2 768</inkml:trace>
  <inkml:trace contextRef="#ctx0" brushRef="#br0" timeOffset="3429.506">1379 729 11843,'14'-2'4569,"3"-1"-3345,5 0-552,4-1-1472,-1 2-633,-6-1 801</inkml:trace>
  <inkml:trace contextRef="#ctx0" brushRef="#br0" timeOffset="121163.339">1896 229 1120,'-11'-10'501,"-3"-3"56,4-3 2954,10 16-3454,0 0 1,0 0-1,0-1 0,0 1 0,0 0 1,0 0-1,-1 0 0,1 0 0,0 0 1,0-1-1,0 1 0,0 0 0,0 0 0,0 0 1,0 0-1,0-1 0,0 1 0,0 0 1,0 0-1,0 0 0,0-1 0,0 1 1,0 0-1,0 0 0,0 0 0,0 0 1,0-1-1,0 1 0,1 0 0,-1 0 0,0 0 1,0 0-1,0 0 0,0-1 0,0 1 1,0 0-1,1 0 0,-1 0 0,0 0 1,0 0-1,0 0 0,0 0 0,1 0 0,-1-1 1,0 1-1,0 0 0,0 0 0,0 0 1,1 0-1,-1 0 0,0 0 0,0 0 1,0 0-1,1 0 0,-1 0 0,0 0 1,0 0-1,0 0 0,1 0 0,-1 0 0,0 0 1,0 0-1,0 0 0,1 1-57,12 5 909,-3 6-324,-2 0 0,1-1 0,-1 3 0,1 3-585,25 37 889,-7-18 140,14 31-1029,-18-29 987,20 24-987,102 147 1224,-113-159-996,21 18 185,-34-44-200,0 3 0,8 14-213,-23-32-10,-2-6-77,0 1 1,0 0-1,1-1 0,-1 2 0,1-2 0,2 2 87,-2-4-927,1-4 367</inkml:trace>
  <inkml:trace contextRef="#ctx0" brushRef="#br0" timeOffset="122668.515">1910 156 4369,'0'0'109,"-1"0"0,1-1-1,0 1 1,0 0 0,0 0 0,0 0 0,0 0-1,0-1 1,0 1 0,0 0 0,0 0 0,0 0-1,0 0 1,0-1 0,0 1 0,0 0 0,0 0-1,0 0 1,0-1 0,0 1 0,0 0 0,0 0-1,0 0 1,0 0 0,0 0 0,1-1 0,-1 1-1,0 0 1,0 0 0,0 0 0,0 0 0,0 0-1,0-1 1,2 1 0,-2 0 0,0 0 0,0 0-1,0 0 1,0 0 0,1 0 0,-1 0 0,0 0-1,0 0 1,0 0 0,1 0 0,-1 0 0,0 0-1,0 0 1,0 0 0,1 0-109,19-5 2086,24-3-659,48 0-159,-41 4-645,0-2 0,-1-1 0,-1-2 0,12-4-623,43-22 460,-72 22-382,1 2-1,2 1 1,-1 2 0,19-3-78,-52 11 6,0-1-1,-1 1 1,1 0 0,0 0-1,-1 0 1,1 0 0,0-1-1,0 1 1,0 0 0,-1 0-1,1 0 1,0 0 0,0 1-1,-1-1 1,1 0 0,0 0-1,0 0 1,-1 0 0,1 1-1,0-1 1,-1 0 0,1 1-1,0-1 1,-1 0 0,1 1-1,-1-1 1,1 1 0,0-1-1,-1 1 1,1-1 0,-1 1-6,0 1 30,0 0 0,1 0 1,-2 0-1,1-1 1,0 1-1,0-1 1,-1 0-1,1 1 1,-1-1-1,1 1 1,-1-1-31,-4 22 128,6 3-100,2-1-1,1 2 1,1-2 0,2 4-28,5 21 18,52 210 235,-25-112 20,-27-103-168,2 1 0,1-2 0,3-1 0,22 38-105,-31-66 61,-7-7 18,1-3 1,1 1 0,-1 1-1,1-2 1,0 0 0,2 4-80,-77-10 469,31-1-607,-1 4 0,-1 0-1,1 1 1,1 3 0,-1-1 0,-6 5 138,36-6-1543,1 0 584</inkml:trace>
  <inkml:trace contextRef="#ctx0" brushRef="#br0" timeOffset="123051.112">2430 403 5657,'-11'-6'2361,"12"11"-1185,2 3-752,2 3-88,0 5 8,0 0-48,1 6 8,-1 2-16,1 1-96,-1 1-32,1-2-80,-1-3-24,-2-5 1,0-5-33,-2-4-1009,0-5 737</inkml:trace>
  <inkml:trace contextRef="#ctx0" brushRef="#br0" timeOffset="123523.653">2258 426 7938,'8'-2'3496,"9"-1"-1623,3-4-625,6 2-608,-1-1-144,-2-1-288,1 1-104,-1 0-40,0 1-8,1-3 0,-1 1-8,-1-1-48,-1 0-224,-5 0-960,-4 4-1080,-5 4 1359</inkml:trace>
  <inkml:trace contextRef="#ctx0" brushRef="#br0" timeOffset="123866.268">2398 666 4833,'-2'1'2673,"-1"-1"-281,3 1-1336,2 1-175,3-3-25,3 0 0,6-2 56,4-1 72,6-2-64,0-2-95,4 0-353,-5 0-184,-4 0-568,-1 3-472,-3 1 480</inkml:trace>
  <inkml:trace contextRef="#ctx0" brushRef="#br0" timeOffset="154472.503">32 1871 1320,'-9'-8'1761,"-7"-3"3038,11 14-3102,4 10-1395,9 168 2251,1 14-1061,1 36-1008,-3-108-77,-5-104-69,1 1-1,4 11-337,3 34-844,-9-58-563,-1-4 587</inkml:trace>
  <inkml:trace contextRef="#ctx0" brushRef="#br0" timeOffset="155851.531">74 2763 5769,'0'-1'290,"1"0"0,-1 0 0,0 0-1,0 0 1,1 0 0,-1 0 0,1 0-1,-1-1 1,1 1 0,-1 1 0,1-1 0,0 0-1,-1 0 1,2-1-290,24-16 448,-15 11-12,35-26 393,3 3-1,1 0 1,1 4 0,39-15-829,223-73 1743,-260 97-1698,411-127 1559,-386 123-1535,1 6-1,0 1 1,1 2 0,24 3-69,-49 6 156,-1-2 0,36-7-156,-88 11 9,0 1 0,1-1 0,-1 0 0,0 0 0,0 1 0,0-1 0,1 0 1,-1 0-1,0-1 0,0 1 0,0 0 0,-1-1 0,1 2 0,-1-2 0,1 0 0,-1 0 0,1 1 0,-1-1 0,0 0 0,0 0 1,0 0-1,0 1 0,0-1 0,-1 0 0,1-1 0,-1 1 0,1 0 0,-1-2-9,1-6 56,0-1 0,-2-1 0,1 1 0,-1 1 0,-2-5-56,-1-20 39,4-14 15,-3 0-1,-2 1 0,-6-21-53,5 43 17,0 2-1,-2 1 0,0-1 0,-2 0 0,-9-17-16,14 33-11,0 1 0,-1-1 0,0 0 0,0 0-1,-1 1 1,0 0 0,0 2 0,-1-1 0,0-1-1,0 2 1,0 0 0,-1-1 0,0 2 0,-1 0-1,0 1 1,1-1 0,-7-2 11,-20 1 31,2 0 0,-2 0 0,0 2 0,-1 2 0,-26 3-31,-4-2 12,-17 0-56,1 4 0,1 2 0,-23 6 44,-73 23 160,2 9 0,-46 19-160,192-53-6,-21 5 5,0 2 0,-32 18 1,55-23-701,1 3 0,1 0 1,1 1-1,1 1 0,-10 11 701,9-6-884</inkml:trace>
  <inkml:trace contextRef="#ctx0" brushRef="#br0" timeOffset="156536.55">946 1907 6393,'6'-7'852,"6"-16"1638,-12 23-2481,0 0-1,1-1 1,-1 1-1,0 0 1,0 0-1,0-1 0,1 1 1,-1 0-1,0 0 1,0 0-1,1-1 1,-1 1-1,0 0 0,0 0 1,1 0-1,-1 0 1,0 0-1,0 0 1,0-1-1,0 1 0,1 0 1,-1 0-1,0 0 1,1 0-1,-1 0 1,0 0-1,1 0 0,-1 0 1,0 0-1,1 0 1,-1 0-1,0 1 1,1-1-1,-1 0 1,0 0-1,1 0 0,-1 0 1,0 0-1,0 0 1,1 1-1,-1-1 1,0 0-1,1 0 0,-1 0 1,0 1-1,0-1 1,0 0-1,1 0 1,-1 1-1,0-1 0,0 0 1,0 0-1,0 1 1,0-1-9,12 16-25,0 9 476,-1 3 0,-2 0 0,-1 0 0,-2 0 0,4 27-451,-10-51 159,1 1 0,-1 0 0,0-2-1,0 3 1,-1-2 0,1 1 0,-1-1-1,0 2 1,-1-2 0,1 1 0,-2 0-1,1-1 1,0-1 0,-1 1-159,1-1 119,0 0-1,-1 0 1,1 0-1,-1-1 1,0 1-1,0-1 1,0 0 0,0 0-1,0 0 1,0-1-1,-1 2 1,1-2-1,0 0 1,-1 0 0,0 0-1,1 0 1,-1-1-1,0 1 1,1 0-119,-32 3 815,-1-2-1,-20 0-814,-30-3-4607,81 0 3827,-15 1-685</inkml:trace>
  <inkml:trace contextRef="#ctx0" brushRef="#br0" timeOffset="156943.188">831 1911 9018,'-6'2'3809,"11"-2"-2217,4-1-536,12-1-576,10-2-80,10-3-71,1-3-137,0-4-240,-1 2-168,-7 0-481,2-3-407,-2 2 672</inkml:trace>
  <inkml:trace contextRef="#ctx0" brushRef="#br0" timeOffset="-183803.491">3164 1293 4057,'-2'-2'281,"0"-1"1,0 2 0,0 0-1,0-1 1,0 1-1,-1 0 1,1 0-1,0 0 1,-1 0 0,1 0-1,-1 1 1,1-1-1,-1 1 1,0-1-1,1 1 1,-1 0-1,0 0 1,-4 0-282,-6 1-17,0 0-1,0 1 1,-7 1 17,-11 2 910,-47 6-45,0 2-1,1 3 0,-51 18-864,113-29 31,1-1 0,-1 1 1,1 1-1,0 0 0,1 0 0,0 2 0,0 0 0,1 0 1,0 1-1,0-1 0,0 2 0,1 0 0,1 0 0,1 2 1,0-1-1,-5 8-31,-4 12 191,-1-1 89,2 0 1,-11 30-281,24-48 21,0-1 1,1 1 0,0 0-1,1 0 1,1 0-1,0 0 1,1-1 0,0 2-1,1 0 1,1 0-22,7 27 45,2 0 0,2 0 0,10 18-45,10 32 477,-25-70 57,-5-11-292,0-1 1,0 1 0,-1-1 0,0 1 0,-1 1 0,1 3-243,-2-13 51,0 0 1,0-1-1,0 1 0,1 0 0,-1 0 0,0 0 0,0 0 1,0 0-1,0-1 0,0 1 0,0 0 0,1 0 1,-1 0-1,0 0 0,0-1 0,0 1 0,0 0 0,0 0 1,0 0-1,0-1 0,0 1 0,0 0 0,0 0 1,0 0-1,0-1 0,0 1 0,0 0 0,0 0 0,0 0 1,0 0-1,0-1 0,0 1 0,0 0 0,-1 0 0,1 0 1,0-1-1,0 1 0,0 0 0,0 0 0,0 0 1,-1 0-1,1 0 0,0-1 0,0 1 0,0 0 0,0 0 1,-1 0-1,1 0 0,0 0 0,0 0 0,0 0 0,-1 0 1,1 0-1,0 0 0,0 0 0,-1 0-51,14-4 63,1 2-1,0 1 1,1 0 0,-2 1-1,1 1 1,0-1 0,4 2-63,40 1 205,67 0 130,-53 0-90,52-6-245,256-22 389,-363 24-349,-8 2-10,-1-2 1,0 1-1,1-1 0,-1 0 1,0-1-1,0 1 0,0-1 1,0-1-1,1 0-30,-8 2 17,0 0-1,1 0 1,-1 0-1,0 0 1,0-1 0,0 1-1,0 0 1,0-1 0,0 2-1,-1-2 1,1 0 0,0 1-1,-1-1 1,1 1 0,-1-1-1,0 1 1,1-1-1,-1 1 1,0-1 0,0-1-17,-2-38 149,0 31-114,-1-24 82,-3 2 0,-1 1 0,-11-31-117,-41-91 111,9 26-86,40 98 1,-24-66-257,-7-49 231,33 116-1411,0 10-3516,5 13 3327</inkml:trace>
  <inkml:trace contextRef="#ctx0" brushRef="#br0" timeOffset="-182648.391">2721 1593 6257,'1'-2'2649,"-3"2"-1681,3 4-120,4 8-600,2 3-40,5 12-8,3 4-48,1 7-40,3 2-31,-2-3-41,0-1 8,-4-10-8,-3-4 16,-4-4-8,-1-6-232,-2-6 144</inkml:trace>
  <inkml:trace contextRef="#ctx0" brushRef="#br0" timeOffset="-181868.616">2959 1564 4953,'-1'1'206,"0"-1"0,-1 0 0,1 0 0,0 1 0,0-1 0,0 2 0,1-2 0,-1 1 0,0-1 0,0 1 0,0-1 0,0 1 0,0 0 0,1-1 1,-1 1-1,0 0 0,1 0 0,-1-1 0,0 2-206,-16 21-303,12-14 680,-21 25 1465,-2-1 1,-22 20-1843,49-52 47,0-1 0,0 1 0,0 0 0,0 0 0,0 0 0,0 0 0,0 0 0,1 1 0,-1-1 0,0 0 0,1 0 0,-1 0 0,1 0 0,0 0 0,-1 0 1,1 0-1,0 0 0,0 1 0,0 0-47,0-1 55,0 1 1,1-2 0,-1 1 0,1 0-1,-1 0 1,1 0 0,-1 0-1,1 0 1,0 0 0,-1-1 0,1 1-1,0 0 1,0 0 0,0-1-1,0 1 1,0 0 0,0-1 0,0 1-1,0-1-55,7 4 264,-1 0 1,2-2-1,-1 1 0,0-1 0,9 0-264,-7 0-49,31 6 126,39 10 339,-73-16-497,1 1 0,-1-1 0,0 2 0,0-2 0,0 2 0,-1 0 0,1 0 0,-1 1 0,1 0 81,0 3-2851,-4 1 1289</inkml:trace>
  <inkml:trace contextRef="#ctx0" brushRef="#br0" timeOffset="-70414.348">3515 1309 3185,'-9'-5'2271,"-3"3"14,12 2-2267,-1 0-1,1 1 1,0-1-1,0 1 1,0-1-1,-1 1 1,1-1-1,0 1 1,0-1-1,0 2 0,0-2 1,0 1-1,0-1 1,0 1-1,0-1 1,0 1-1,0-1 1,0 1-1,1-1 0,-1 1 1,0-1-1,0 1 1,0-1-1,1 1 1,-1-1-18,12 47 923,-2 2-1,1 17-922,6 33 921,19 118 282,-30-190-1143,-3-10 138,1 0-1,1 0 1,1 1-1,2 4-197,-6-20 191,-1 1 0,0 0-1,0 1 1,0-1-1,-1 1 1,1-1-1,-1 0 1,0 1-1,0 0-190,2-4 106,1 0-1,-1 0 1,0 0-1,1 0 1,-1-1-1,0 1 1,0 0-1,1 0 0,-1-1 1,0 1-106,3-2 98,47-5 555,1 3-1,49 2-652,183-3 776,108-1 716,-253 11-1054,115 16-438,76 8 171,-329-29-154,1 1 0,-1-1 0,0 0 0,0 0-1,1 0 1,-1-1 0,1 1 0,-1-1 0,1 1 0,-1 0 0,1-1 0,-1 1 0,0-1-1,1 0 1,-1 0 0,0-1 0,0 1 0,0 0 0,1-1-17,-1 0 16,-1-2 0,1 2 0,-1 0 0,1-1 1,-1 1-1,0 0 0,0-1 0,0 0 0,0 0 0,-1 0 0,1 1 0,-1-1 0,0 0 1,0-1-1,0-1-16,-2-33-42,-1 2 1,-3-2-1,-3-5 42,-5-40-57,1-2-85,-11-118-289,24 202 432,-1 0 0,1 0 0,0 0 0,0 0 0,0-1 0,0 1 0,0 0 0,0 0 0,0 0 0,1 0 0,-1-1-1,0 1 1,1 0 0,-1 0 0,1 0 0,-1 0 0,1 0 0,0 0 0,-1 0 0,1 0 0,0 0 0,0-1 0,0 2 0,0-1 0,0 0 0,0 0 0,0 1 0,0-1-1,3 0 2,-1 0 0,0 0 0,1 0 0,0 1-1,0 0 1,0 0 0,0 0 0,3 0-2,0 0-19,17-1 26,-1 0-1,0-2 1,0 0 0,0-2 0,17-4-7,34-13 43,2-5-43,-63 23-5,36-12 13,-26 10 26,1-3-1,0 0 1,-1-2-1,-1 1 1,9-6-34,-26 12 17,0-1 1,-1 1 0,1-1 0,-1 2-1,0-3 1,0 1 0,-1 0 0,1 0-1,-1-2 1,-1 2 0,1 0 0,-1 0-1,0-1 1,0-5-18,4-13 5,-2 0 0,1-24-5,-4 33 19,2-10-19,-1 17-19,-1-1-1,0 0 1,-1-1-1,0 2 0,0-2 1,-2-8 19,1 17-12,1 1 0,-1 0 0,1-1 0,-1 1 1,1-1-1,-1 0 0,1 1 0,-1-1 0,0 0 1,1 1-1,-1-1 0,0 1 0,1-1 1,-1 1-1,0-1 0,0 1 0,0 0 0,0-1 1,1 1-1,-1 0 0,0 0 0,0-1 0,0 1 1,0 0-1,0 0 0,0 0 0,0 0 0,0 0 1,0 0-1,0 0 0,1 0 0,-1 1 0,0-1 1,0 0-1,0 0 0,0 1 12,-40 9-131,32-5 99,-57 15-84,-1-5-1,-1 0 1,-35 0 116,-206 16-475,195-23 421,-65 14 70,-93 25-16,129-22 8,-521 125 893,596-132-610,-15 0-162,46-10-1616,0 1 1,-26 9 1486,41-9-692</inkml:trace>
  <inkml:trace contextRef="#ctx0" brushRef="#br0" timeOffset="-69751">4284 1391 8530,'-10'-11'4660,"10"21"-4191,0 5-606,-2 56-35,0-29 448,2 1 0,3 5-276,-3-47 55,0 0-1,0 0 1,0 0 0,0 0 0,1 0 0,-1 0 0,1 0 0,-1-1 0,1 1-1,-1 0 1,1 0 0,0 0 0,-1 0 0,1 0 0,0 0 0,0-1 0,0 1-1,0 0 1,0 0 0,0-1 0,0 1 0,0-1 0,0 1 0,0-1 0,0 1-1,0-1 1,0 1 0,1-1 0,-1 0 0,0 0 0,0 1 0,0-1 0,1 0-1,-1 0 1,0 0 0,0 0 0,2-1-55,6 1 170,1-1 0,-2-1 0,1 1 1,0-1-1,2-2-170,5 1 146,233-50 4127,-228 50-4343,-16 3-2382,-7 2 1600</inkml:trace>
  <inkml:trace contextRef="#ctx0" brushRef="#br0" timeOffset="-171530.189">5346 1453 4889,'-12'-3'2469,"19"5"-365,-4-1-1972,1 0 1,0 0-1,-1 2 0,1-2 0,-1 1 0,1-1 1,1 2-133,0 3 270,-1 1 0,1 0-1,-1-1 1,-1 2 0,1-3 0,-1 3 0,-1-1 0,1 0 0,-1 1 0,-1-1 0,1 3-270,7 26 547,21 48-137,-5 1-1,-5 0 1,1 27-410,-21-97-33,1-9 1942,10-2-590,205 14-56,-157-14-948,-23 1-195,-1 1 1,-1 2-1,1-1 1,19 9-121,10 4 223,-58-19-315,-2 0-119,-1 0 0,1 0 0,0 0 0,0-1 0,-1 2 0,1-1 0,0-1 0,0 0 0,0 0 0,0 0 0,0 0 0,0-1 211,2-4-2928,-8-3 1208</inkml:trace>
  <inkml:trace contextRef="#ctx0" brushRef="#br0" timeOffset="-170600.19">5426 1450 6097,'3'-9'5824,"9"0"-4032,17-2-1744,-27 11 209,102-33-55,3 5 0,8 4-202,100-27 1453,-201 48-1342,-7 0-52,1 1 1,0 0-1,0 1 1,5-1-60,-11 2 12,-1 0 0,0 0 0,1 0 0,-1 0 0,1 0 0,-1 0 1,1 0-1,-1 0 0,0 0 0,1 1 0,-1-1 0,0 1 1,1-1-1,-1 1 0,0-1 0,1 1 0,-1 0 0,0-1 0,0 1 1,0 0-1,0 0 0,0 0 0,0 0 0,0 0 0,0 0 0,0 0 1,0 1-13,8 17 87,-2 2 0,-1-1 1,1 2-1,-3-1 1,0 0-1,-1 3-87,5 25 93,-5-33-26,20 104 1981,3 81-2048,-14-111 1282,0-31-3352,-11-57 1813,0 9-554</inkml:trace>
  <inkml:trace contextRef="#ctx0" brushRef="#br0" timeOffset="-169830.189">5712 1625 7538,'-1'2'267,"-1"0"0,0 0 0,1 1 0,0 0 0,0-1 0,-1 0 0,1 2 0,1-2 0,-1 1 1,0-1-1,1 1 0,-1 1-267,-1 34-409,2-21 648,0-4-185,0-1 575,-1-1-1,-1 1 1,0 1-1,-2 5-628,35-105 2229,-26 63-2197,-4 17-31,0 1 0,0-1 0,1 0 0,1 0 0,0 0-1,-1 0 1,1 0 0,1 1 0,-1 1 0,1-1 0,1-1 0,-1 2-1,-4 4 1,1 1 0,-1 0 0,1-1 1,-1 1-1,1 0 0,-1-1 1,1 1-1,-1 0 0,1 0 0,-1-1 1,1 1-1,-1 0 0,1 0 0,0 0 1,-1 0-1,1 0 0,-1 0 1,1 0-1,0 0 0,-1 0 0,1 0 1,-1 0-1,1 0 0,-1 0 1,1 0-1,0 0 0,-1 1 0,1-1-1,14 14 22,7 26 2,-19-34-17,1 1 46,-1-2 1,1 1-1,0-1 1,1 2 0,0-2-1,3 5-53,-7-9 31,0-1-1,-1 1 1,1-1-1,0 0 0,0 1 1,0-1-1,-1 1 1,1-1-1,0 0 0,0 1 1,0-1-1,0 0 1,0 1-1,0-1 1,0 0-1,0 0 0,0 0 1,0 0-1,0 0 1,0 0-1,0 0 0,0 0-30,1 0 33,-1-1 0,0 0 1,0 0-1,0 0 0,0 1 0,0 0 0,0-1 0,0 0 0,0 0 0,0-1 0,0 0 0,-1 1 0,1 0 0,-1 0 0,1 0 0,-1 0 0,1-1 0,-1 1 0,1 0 0,-1 0 0,0-1-33,7-35 140,-6 29-132,-1 0 0,1 2 0,1-1 0,0 1 0,0-1-1,0 0 1,1 1 0,0-1 0,-1 2 0,2-1 0,0-2-8,-3 7 7,-1 0 1,1 1 0,-1-1-1,1 1 1,-1-1-1,1 1 1,0-1 0,-1 1-1,1 0 1,0-1-1,-1 1 1,1 0 0,0-1-1,0 1 1,-1 0-1,1 0 1,1 0 0,-1 0-1,-1 0 1,1 0-1,0 0 1,0 0 0,0 0-1,-1 0 1,1 0-1,0 0 1,0 0 0,0 0-1,-1 0 1,1 1-1,0-1 1,-1 0 0,1 0-1,0 1 1,0-1-1,-1 1 1,1-1 0,-1 0-1,1 1 1,0-1-1,-1 1 1,1 0 0,-1-1-1,0 1 1,1-1-1,-1 1 1,1 1 0,-1-2-1,0 1-7,4 4 76,0 1 0,-1 0-1,0-1 1,0 1 0,0 1-76,18 55 575,-16-44-745,1 0-1,0-1 1,1-1-1,2 0 1,0 1 0,1-1-1,11 14 171,-18-29-669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21T21:40:19.849"/>
    </inkml:context>
    <inkml:brush xml:id="br0">
      <inkml:brushProperty name="width" value="0.05" units="cm"/>
      <inkml:brushProperty name="height" value="0.05" units="cm"/>
      <inkml:brushProperty name="color" value="#E71225"/>
    </inkml:brush>
  </inkml:definitions>
  <inkml:trace contextRef="#ctx0" brushRef="#br0">5451 896 5953,'0'-9'5063,"6"12"-3996,6 16-1390,6 36 1175,-2 1 1,-3 1 0,0 14-853,-2-8 0,15 120 116,-17-109-19,2-3-1,16 53-96,-6-59 119,21 42-119,-26-79-1206,-9-19 757</inkml:trace>
  <inkml:trace contextRef="#ctx0" brushRef="#br0" timeOffset="912.439">5606 1956 7834,'0'0'88,"-1"0"0,1 0 0,0 0 0,0-1 0,0 1 0,-1 0 0,1 0 0,0 0 0,0 0 0,0 0 0,-1-1 0,1 1 0,0 0 0,0 0 0,0 0 1,0 0-1,0-1 0,-1 1 0,1 0 0,0 0 0,0-1 0,0 1 0,0 0 0,0 0 0,0 0 0,0-1 0,0 1 0,0 0 0,0 0 0,0-1 0,0 1 0,0 0 0,0 0 0,0-1 0,0 1 1,0 0-1,0 0 0,0 0 0,0-1 0,1 1 0,-1 0 0,0 0 0,0 0 0,0-1-88,13-8 959,21-6-770,13 3 194,0 1-1,1 0 0,9 3-382,2-1 340,101-11 1809,88 3-2149,113-14 1873,-3-28-1112,62-8 281,-284 49-788,2-7 0,88-29-254,60-13-871,-282 66 780,18-3-734,-2-3 348</inkml:trace>
  <inkml:trace contextRef="#ctx0" brushRef="#br0" timeOffset="1795.457">5320 801 4225,'-3'-1'577,"-1"0"1,1-1-1,-1 1 0,1-1 1,0 0-1,0-1 1,-1 0-578,4 3 81,-1 0 0,1-1 1,0 1-1,-1 0 0,1-1 1,0 1-1,0 0 0,-1-1 1,1 1-1,0 0 0,0-1 1,0 1-1,-1 0 0,1-1 1,0 1-1,0-1 0,0 1 1,0-1-1,0 1 1,0 0-1,0-1 0,0 1 1,0-1-1,0 1 0,0-1-81,0 1 54,1-1-1,0 1 0,-1-1 0,1 0 1,-1 1-1,1-1 0,0 0 1,-1 1-1,1-1 0,0 1 1,0-1-1,0 1 0,-1-1 0,1 1 1,0-1-1,0 1 0,0 0-53,22-9 605,-1 2 0,2 1 0,-1 2-1,0 0 1,23-1-605,8-2 512,28-5-9,448-58 1060,91-16 624,177-15-1554,-746 97-617,52-4 85,-3-5 1,-2-2-1,18-9-101,-73 10-3040,-28 6 1927</inkml:trace>
  <inkml:trace contextRef="#ctx0" brushRef="#br0" timeOffset="2142.374">8190 325 8170,'2'3'273,"-1"-1"0,0 0 1,0 0-1,0 1 0,0-1 1,0 1-1,0 0 0,-1 0 1,1-1-1,-1 1 0,0 1 1,0 0-274,-3 41-73,0-14 228,5 66 432,4 1 1,5-2-1,4 0 1,4 0-1,4-1 1,33 80-588,-43-138 226,2 1-181,-2 2 0,-2-1 0,-1-1-1,-3 2 1,0 8-45,-7-25-568,-4-5 240</inkml:trace>
  <inkml:trace contextRef="#ctx0" brushRef="#br0" timeOffset="4550.419">7448 523 3673,'0'-1'205,"0"0"1,0 0-1,0 0 0,0-2 1,0 2-1,1 0 1,-1-1-1,0 1 1,0 0-1,1-1 0,-1 1 1,1 0-1,0 0 1,-1 0-1,1-1 0,0 1 1,0 0-1,-1 0 1,1-1-1,0 1 1,0 0-1,0 0 0,0 1 1,0-1-1,1 0 1,-1 0-1,0 1 0,0-1 1,0 1-1,1 0-205,0 0 78,0 0 0,0 0-1,0 0 1,-1 0 0,1 0 0,0 0-1,0 0 1,-1 1 0,1 0-1,0-1 1,-1 1 0,1 0-1,-1 0 1,1 0 0,-1 0 0,1 1-1,-1-1 1,1 0 0,-1 0-1,0 0 1,0 1 0,0-1-1,1 2-77,11 14 310,-2 1-1,0-1 0,0 3 0,-2-2 0,5 21-309,10 30 315,-2 4-315,-10-35 44,77 285 900,48 157 966,-115-425-3527,-15-44 1016</inkml:trace>
  <inkml:trace contextRef="#ctx0" brushRef="#br0" timeOffset="6454.105">6453 138 4969,'1'1'236,"-1"-1"-1,1 1 1,0 0 0,-1-1 0,1 1-1,0-1 1,-1 0 0,1 1 0,-1 0-1,1 0 1,-1-1 0,1 1-1,-1 0 1,0 0 0,1 0 0,-1 0-1,0 0 1,0 0 0,0-1-1,1 2-235,10 28 200,6 24 252,-9-24 112,2-2 0,1 1 0,1-2 1,1 1-1,3-1-564,-27-45 437,1-2-1,1-1 1,1 2 0,1-1-1,0-7-436,-10-40 972,1-8-972,12 63 148,2 5 29,8 14-253,12 15 62,2 0 1,0-2-1,2-2 1,20 15 13,-3 0 19,-25-21 10,-1-2 0,2 1 0,-1-1 0,1-2 0,1 0 0,8 2-29,-17-7 26,0-1 1,0 1-1,0 0 1,1-2-1,-1 0 1,0 0-1,1 0 1,-1-1-1,1 0 0,-1 0 1,1-1-1,-1 1 1,0-2-1,0 1 1,0-2-1,2 0-26,-7 2 21,-1 0-1,1 1 0,-1-1 1,0 0-1,0 0 0,1 0 1,-1 0-1,0 0 0,0 0 1,0-1-1,0 1 0,0 0 1,0 0-1,-1-1 1,1 1-1,0 0 0,-1 0 1,1 0-1,-1-1 0,1 1 1,-1-1-1,0 1 0,0-1 1,0 0-1,0 1 0,0-1 1,0 1-1,0-1 0,0 1 1,0-1-1,-1 1 0,1-1 1,-1 0-21,-2-12 163,-1 2 0,0 1 1,-1 0-1,-2-4-163,-1-4 277,-11-35 366,1 4-362,-2 1-1,-7-9-280,20 47-600,3 9 252</inkml:trace>
  <inkml:trace contextRef="#ctx0" brushRef="#br0" timeOffset="7203.926">7973 820 8050,'2'-4'3296,"0"3"-1855,1 3-849,2 4-264,4 12 16,2 6 48,2 13 136,4 5 80,0 4 56,1-3-63,0-3-225,-2-5-96,-4-4-112,-4-6-16,-5-10-664,-6-9 408</inkml:trace>
  <inkml:trace contextRef="#ctx0" brushRef="#br0" timeOffset="117540.82">6467 680 1560,'-5'-10'4310,"10"17"-1337,11 24-2259,-2 0 0,-2 1 0,9 33-714,11 30 493,-5-29-290,34 94 200,-50-123-214,-1-1 0,-3-1 0,3 26-189,36 316 1787,-45-368-1805,0 0 1,0-1 0,1 1-1,0-1 1,1 1 0,1-1-1,1 7 18,1-9-225</inkml:trace>
  <inkml:trace contextRef="#ctx0" brushRef="#br0" timeOffset="118269.464">6998 1081 5361,'9'-3'731,"-1"1"-1,0-1 1,1 0-1,-1-1 1,7-4-731,-10 5 19,2 0 0,-2 1 0,1-1 0,-1 1-1,1 0 1,-1 0 0,1 0 0,0 1 0,0 0 0,0 0 0,0 1 0,2 0-19,-8 0-1,1 0 0,-1 0 0,1 0 0,-1 0 0,1 0 0,-1 0 0,1 0 0,0 1 0,-1-1 0,1 0 0,-1 0 0,1 1 0,-1-1 0,0 0 0,1 0 1,-1 1-1,1-1 0,-1 1 0,0-1 0,1 0 0,-1 1 0,1-1 0,-1 1 0,0-1 0,0 1 0,1-1 0,-1 1 0,0-1 0,0 1 1,-2 18 42,-20 23 127,17-35-124,-27 61 310,29-62-203,0 2 1,0-1 0,1 1-1,0-1 1,1 2 0,0-1-1,0 0 1,0 1-153,1-8 41,0 0 1,0 0-1,0-1 0,0 1 1,0 0-1,0 0 1,0-1-1,1 1 0,-1 0 1,0 0-1,0 0 0,1-1 1,-1 1-1,0 0 0,1-1 1,-1 1-1,1 0 1,-1-1-1,1 1 0,-1 0 1,1-1-1,-1 1 0,1-1 1,0 1-1,-1-1 0,1 0 1,0 1-1,-1-1 1,1 1-1,0-1 0,0 0 1,0 0-1,-1 1 0,1-1 1,0 0-1,0 0 0,0 0 1,-1 0-1,1 0 1,0 0-1,0 0 0,0 0 1,-1 0-1,1 0 0,0-1 1,0 1-1,-1 0-41,7-2 109,0 0 0,0-1 0,0 0 0,0 0 0,1-2-109,3 1 4,50-22-1989,-29 17 1146</inkml:trace>
  <inkml:trace contextRef="#ctx0" brushRef="#br0" timeOffset="-198027.393">5609 1312 3897,'-3'-2'76,"-11"-7"2060,14 9-2090,0 0 1,0 0-1,-1-1 1,1 1-1,0 0 1,0-1-1,0 1 1,-1 0-1,1-1 1,0 1-1,0 0 1,0-1-1,0 1 1,0 0-1,0-2 1,-1 2-1,1 0 1,0-1-1,0 1 1,0 0-1,0-1 1,0 1 0,1 0-1,-1-1 1,0 1-1,0 0 1,0-1-1,0 1 1,0 0-1,0-1 1,1 1-1,-1 0 1,0-1-1,0 1 1,0 0-1,1-1 1,-1 1-1,0 0 1,0 0-1,1-1 1,-1 1-1,0 0 1,1 0-1,-1 0-46,9 0 2988,9 5-2637,-15-4-48,15 1 375,-1 0-1,1-1 0,0-1 1,17-4-678,9 2 291,116-8 1240,-90 4-1336,71-9 4,32-1 408,-120 11-312,2-3 0,40-12-295,26-4 139,-118 24-213,22-3 271,-24 3-257,0 0 0,1 0 0,-1 0-1,0 0 1,0 0 0,0 0 0,0 0-1,0 0 1,0 0 0,0 0 0,0 0 0,0 0-1,0 0 1,0 1 0,0-1 0,0 1 0,0-1-1,0 1 61,-1 2-1217,-3-1 491</inkml:trace>
  <inkml:trace contextRef="#ctx0" brushRef="#br0" timeOffset="-197293.178">5943 861 2192,'-5'3'607,"-8"1"-174,5-4 3498,15-3-125,20-8-3317,-17 8-355,0 0-1,1 1 0,0-1 1,-1 1-1,1 1 0,8 1-133,-17-1 6,-1 1-1,1 0 0,0 0 0,0 0 0,-1 0 1,1 1-1,0-1 0,0 0 0,-1 1 0,1-1 0,0 1 1,-1 0-1,1-1 0,-1 2 0,1-1 0,-1 0 1,1 0-1,-1 0 0,0 0 0,1 0 0,-1 1 0,0-1 1,0 0-1,0 1 0,0-1 0,0 0 0,0 1 1,0-1-1,-1 1 0,1 0 0,0-1 0,-1 1 0,1-2 1,-1 2-1,0 0 0,0-1 0,1 1 0,-1 0 1,0 0-1,-1-1 0,1 1 0,0 0 0,-1 1-5,0 0 14,0 1 0,0 1 0,0-2 0,-1 0 0,1 0 1,-1 1-1,0-1 0,0 0 0,0 0 0,0-1 0,-1 1 0,1 0 0,-2 0-14,-1 1 43,-1 0 1,1 1-1,-1-1 0,0 1 1,-1-1-1,0 0-43,9-5 191,0 0-170,0 0 0,0 0 1,0 0-1,0 0 0,0 0 0,0 1 1,0-1-1,0 1 0,0 0 1,0-1-1,1 1 0,-1 0 0,0 0 1,0 0-1,0 1 0,0-1 1,1 0-1,-1 1 0,0-1 0,0 1 1,0 0-1,1 0-21,0 1 2,0-1 0,0 1 0,0 0 0,0 0 0,0 0 0,0 1 0,-1-1 0,1 1 0,-1-1 0,1 1 0,-1 0 0,0 0 0,0 0-1,1 2-1,-3-4 8,1 1-1,0-1 1,-1 1-1,0 0 1,1-1-1,-1 2 0,0-2 1,0 1-1,0-1 1,0 1-1,0 0 0,0-1 1,0 1-1,-1-1 1,1 1-1,-1-1 0,1 1 1,-1-1-1,1 0 1,-1 1-1,0 0 0,0-1 1,0 0-1,0 1 1,0-1-1,0 0 0,0 0 1,0 0-1,0 0 1,-1 0-1,1 0 1,0 0-1,-1 0-7,-5 4-37,-1-1 1,1 0-1,-1-2 0,1 2 1,-1-1-1,0 0 1,0-1-1,0-1 0,0 1 1,0-1-1,-1 0 0,1-1 1,0 0-1,-1 0 0,1-1 1,0 0-1,-3-1 37,-10-3-581</inkml:trace>
  <inkml:trace contextRef="#ctx0" brushRef="#br0" timeOffset="-94839.126">6172 1313 488,'-14'-36'408,"14"35"-379,-1 0 0,1 1 0,0-1 0,0 0 0,-1 1 0,1-1 0,-1 1 0,1-1 0,0 1 0,-1-1 0,1 1 0,-1-1 0,1 1-1,-1-1 1,1 1 0,-1-1 0,0 1 0,1 0 0,-1-1 0,1 1 0,-1 0-29,-8 5 673,1 16 3046,6 3-2731,2 1 0,0 0-1,1-1 1,1-1 0,5 20-988,3 42 962,-9-82-912,3 62 1190,8 30-1240,-9-76-30,1-1 1,1-1-1,0 3 0,2-4 0,0 2 1,1 0-1,4 5 30,-8-18-188</inkml:trace>
  <inkml:trace contextRef="#ctx0" brushRef="#br0" timeOffset="-94291.557">6462 1513 1768,'24'-8'1234,"-23"6"1081,-5 1-1728,-8 2-647,-78 20 2622,60-12-1739,30-9-820,-1 0 1,1 0 0,-1 0 0,1 0 0,-1 0-1,1 0 1,-1 1 0,1-1 0,-1 0 0,0 0-1,1 0 1,-1 0 0,1 0 0,-1 0 0,1 0-1,-1 0 1,0 0 0,1-1 0,-1 1 0,1 0 0,-1 0-1,1 0 1,-1 0 0,1 0 0,-1 0 0,1-1-1,-1 1 1,1 0 0,-1-1 0,1 1 0,0 0-1,-1-1 1,1 1 0,0-1 0,-1 1 0,1-1-1,0 1 1,-1-1 0,1 1 0,0-1 0,0 1-1,0-1 1,0 1 0,-1-1 0,1 0 0,0 1-1,0-1 1,0 1 0,0-1 0,0 1 0,0-1-1,0 0 1,1 1 0,-1-1 0,0 1 0,0-1-1,0 1 1,1-1 0,-1 1 0,0-1 0,0 1-4,17-43 119,-13 37-48,2-13 163,-5 14-127,0 2-1,0 0 1,0 0 0,0-2 0,1 2 0,-1-1-1,0 1 1,1 0 0,0 0 0,0 0-1,1 1 1,-1-1 0,2-1-107,-3 4 22,-1-1-1,1 1 1,-1 0-1,1 0 1,-1 0 0,1 0-1,-1 0 1,1 0-1,0 0 1,-1 0-1,1 0 1,-1 0 0,1 0-1,-1 1 1,1-1-1,-1 0 1,1 0-1,-1 0 1,1 1 0,-1-1-1,0 0 1,1 0-1,-1 1 1,1-1-1,-1 0 1,0 1 0,1-1-1,-1 1 1,0-1-1,1 0 1,-1 1-1,0-1 1,1 1 0,-1-1-1,0 1 1,0-1-1,0 0-21,10 24 323,-9-20-252,8 26 258,-1-1 0,1 10-329,-4-12 53,0-2 0,2-1 0,8 18-53,-6-26-595,1-8 279</inkml:trace>
  <inkml:trace contextRef="#ctx0" brushRef="#br0" timeOffset="-24925.989">5802 1500 2200,'-11'-21'1445,"8"15"1731,6 7-1763,5 9-976,-4-1-101,1 2-1,-1-2 0,-1 1 1,-1 0-1,0-1 0,0 2 1,0 0-1,-2-2 0,1 11-335,-2-19 24,1 0 0,0 0 0,0-1-1,0 2 1,0-1 0,0 0 0,0 0-1,1 0 1,-1 1 0,0-1 0,1 1 0,-1-1-1,1 1-23,-1-2 27,0 1-1,1-1 1,-1 0-1,0 1 1,1-1-1,-1 0 1,1 1-1,-1-1 1,0 0-1,1 0 1,-1 1-1,1-1 1,-1 0-1,0 0 1,1 0-1,-1 0 1,1 1-1,-1-1 1,1 0-1,-1 0 1,1 0-1,-1 0 1,1 0-27,3-1 184,0 0 0,0 0 0,0 0 0,0 0 0,0-1 0,-1 1 0,3-3-184,16-4 216,-15 7-178,1 0-1,-1 0 0,1 0 1,-1 1-1,1 0 0,-1 1 1,1-1-38,-7 0 2,0 0 1,0 0 0,0 1 0,0-1-1,0 0 1,0 0 0,0 1-1,0-1 1,0 0 0,0 1 0,0-1-1,0 1 1,0-1 0,0 0-1,0 0 1,0 1 0,-1 0 0,1 0-1,0-1 1,0 1 0,-1 0-1,1 0 1,-1 0 0,1 0 0,-1-1-1,1 1 1,-1 1 0,1-1 0,-1 0-1,0 0 1,1 0 0,-1 0-1,0 0 1,0 0 0,0 0 0,0 0-1,0 0 1,0 0 0,0 1-1,0-1 1,-1 0 0,1 0 0,0 0-1,-1 0 1,1-1 0,0 1-1,-1 0 1,1 0 0,-1 0 0,0 0-1,1 0 1,-1 0-3,-4 6 71,1 0 0,-1 0-1,-1-1 1,1 0 0,-1 0-1,0 0 1,-1 0 0,1-1 0,-3 0-71,4 0-177,0-2 1,-1 0 0,1 0 0,0 0 0,0 0 0,-1 0-1,0-1 1,0 0 0,0-1 0,0 0 0,0 0 0,0-1-1,-1 1 177,-1-2-1772,4-5 781</inkml:trace>
  <inkml:trace contextRef="#ctx0" brushRef="#br0" timeOffset="-24572.107">5843 1482 5313,'-7'0'2385,"2"-1"-1121,3 1-392,4-1-368,2 0-160,8-3-208,5 0-1104,9-4 704</inkml:trace>
  <inkml:trace contextRef="#ctx0" brushRef="#br0" timeOffset="132123.079">0 2939 9082,'1'4'128,"0"1"0,0-1-1,0 0 1,0 0 0,1 0 0,-1 1 0,3 2-128,30 75-679,60 201-2658,-79-219 2744,-16-44 1352,1-19-559,-1 2 603,0-1 1,1 1 0,-1 0-1,1 0 1,0 0 0,0 0-1,0 0 1,1 1-804,6 28 1804,0 6-1850,3 16-949,2 0 0,4 0 995,2 12 1502,2 27-1502,-19-58 56,-1-29-6,0 0 1,0 1 0,0-1-1,1-1 1,1 5-51,-2-11 73,0 0-1,1 0 1,-1 0-1,0 0 1,1 0-1,-1 0 1,1 0-1,0 0 1,-1 0-1,1 0 1,0 0-1,0 0 1,-1 1-1,1-1 1,0 0-1,0 1 1,0 0-1,0-1 1,1 0-73,20-15 119,-20 15-44,7-3 37,1-1 0,-1 2 0,1 0 0,0 1 0,1-1-1,-1 1 1,6 0-112,18-5 236,401-80 1200,-433 87-1431,304-44 809,-19 4-336,-30 1-205,8 9-273,-158 17 118,0-4-1,-1-6 0,21-10-117,-50 10 106,-30 9 22,17-4-128,-63 18 1,43-11 17,-42 10-10,1 0 0,0 0 0,-1-1 0,1 0-1,-1 1 1,1-1 0,-1 1 0,0-1 0,1 0 0,-1 0 0,0 0-1,0 0 1,0 0 0,1-2-8,-4 1 78,1 3-74,0 0 0,0 0 0,-1-1 1,1 1-1,0 0 0,0-1 0,0 1 1,0 0-1,0 0 0,0 0 1,0 0-1,0 0 0,0-1 0,0 1 1,0 0-1,0 0 0,0-1 0,0 1 1,0 0-1,0-1 0,0 1 0,0 0 1,0 0-1,0-1 0,0 1 0,0 0 1,0-1-1,1 1 0,-1 0 0,0 0-4,14-38 98,-13 34-91,0-1 1,0 1-1,-1-1 1,0 1-1,0 0 1,0-1-1,0-1 1,-1 1-1,1 0 1,-1 1-1,0 0 1,-1 0-1,-1-5-7,-1-5 20,-20-66 40,14 47-25,-6-30-35,-48-189 12,52 206-31,-20-68-84,27 90 71,4 20 20,1 0 1,-1 0 0,1 0 0,-1 0-1,-1 1 1,1-1 0,0 1 0,-1-1-1,0 0 1,0 1 0,0 0-1,-1-2 12,1 3-6,1 0-1,0 0 0,0 0 1,0 0-1,0 0 0,0 0 0,0 0 1,0 0-1,0-1 0,1 1 0,0 0 1,-1-1-1,1 1 0,0 0 0,0 0 1,0-1 6,0 0-2,0 1-1,0-1 1,0 0 0,-1 1 0,1-1 0,-1 1 0,1-2 0,-1 2-1,0 0 1,0-1 0,0 1 0,0 1 0,0-2 0,-1 1 0,1 0 0,-1 0-1,0 0 3,2 1-7,-1 1 0,1 0 0,-1 0-1,1-1 1,-1 1 0,0 0 0,1 0-1,-1 0 1,1 0 0,-1 0 0,0 0-1,1 0 1,-1 0 0,1 0 0,-1 0 0,0 0-1,1 0 1,-1 0 0,1 0 0,-1 1-1,0-1 1,1 0 0,-1 0 0,1 1-1,-1-1 8,-17 11-61,9-6 47,-7 3 12,0-1-1,-1-2 0,0 0 1,-1-1-1,0-1 3,-88 14-42,39-8-5,-164 22 1,-87 16 9,142-18 33,-1 2-15,-82 27 19,155-28-5,-66 17 65,-130 20-60,229-58-146,35-5-320,1 1-1,1 1 1,-1 3 0,2-1-1,-15 10 467,27-6-2715,10-1 940</inkml:trace>
  <inkml:trace contextRef="#ctx0" brushRef="#br0" timeOffset="132923.079">1254 3091 5321,'-11'-38'2137,"13"40"-1361,0 5-312,3 12-216,-1 5 56,5 13 264,0 3 184,3 8 136,2-2-87,0 1-289,1-2-168,-1-10-176,0-5-24,-2-11-112,-2-8-680,-2-17 472</inkml:trace>
  <inkml:trace contextRef="#ctx0" brushRef="#br0" timeOffset="3.647">2947 2667 1104,'-1'-4'276,"-1"1"-46,1-1 1,0 0-1,0 0 1,0 0-1,0 1 1,1-1 0,-1 0-1,1 0 1,0 0-1,0-1 1,0 1-1,1 0 1,0-1-231,2-15 328,-3 18-291,0 1 0,0 0 0,0 0-1,0 0 1,0 1 0,0-1-1,0 0 1,0 0 0,0 0 0,0 0-1,0 1 1,-1 0 0,1-1-1,0 0 1,-1 0 0,1 1 0,0-1-1,-1 0 1,1 1 0,-1-1-37,-4 16 1031,3-3-843,1-1 0,0-1 0,0 2 0,1-1 0,1 0 1,0 0-1,1 2-188,17 78 324,-15-76-285,47 248 466,-43-215-383,-5-27-10,-2 2 0,0 0 0,-2 0-112,0-3 273,1-2 0,1 2-1,1-1 1,2 7-273,-3-21 26,1 0 1,0-1-1,0 0 1,0-1-1,0 0 1,0 1-1,1-1 1,-1 0-1,1 0 1,0 0-1,0 0 1,0 0-1,1 0 1,-1-2-1,1 1 1,-1 1-1,4 0-26,-3-1 8,0 2-1,0-1 1,0 0-1,0 0 1,0 1-1,-1-1 1,1-1-1,-1 2 1,0 0-1,0 0 1,0 0-1,-1 0 1,1 0-8,2 10 28,-4-10-19,0 1 0,1-1 1,0 1-1,0-1 1,0-1-1,2 3-9,-3-5 3,-1-1 0,1 1-1,0 0 1,0 0 0,-1 0 0,1-1 0,0 1-1,0-1 1,0 1 0,0 0 0,0-1 0,0 0-1,0 1 1,0-1 0,0 0 0,1 1 0,-1-1 0,0 0-1,0 0 1,0 0 0,0 0 0,0 0 0,0 0-1,0 0 1,1 0 0,-1-1 0,0 1 0,0 0-3,42-9 125,0 3 1,2 2-1,-1 1 0,10 2-125,3-1 83,-1-2-1,13-4-82,305-72 1094,-54 10-911,-278 62-134,102-19 733,106-35-782,-130 18 156,43-23-156,-67 27 28,-42 19-29,0 3 1,21-4 0,-43 14 64,1 1 0,0 2 0,0 2 1,21 0-65,-48-15 217,-4 8-208,-1 1 0,1-1 0,-2 0 0,1 0-1,-2 0 1,1 1 0,-2-8-9,-16-74 71,6 32-45,-1-20-18,1-1-48,-14-47 40,20 103-13,-1 1 1,-2 1-1,0-1 1,-1 2-1,-1 0 0,-1 0 1,-10-12 12,20 31-5,1-1-1,-1 1 1,0 0 0,0 0 0,0 0-1,0 0 1,-1 0 0,1 1 0,0-1-1,-1 1 1,1-1 0,-1 1 0,0 0 0,1 0-1,-1 0 1,0 0 0,0 1 0,0-1-1,-2 0 6,-1 2-19,-1-1-1,1 1 0,0-1 0,-1 2 1,1-1-1,0 1 0,0 0 0,-2 1 20,-10 1 7,2 0 1,0-2-1,-1 0 0,0-1 0,0 0 0,0-2 0,-10-1-7,-25 1-20,-72 8-47,0 6 0,-101 24 67,-77 10 630,238-41-229,-1-2 0,-1-4 0,-43-5-401,2-7 64,-36-4-814,69 15 438</inkml:trace>
  <inkml:trace contextRef="#ctx0" brushRef="#br0" timeOffset="3.647">6174 2307 3097,'-31'-54'1280,"31"53"-1255,-1 1 1,1 0-1,0 0 1,0-1-1,0 1 0,0 0 1,-1-1-1,1 1 1,0 0-1,0 0 1,0-1-1,-1 1 0,1 0 1,0 0-1,0 0 1,-1-1-1,1 1 0,0 0 1,-1 0-1,1 0 1,0 0-1,-1 0 1,1-1-1,0 1 0,-1 0 1,1 0-1,0 0 1,-1 0-1,1 0 0,0 0 1,-1 0-1,1 0-25,-4 10 267,5 13-216,6 59-22,25 219 2782,-31-293-2612,0-2-1,1 2 0,0 0 1,0 1-1,1-3 1,0 1-1,0 0 0,3 5-198,-3-9 38,1 1 0,-1 0-1,1 1 1,-1-1 0,1 1-1,0-2 1,0 0 0,1-1-1,-1 1 1,1 0 0,-1-1-1,1 0 1,1 1-38,36 11 44,1-2 0,-1-1 0,1-2 1,41 1-45,-50-5 70,23 1 253,-2-2 0,2-3 0,53-5-323,169-29 1049,-97 9-795,55-6-147,35-6 368,-77 14-140,0-11 0,42-17-335,-87 6 148,-63 17 116,1 5-264,-59 15 51,0 2-1,1 3 1,0-1-1,1 2 1,-1 1-51,-29 0-2,15-1 421,-14-14-12,-3 4-505,-10-152 194,-7 1-1,-8-6-95,23 155 2,1-6 1,-1 3 0,-2-3 0,0 3 0,0-2-1,-6-8-2,10 22-7,-1 1-1,0-1 1,-1 1-1,1 0 1,-1-1-1,0 1 1,1 0-1,-1 0 1,-1 0-1,1-1 0,0 0 1,-1 2-1,1 1 1,-1-1-1,0 0 1,0 0-1,0 0 1,0 1-1,0-1 1,0 1-1,0 0 1,0 0-1,0 1 1,0-1-1,-3 1 8,-69-1-113,-1 4 1,-45 9 112,-627 54 219,176-20 166,181 10-528,132-2-3814,135-26 2394</inkml:trace>
  <inkml:trace contextRef="#ctx0" brushRef="#br0" timeOffset="3.647">9079 1859 7810,'-28'-79'2651,"28"78"-2577,-1-1 1,1 0 0,-1 1-1,1-1 1,0-1-1,0 1 1,0 1 0,0-1-1,0 0 1,0-1-1,0 2 1,0-1-1,1 1 1,-1-1 0,1 1-1,0-1 1,-1 0-75,1 1 10,0 0 0,-1 0 0,1 1 1,0-1-1,0 0 0,-1 0 0,1 1 1,0-1-1,0 0 0,0 1 0,0-1 1,0 1-1,0-1 0,0 1 0,0-1 1,0 1-1,1 0 0,-1 0 0,0-1-10,2 1-23,0 0 0,0 0 0,0 0 0,0 0-1,0 0 1,-1 0 0,1 1 0,0 0 0,0-1-1,0 1 1,-1 0 0,1 0 0,0 0-1,1 2 24,0 0-15,0 1 0,0-1 0,0 0 0,-1 2 0,0-1 0,0 2 0,0-2-1,-1 1 1,1-1 0,-1 0 0,0 1 0,0-1 0,-1 1 0,2 4 15,1 11-10,-1-1 1,-1 1 0,0 4 9,0-4-11,0 6 13,3 29-7,2 0 1,3 0 0,4 10 4,-10-51 22,0-1 0,1 2 1,0 0-1,1-3 0,1 1 1,0 0-1,0-1 0,2 0 1,0 0-1,1 1 0,-1-4 1,2 2-1,-1-1 0,9 5-22,-14-12 75,0 0 0,1 1 0,0-2 0,-1 0 0,1 0 0,0 0 0,0-1 0,0 1 0,0-2 0,0 1 0,1-1 0,3 0-75,16 0 271,-1-2 0,12-3-271,-13 2 13,236-17 72,-125 13 689,47-12-774,-139 14 167,469-84 1066,-317 54-473,-2 3-410,-148 22-225,0-3 0,-1 0 0,8-6-125,-48 18 43,0-1 0,0 0 1,0 0-1,-1 0 0,1 1 0,-1-2 1,1 0-1,-1-1 0,0 1 1,0 0-1,0 0 0,0 0 1,0-1-1,-1 1 0,2-3-43,-2 0 40,1 0-1,-1 0 0,-1-1 0,1 1 0,-1 0 0,0-2 1,-1 2-1,1-1 0,-1 2 0,-1-3-39,-10-156 118,3 83 31,4-29-149,9-21-33,-1 60 11,-4 2 1,-6-57 21,6 125-9,0-1 0,0 1-1,-1-1 1,1 1 0,0-1 0,-1 1 0,1-1-1,-1 1 1,1-1 0,-1 0 0,0 1 0,1-1 0,-1 0-1,0 1 1,0 0 0,0 0 0,0 0 0,0 1 0,0-1-1,0 0 1,-1 0 0,1 0 0,0 0 0,-1 0 0,1 1-1,0-1 1,-2 0 9,-3 0-50,1 0 0,-1 1 0,0-1 1,0 1-1,1 0 0,-1 1 0,-1 0 50,6-1-2,-258 34-231,178-22 206,-144 25 85,3 10 0,0 9-1,-179 73-57,378-121-8,-122 46-1536,-140 32 1544,182-64-631</inkml:trace>
  <inkml:trace contextRef="#ctx0" brushRef="#br0" timeOffset="3.647">3684 2801 2705,'20'-8'1956,"-1"0"-1,12-4-1955,-14 6 336,-1 1-1,1-3 1,9-7-336,-28 16 12,-44 29 2200,-25 19-2212,56-37 248,1 0-1,0 1 0,-1 1 0,3 0 0,0 0 0,-10 14-247,20-24 14,-16 23 80,1 2-1,2-1 0,-5 12-93,19-37 1,1-1 0,-1 0-1,0 0 1,0 0 0,1 0 0,0 1 0,-1-1 0,1 0 0,0 1 0,0 0 0,0-1-1,0-1 1,1 1 0,-1 1 0,0 0 0,1 0-1,0-1 1,0-1 0,0 0 0,-1 1 0,1-1 0,0 0 0,0 0 1,1 0-1,-1 1 0,0-1 0,0 0 0,0 0 0,1-1 0,-1 1 0,0 0 0,1 0 0,-1-1 0,1 1 1,0 0-2,4-1-5,1 1 1,-1 0-1,0 0 1,1-1 0,-1 1-1,0-2 1,1 1-1,0-1 1,-1 0 0,1 0-1,0 0 5,20-6-370,-2-2 0,0-1-1,21-12 371,27-16-416</inkml:trace>
  <inkml:trace contextRef="#ctx0" brushRef="#br0" timeOffset="3.647">3527 2646 1184,'67'-37'2691,"-5"4"-1877,-60 31-755,14-6 322,1-2 1,0 3 0,13-4-382,-26 10 15,-1-1 0,1 1 0,0 0 1,0 1-1,-1-2 0,1 2 0,0-1 0,0 1 0,0 0 0,-1 1 0,1-1 1,0 2-1,0-2 0,0 1 0,-1 0 0,1 0 0,-1 1 0,1-1 0,-1 1 1,1 0-1,2 0-15,-5 0 2,0-1 1,1 0 0,-1 0 0,0 0 0,0 1 0,0-1-1,-1 1 1,1-1 0,0 1 0,0 0 0,-1 0-1,1-1 1,-1 1 0,1-1 0,-1 1 0,0 0 0,0-1-1,0 1 1,0-1-3,0 3 5,0 0-1,-1 1 1,1-1-1,-1-1 1,0 1-1,0 0 1,-1 0-1,0 0-4,-4 10 24,-1-1-1,-1 0 0,0-1 0,-1 0-23,-62 79 630,50-69-441,1 2 0,1 0 1,0 2-1,3 0 1,-11 21-190,12-4-96</inkml:trace>
  <inkml:trace contextRef="#ctx0" brushRef="#br0" timeOffset="3.647">7193 2259 1152,'-13'1'5744,"5"0"-5361,9-3 1124,36-17-1223,1 3 0,1 1 0,0 1 0,0 3 0,18-3-284,-52 14 6,0-1 0,0 0 0,0 1 0,0 0 0,0 0 0,0 0 0,2 1-6,-6 0 2,0-1 0,0 0 0,0 0 0,0 0 0,0 0 0,-1 1 0,1-1 0,0 0 0,0 1 1,0-1-1,-1 1 0,1-1 0,0 1 0,-1-1 0,1 1 0,0 0 0,-1-1 0,1 1 0,0 0 0,-1-1 1,0 1-1,1 0 0,-1 0 0,1-1 0,-1 1 0,0 0 0,1 0 0,-1 0 0,0 0 0,0-1 0,0 1 0,0 0 1,0 0-1,0 0 0,0 0 0,0 0 0,0 0 0,0 0 0,0-1 0,0 1 0,-1 0 0,1 0 0,0-1 1,-1 1-3,-4 11 17,0-2 1,-1 1 0,-1-1 0,1-1 0,-2 1 0,1-1-1,-2 0 1,-7 6-18,-6 10 16,9-10 0,-32 32 3,43-44-9,-1 0 0,-1-1 1,1 1-1,-1-1 1,0 1-1,0-1 1,0 0-1,0 0 1,0-1-1,0 1 1,-5 0-11,25-4 5,0 1 0,0 0 0,-2 1 0,2 1 0,16 2-5,-25-2-1,-1 0 0,1 1 0,0-1-1,0 1 1,-1 1 0,1-2 0,-1 2 0,0 2 0,0-1-1,0-1 1,0 1 0,-1 0 0,0 1 0,0-1 0,4 4 1,-8-7 18,0 0 0,0 0 0,0-1 0,-1 1-1,1 0 1,0 0 0,-1 0 0,1 0 0,-1 0 0,1 0 0,-1 0 0,0 0 0,1 0 0,-1 0 0,0 0 0,1 0 0,-1 0 0,0 0 0,0 1 0,0-1 0,0 1 0,0-1 0,-1-1 0,1 1 0,0 0 0,0 0 0,-1 0 0,1 0 0,0 0 0,-1 0 0,1 0 0,-1 1 0,0-1 0,1 0 0,-1 0 0,0-1 0,1 1 0,-1 0 0,0 0 0,0-1 0,0 1 0,0 0 0,1-1 0,-1 1-1,0-1 1,0 1 0,0-1 0,0 1 0,-1-1-18,-7 3 209,0 1-1,0-2 0,-1 0 1,1 0-1,-5 0-208,8-1 21,-81 11 396,29-4-241,-17 5-176,26 1 3</inkml:trace>
  <inkml:trace contextRef="#ctx0" brushRef="#br0" timeOffset="3.647">10916 1802 920,'5'-4'82,"0"-1"-1,0 0 1,0 1-1,-2-1 1,1 0-1,0-2 1,0 2-1,0-2 1,1-3-82,-12 11 3858,-42 21-2304,-3-2-1,-1-2 1,-24 5-1554,28-11 476,-74 16-153,123-28-319,-1 0 1,0 1 0,0-1-1,1 0 1,-1 0-1,0 1 1,0-1 0,0 0-1,1 0 1,-1 0 0,0 0-1,0 0 1,0 0-1,0 0 1,1-1 0,-1 1-1,0 0 1,0 0 0,0-1-1,1 1 1,-1 0-1,0-1 1,1 1 0,-1 0-1,0-1 1,1 1 0,-1-1-1,0 0 1,1 1-1,-1-1 1,1 1 0,-1-1-1,1 0 1,-1 1 0,1-1-1,0 0 1,-1 0-1,1 1 1,0-1 0,-1 0-1,1 0 1,0 0-5,0-4 22,0 2 0,0-2 0,1 0-1,0 1 1,0-1 0,0-2 0,1 3-22,0-6-7,2-5 94,0 2 1,1-2-1,0 1 1,1 1-1,1-1 0,0 1 1,1 1-1,4-7-87,-8 14 58,0 0-1,0 0 0,0 1 1,1-1-1,0 1 1,0 0-1,0 0 0,0 1 1,0-1-1,1 1 0,0 0 1,-1 1-1,1-1 1,0 1-1,1 0 0,-1 1 1,0-1-1,0 1 0,1 1 1,-2-1-1,3 1-57,-4 0 16,-1 1 0,0 0 0,0-1 0,0 1 0,1 0 0,-1 1 0,0-1 1,0 1-1,0-1 0,-1 1 0,1 0 0,0 0 0,-1 0 0,1 0 0,-1 1 0,0-1 0,1 0 0,-1 1 0,-1 0 0,1 0 0,0-1 0,-1 1 0,2 3-16,4 9 80,-1-1 0,0 3 0,-1-1 1,0 2-81,-3-11 26,13 46-1363,-2 0 0,-3 5 1337,-6-22-1136</inkml:trace>
</inkml: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8306FB-ECE9-455E-A6BE-C4C93E5C5938}" name="Loan" displayName="Loan" ref="B17:H377" totalsRowShown="0" dataDxfId="23" tableBorderDxfId="22" dataCellStyle="Currency">
  <autoFilter ref="B17:H37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No." dataCellStyle="Comma">
      <calculatedColumnFormula>IFERROR(IF(Loan_Not_Paid*Values_Entered,Payment_Number,""), "")</calculatedColumnFormula>
    </tableColumn>
    <tableColumn id="2" xr3:uid="{00000000-0010-0000-0000-000002000000}" name="Column1" dataCellStyle="Date"/>
    <tableColumn id="3" xr3:uid="{00000000-0010-0000-0000-000003000000}" name="Beginning_x000a_Balance" dataCellStyle="Currency">
      <calculatedColumnFormula>IFERROR(IF(Loan_Not_Paid*Values_Entered,Beginning_Balance,""), "")</calculatedColumnFormula>
    </tableColumn>
    <tableColumn id="4" xr3:uid="{00000000-0010-0000-0000-000004000000}" name="Payment" dataCellStyle="Currency">
      <calculatedColumnFormula>IFERROR(IF(Loan_Not_Paid*Values_Entered,Monthly_Payment,""), "")</calculatedColumnFormula>
    </tableColumn>
    <tableColumn id="5" xr3:uid="{00000000-0010-0000-0000-000005000000}" name="Principal" dataCellStyle="Currency">
      <calculatedColumnFormula>IFERROR(IF(Loan_Not_Paid*Values_Entered,Principal,""), "")</calculatedColumnFormula>
    </tableColumn>
    <tableColumn id="6" xr3:uid="{00000000-0010-0000-0000-000006000000}" name="Interest" dataCellStyle="Currency">
      <calculatedColumnFormula>IFERROR(IF(Loan_Not_Paid*Values_Entered,Interest,""), "")</calculatedColumnFormula>
    </tableColumn>
    <tableColumn id="7" xr3:uid="{00000000-0010-0000-0000-000007000000}" name="Ending_x000a_Balance" dataCellStyle="Currency">
      <calculatedColumnFormula>IFERROR(IF(Loan_Not_Paid*Values_Entered,Ending_Balance,""), "")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rack Payment Number, Payment Date, Beginning Balance, Payment, Principal, Interest amounts, and Ending Balance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1D05A-D881-49E6-8140-F8133FE2485C}" name="Loan3" displayName="Loan3" ref="B17:H377" totalsRowShown="0" dataDxfId="21" tableBorderDxfId="20" dataCellStyle="Currency">
  <autoFilter ref="B17:H37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13643166-B4EA-48B5-B661-F8DD39436197}" name="No." dataCellStyle="Comma">
      <calculatedColumnFormula>IFERROR(IF(Loan_Not_Paid*Values_Entered,Payment_Number,""), "")</calculatedColumnFormula>
    </tableColumn>
    <tableColumn id="2" xr3:uid="{A5D396E8-AFA1-4D2F-B846-A669C2A2FE48}" name="Column1" dataCellStyle="Date"/>
    <tableColumn id="3" xr3:uid="{DE2847F5-E1EE-44E3-BD25-B7B078E6137C}" name="Beginning_x000a_Balance" dataCellStyle="Currency">
      <calculatedColumnFormula>IFERROR(IF(Loan_Not_Paid*Values_Entered,Beginning_Balance,""), "")</calculatedColumnFormula>
    </tableColumn>
    <tableColumn id="4" xr3:uid="{5399DDAA-8332-45CB-8E39-A22C9244FB7A}" name="Payment" dataCellStyle="Currency">
      <calculatedColumnFormula>IFERROR(IF(Loan_Not_Paid*Values_Entered,Monthly_Payment,""), "")</calculatedColumnFormula>
    </tableColumn>
    <tableColumn id="5" xr3:uid="{5A086B86-72EF-4532-AB72-37DF1B2F5E61}" name="Principal" dataCellStyle="Currency">
      <calculatedColumnFormula>IFERROR(IF(Loan_Not_Paid*Values_Entered,Principal,""), "")</calculatedColumnFormula>
    </tableColumn>
    <tableColumn id="6" xr3:uid="{129AE6C9-875F-4270-AD57-D7B51BEBB648}" name="Interest" dataCellStyle="Currency">
      <calculatedColumnFormula>IFERROR(IF(Loan_Not_Paid*Values_Entered,Interest,""), "")</calculatedColumnFormula>
    </tableColumn>
    <tableColumn id="7" xr3:uid="{3C36CB44-5A6F-467C-AA2E-D00F9296FF53}" name="Ending_x000a_Balance" dataCellStyle="Currency">
      <calculatedColumnFormula>IFERROR(IF(Loan_Not_Paid*Values_Entered,Ending_Balance,""), "")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rack Payment Number, Payment Date, Beginning Balance, Payment, Principal, Interest amounts, and Ending Balance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74AABA-DDA0-477C-8EB3-921B09911D1C}" name="Loan34" displayName="Loan34" ref="B17:H377" totalsRowShown="0" dataDxfId="19" tableBorderDxfId="18" dataCellStyle="Currency">
  <autoFilter ref="B17:H37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89C438B-CC07-4C05-9DB8-D402CB44235C}" name="No." dataCellStyle="Comma">
      <calculatedColumnFormula>IFERROR(IF(Loan_Not_Paid*Values_Entered,Payment_Number,""), "")</calculatedColumnFormula>
    </tableColumn>
    <tableColumn id="2" xr3:uid="{91125E9E-88C9-45F6-B659-35E94EDDD827}" name="Column1" dataCellStyle="Date"/>
    <tableColumn id="3" xr3:uid="{BAD5E051-BF48-448B-84AD-DEBE9565CEEE}" name="Beginning_x000a_Balance" dataCellStyle="Currency">
      <calculatedColumnFormula>IFERROR(IF(Loan_Not_Paid*Values_Entered,Beginning_Balance,""), "")</calculatedColumnFormula>
    </tableColumn>
    <tableColumn id="4" xr3:uid="{1BD7C2B0-8EC9-41DC-9426-E317DCAEB605}" name="Payment" dataCellStyle="Currency">
      <calculatedColumnFormula>IFERROR(IF(Loan_Not_Paid*Values_Entered,Monthly_Payment,""), "")</calculatedColumnFormula>
    </tableColumn>
    <tableColumn id="5" xr3:uid="{D2EE4E41-2989-4A69-8222-AB0BAB4D7863}" name="Principal" dataCellStyle="Currency">
      <calculatedColumnFormula>IFERROR(IF(Loan_Not_Paid*Values_Entered,Principal,""), "")</calculatedColumnFormula>
    </tableColumn>
    <tableColumn id="6" xr3:uid="{CF90CB30-F83D-4C12-ABF2-7C895E6D7F11}" name="Interest" dataCellStyle="Currency">
      <calculatedColumnFormula>IFERROR(IF(Loan_Not_Paid*Values_Entered,Interest,""), "")</calculatedColumnFormula>
    </tableColumn>
    <tableColumn id="7" xr3:uid="{D0A064A4-CB6E-4880-B687-BBB2250D7B81}" name="Ending_x000a_Balance" dataCellStyle="Currency">
      <calculatedColumnFormula>IFERROR(IF(Loan_Not_Paid*Values_Entered,Ending_Balance,""), "")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rack Payment Number, Payment Date, Beginning Balance, Payment, Principal, Interest amounts, and Ending Balance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ohiohome.org/compliance/documents/incomelimits_LIHTC18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ohiohome.org/compliance/documents/incomelimits_LIHTC18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ohiohome.org/compliance/documents/incomelimits_LIHTC18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ohiohome.org/compliance/documents/incomelimits_LIHTC18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ohiohome.org/compliance/documents/incomelimits_LIHTC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AABA2-B981-435E-865C-1D20FC23F4AC}">
  <dimension ref="A1:AR46"/>
  <sheetViews>
    <sheetView workbookViewId="0"/>
  </sheetViews>
  <sheetFormatPr defaultRowHeight="14.5"/>
  <cols>
    <col min="1" max="1" width="20.81640625" bestFit="1" customWidth="1"/>
    <col min="2" max="5" width="14.08984375" bestFit="1" customWidth="1"/>
    <col min="6" max="6" width="11.6328125" bestFit="1" customWidth="1"/>
    <col min="7" max="7" width="17.36328125" bestFit="1" customWidth="1"/>
    <col min="8" max="12" width="14.08984375" bestFit="1" customWidth="1"/>
    <col min="13" max="13" width="12.90625" bestFit="1" customWidth="1"/>
    <col min="14" max="15" width="14.08984375" bestFit="1" customWidth="1"/>
    <col min="16" max="16" width="12.90625" bestFit="1" customWidth="1"/>
    <col min="17" max="17" width="14.08984375" bestFit="1" customWidth="1"/>
    <col min="18" max="19" width="12.90625" bestFit="1" customWidth="1"/>
    <col min="20" max="20" width="14.08984375" bestFit="1" customWidth="1"/>
    <col min="21" max="21" width="30.1796875" bestFit="1" customWidth="1"/>
    <col min="22" max="22" width="14.08984375" bestFit="1" customWidth="1"/>
    <col min="23" max="24" width="12.90625" bestFit="1" customWidth="1"/>
    <col min="25" max="25" width="13.81640625" bestFit="1" customWidth="1"/>
    <col min="26" max="26" width="13.90625" bestFit="1" customWidth="1"/>
    <col min="27" max="29" width="14.08984375" bestFit="1" customWidth="1"/>
    <col min="30" max="32" width="12.90625" bestFit="1" customWidth="1"/>
    <col min="33" max="34" width="11.54296875" bestFit="1" customWidth="1"/>
    <col min="37" max="37" width="16.08984375" style="14" bestFit="1" customWidth="1"/>
    <col min="39" max="39" width="24" bestFit="1" customWidth="1"/>
    <col min="40" max="40" width="25.08984375" bestFit="1" customWidth="1"/>
    <col min="41" max="41" width="39.90625" bestFit="1" customWidth="1"/>
    <col min="42" max="42" width="14.08984375" bestFit="1" customWidth="1"/>
    <col min="43" max="43" width="12.90625" bestFit="1" customWidth="1"/>
  </cols>
  <sheetData>
    <row r="1" spans="1:42">
      <c r="M1" t="s">
        <v>88</v>
      </c>
    </row>
    <row r="2" spans="1:42" ht="21">
      <c r="B2" t="s">
        <v>0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s="1" t="s">
        <v>24</v>
      </c>
      <c r="K2" s="1" t="s">
        <v>25</v>
      </c>
      <c r="L2" t="s">
        <v>26</v>
      </c>
      <c r="M2" s="38" t="s">
        <v>27</v>
      </c>
      <c r="N2" s="1" t="s">
        <v>28</v>
      </c>
      <c r="O2" s="1" t="s">
        <v>12</v>
      </c>
      <c r="P2" s="1" t="s">
        <v>13</v>
      </c>
      <c r="Q2" s="1" t="s">
        <v>14</v>
      </c>
      <c r="R2" s="1" t="s">
        <v>20</v>
      </c>
      <c r="S2" t="s">
        <v>29</v>
      </c>
      <c r="T2" t="s">
        <v>30</v>
      </c>
      <c r="U2" t="s">
        <v>21</v>
      </c>
      <c r="V2" t="s">
        <v>22</v>
      </c>
      <c r="W2" s="1" t="s">
        <v>31</v>
      </c>
      <c r="X2" t="s">
        <v>32</v>
      </c>
      <c r="Y2" t="s">
        <v>33</v>
      </c>
      <c r="Z2" t="s">
        <v>34</v>
      </c>
      <c r="AA2" s="36" t="s">
        <v>39</v>
      </c>
      <c r="AB2" s="36" t="s">
        <v>40</v>
      </c>
      <c r="AC2" s="36" t="s">
        <v>41</v>
      </c>
      <c r="AD2" t="s">
        <v>42</v>
      </c>
      <c r="AE2" t="s">
        <v>43</v>
      </c>
      <c r="AF2" t="s">
        <v>59</v>
      </c>
      <c r="AG2" t="s">
        <v>60</v>
      </c>
      <c r="AH2" t="s">
        <v>61</v>
      </c>
      <c r="AI2" t="s">
        <v>65</v>
      </c>
      <c r="AK2" s="13" t="s">
        <v>73</v>
      </c>
      <c r="AM2" s="10" t="s">
        <v>74</v>
      </c>
      <c r="AN2" s="10" t="s">
        <v>75</v>
      </c>
      <c r="AO2" t="s">
        <v>80</v>
      </c>
      <c r="AP2" t="s">
        <v>81</v>
      </c>
    </row>
    <row r="3" spans="1:42" ht="21">
      <c r="A3" t="s">
        <v>90</v>
      </c>
      <c r="J3" s="1"/>
      <c r="K3" s="1"/>
      <c r="M3" s="38"/>
      <c r="N3" s="1"/>
      <c r="O3" s="1"/>
      <c r="P3" s="1"/>
      <c r="Q3" s="1"/>
      <c r="R3" s="1"/>
      <c r="W3" s="1"/>
      <c r="AA3" s="36"/>
      <c r="AB3" s="36"/>
      <c r="AC3" s="36"/>
      <c r="AK3" s="13"/>
      <c r="AM3" s="10"/>
      <c r="AN3" s="10"/>
    </row>
    <row r="4" spans="1:42" ht="21">
      <c r="A4" t="s">
        <v>89</v>
      </c>
      <c r="J4" s="1"/>
      <c r="K4" s="1"/>
      <c r="M4" s="38"/>
      <c r="N4" s="1"/>
      <c r="O4" s="1"/>
      <c r="P4" s="1"/>
      <c r="Q4" s="1"/>
      <c r="R4" s="1"/>
      <c r="W4" s="1"/>
      <c r="AA4" s="36"/>
      <c r="AB4" s="36"/>
      <c r="AC4" s="36"/>
      <c r="AK4" s="13"/>
      <c r="AM4" s="10"/>
      <c r="AN4" s="10"/>
    </row>
    <row r="5" spans="1:42" ht="21">
      <c r="J5" s="1"/>
      <c r="K5" s="1"/>
      <c r="M5" s="38"/>
      <c r="N5" s="1"/>
      <c r="O5" s="1"/>
      <c r="P5" s="1"/>
      <c r="Q5" s="1"/>
      <c r="R5" s="1"/>
      <c r="W5" s="1"/>
      <c r="AA5" s="36"/>
      <c r="AB5" s="36"/>
      <c r="AC5" s="36"/>
      <c r="AK5" s="13"/>
      <c r="AM5" s="10"/>
      <c r="AN5" s="10"/>
    </row>
    <row r="6" spans="1:42">
      <c r="A6" t="s">
        <v>4</v>
      </c>
      <c r="F6">
        <v>8189.8090000000002</v>
      </c>
      <c r="G6">
        <v>18112.6119</v>
      </c>
      <c r="H6">
        <v>26442.238300000001</v>
      </c>
      <c r="J6">
        <v>45585.159900000006</v>
      </c>
      <c r="K6">
        <v>32739.437600000001</v>
      </c>
      <c r="L6">
        <v>10751.0437</v>
      </c>
      <c r="M6">
        <v>11566.6585</v>
      </c>
      <c r="N6">
        <v>46332.135399999999</v>
      </c>
      <c r="O6">
        <v>21932.8714</v>
      </c>
      <c r="P6">
        <v>10908.046700000001</v>
      </c>
      <c r="Q6">
        <v>14112.0113</v>
      </c>
      <c r="R6">
        <v>11386.2837</v>
      </c>
      <c r="S6">
        <v>10655.5659</v>
      </c>
      <c r="AO6" s="32">
        <v>0.1</v>
      </c>
      <c r="AP6" s="32">
        <v>0.15</v>
      </c>
    </row>
    <row r="7" spans="1:42" s="2" customFormat="1" ht="18.5">
      <c r="A7" s="2" t="s">
        <v>1</v>
      </c>
      <c r="B7" s="2">
        <f>13990.7388*6</f>
        <v>83944.432799999995</v>
      </c>
      <c r="C7" s="2">
        <f>14850.8574*3+18079.9335*6</f>
        <v>153032.17319999999</v>
      </c>
      <c r="D7" s="2">
        <f>10141.7561*6+21749.9661+12346.9151*5</f>
        <v>144335.07820000002</v>
      </c>
      <c r="E7" s="2">
        <f>14451.6487*5+17411.625*6</f>
        <v>176727.99349999998</v>
      </c>
      <c r="I7" s="2">
        <f>9758.7515*7+8512.9625*6+7759.1911*4+9379.3102*2</f>
        <v>169184.4203</v>
      </c>
      <c r="J7" s="2">
        <f>J6*8</f>
        <v>364681.27920000005</v>
      </c>
      <c r="K7" s="2">
        <f>K6</f>
        <v>32739.437600000001</v>
      </c>
      <c r="N7" s="2">
        <f>N6*5</f>
        <v>231660.677</v>
      </c>
      <c r="O7" s="2">
        <f>O6*8</f>
        <v>175462.9712</v>
      </c>
      <c r="P7" s="2">
        <f>P6*8</f>
        <v>87264.373600000006</v>
      </c>
      <c r="U7" s="2">
        <f>14952.5207*6+7518.4914*5</f>
        <v>127307.58119999999</v>
      </c>
      <c r="V7" s="2">
        <f>16722.0587*9+18291.439+21729.0653+25186.087</f>
        <v>215705.11960000001</v>
      </c>
      <c r="Y7" s="2">
        <f>6715.6434*3</f>
        <v>20146.930199999999</v>
      </c>
      <c r="Z7" s="2">
        <f>6715.6434*3</f>
        <v>20146.930199999999</v>
      </c>
      <c r="AA7" s="2">
        <f>9064.8795*10</f>
        <v>90648.794999999984</v>
      </c>
      <c r="AB7" s="2">
        <f>12311.8501*7</f>
        <v>86182.950700000001</v>
      </c>
      <c r="AC7" s="2">
        <f>9064.8795*10</f>
        <v>90648.794999999984</v>
      </c>
      <c r="AD7" s="2">
        <v>75582.358800000002</v>
      </c>
      <c r="AE7" s="2">
        <v>19830.134099999999</v>
      </c>
      <c r="AK7" s="17">
        <f>SUM(A7:AI7)-SUM(AA7:AC7)</f>
        <v>2097751.8907000003</v>
      </c>
      <c r="AM7" s="15">
        <f>J7+K7+M7+N7+O7+P7+Q7+R7+W7</f>
        <v>891808.73860000016</v>
      </c>
      <c r="AN7" s="28">
        <f>AK7-AM7</f>
        <v>1205943.1521000001</v>
      </c>
      <c r="AO7" s="16">
        <f>AN7*10%</f>
        <v>120594.31521000002</v>
      </c>
      <c r="AP7" s="33">
        <f>AO7*1.5</f>
        <v>180891.47281500002</v>
      </c>
    </row>
    <row r="8" spans="1:42" s="3" customFormat="1" ht="18.5">
      <c r="A8" s="3" t="s">
        <v>2</v>
      </c>
      <c r="B8" s="3">
        <f>16988.7542*5+19986.7697*4</f>
        <v>164890.8498</v>
      </c>
      <c r="C8" s="3">
        <f>22599.9169*5</f>
        <v>112999.5845</v>
      </c>
      <c r="D8" s="3">
        <f>27186.7402+15433.6439*4</f>
        <v>88921.315799999997</v>
      </c>
      <c r="E8" s="3">
        <f>20977.8614*6</f>
        <v>125867.16840000001</v>
      </c>
      <c r="F8" s="3">
        <f>F6*12</f>
        <v>98277.707999999999</v>
      </c>
      <c r="G8" s="3">
        <f>G6*14</f>
        <v>253576.56659999999</v>
      </c>
      <c r="H8" s="3">
        <f>H6*13</f>
        <v>343749.09789999999</v>
      </c>
      <c r="I8" s="3">
        <f>12763.4768*4+22646.9531*4</f>
        <v>141641.71960000001</v>
      </c>
      <c r="K8" s="3">
        <f>K6*12</f>
        <v>392873.2512</v>
      </c>
      <c r="M8" s="3">
        <f>M6*4</f>
        <v>46266.633999999998</v>
      </c>
      <c r="T8" s="3">
        <f>5110.5301*2+10732.1133*4+13144.8582*4+3934.5563+7887.9985+11548.5767*3</f>
        <v>152197.2311</v>
      </c>
      <c r="Y8" s="3">
        <f>6715.6434*4</f>
        <v>26862.5736</v>
      </c>
      <c r="Z8" s="3">
        <f>6715.6434*4</f>
        <v>26862.5736</v>
      </c>
      <c r="AA8" s="3">
        <f>11007.3536*5+12949.8278*4</f>
        <v>106836.07920000001</v>
      </c>
      <c r="AB8" s="3">
        <f>14950.1037*4+11524.5008*2+12311.8501*4</f>
        <v>132096.8168</v>
      </c>
      <c r="AC8" s="3">
        <f>11007.3536*5+12949.8278*4</f>
        <v>106836.07920000001</v>
      </c>
      <c r="AD8" s="3">
        <v>10933.486999999999</v>
      </c>
      <c r="AE8" s="3">
        <v>9438.5408000000007</v>
      </c>
      <c r="AK8" s="18">
        <f t="shared" ref="AK8:AK17" si="0">SUM(A8:AI8)-SUM(AA8:AC8)</f>
        <v>1995358.3019000005</v>
      </c>
      <c r="AM8" s="15">
        <f t="shared" ref="AM8:AM17" si="1">J8+K8+M8+N8+O8+P8+Q8+R8+W8</f>
        <v>439139.88520000002</v>
      </c>
      <c r="AN8" s="29">
        <f t="shared" ref="AN8:AN17" si="2">AK8-AM8</f>
        <v>1556218.4167000004</v>
      </c>
    </row>
    <row r="9" spans="1:42" s="4" customFormat="1" ht="18.5">
      <c r="A9" s="4" t="s">
        <v>3</v>
      </c>
      <c r="B9" s="4">
        <f>19986.7697*2</f>
        <v>39973.539400000001</v>
      </c>
      <c r="C9" s="4">
        <f>22599.9169*3</f>
        <v>67799.750700000004</v>
      </c>
      <c r="D9" s="5">
        <f>10419.5349*3</f>
        <v>31258.604700000004</v>
      </c>
      <c r="E9" s="5">
        <f>15013.8327*3</f>
        <v>45041.498100000004</v>
      </c>
      <c r="I9" s="4">
        <f>22646.9531+12763.4768</f>
        <v>35410.429900000003</v>
      </c>
      <c r="J9" s="4">
        <f>J6</f>
        <v>45585.159900000006</v>
      </c>
      <c r="K9" s="4">
        <f>K6</f>
        <v>32739.437600000001</v>
      </c>
      <c r="L9" s="4">
        <f>L6*2</f>
        <v>21502.0874</v>
      </c>
      <c r="N9" s="4">
        <f>N6*2</f>
        <v>92664.270799999998</v>
      </c>
      <c r="O9" s="4">
        <f>O6</f>
        <v>21932.8714</v>
      </c>
      <c r="P9" s="4">
        <f>P6</f>
        <v>10908.046700000001</v>
      </c>
      <c r="Q9" s="4">
        <f>Q6</f>
        <v>14112.0113</v>
      </c>
      <c r="T9" s="4">
        <f>21357.4033*2+13144.8582*2</f>
        <v>69004.523000000001</v>
      </c>
      <c r="U9" s="4">
        <f>11685.2545+25511.2177</f>
        <v>37196.472200000004</v>
      </c>
      <c r="V9" s="4">
        <f>16722.0587+25186.087+15496.6228*2</f>
        <v>72901.391300000003</v>
      </c>
      <c r="Y9" s="4">
        <f>6715.6434</f>
        <v>6715.6433999999999</v>
      </c>
      <c r="Z9" s="4">
        <f>6715.6434</f>
        <v>6715.6433999999999</v>
      </c>
      <c r="AA9" s="4">
        <f>12949.8278*2</f>
        <v>25899.655599999998</v>
      </c>
      <c r="AB9" s="4">
        <f>12311.8501*2</f>
        <v>24623.700199999999</v>
      </c>
      <c r="AC9" s="4">
        <f>12949.8278*2</f>
        <v>25899.655599999998</v>
      </c>
      <c r="AD9" s="4">
        <v>74194.093900000007</v>
      </c>
      <c r="AE9" s="4">
        <v>38298.002699999997</v>
      </c>
      <c r="AF9" s="4">
        <f>11089.2886*3</f>
        <v>33267.8658</v>
      </c>
      <c r="AG9" s="4">
        <v>24332.021800000002</v>
      </c>
      <c r="AH9" s="4">
        <v>3701.5216</v>
      </c>
      <c r="AI9" s="4">
        <v>26544.332699999999</v>
      </c>
      <c r="AK9" s="19">
        <f t="shared" si="0"/>
        <v>851799.2196999999</v>
      </c>
      <c r="AM9" s="15">
        <f t="shared" si="1"/>
        <v>217941.79770000002</v>
      </c>
      <c r="AN9" s="30">
        <f t="shared" si="2"/>
        <v>633857.4219999999</v>
      </c>
    </row>
    <row r="10" spans="1:42" ht="18.5">
      <c r="A10" t="s">
        <v>15</v>
      </c>
      <c r="F10">
        <f>2980.5264*2</f>
        <v>5961.0528000000004</v>
      </c>
      <c r="V10" t="s">
        <v>38</v>
      </c>
      <c r="AK10" s="18">
        <f t="shared" si="0"/>
        <v>5961.0528000000004</v>
      </c>
      <c r="AM10" s="15">
        <f t="shared" si="1"/>
        <v>0</v>
      </c>
      <c r="AN10" s="29">
        <f t="shared" si="2"/>
        <v>5961.0528000000004</v>
      </c>
    </row>
    <row r="11" spans="1:42" ht="18.5">
      <c r="A11" t="s">
        <v>16</v>
      </c>
      <c r="J11">
        <v>26202.886699999999</v>
      </c>
      <c r="AK11" s="17">
        <f t="shared" si="0"/>
        <v>26202.886699999999</v>
      </c>
      <c r="AM11" s="15">
        <f t="shared" si="1"/>
        <v>26202.886699999999</v>
      </c>
      <c r="AN11" s="16">
        <f t="shared" si="2"/>
        <v>0</v>
      </c>
    </row>
    <row r="12" spans="1:42" ht="18.5">
      <c r="A12" t="s">
        <v>17</v>
      </c>
      <c r="J12">
        <v>26202.886699999999</v>
      </c>
      <c r="AK12" s="19">
        <f t="shared" si="0"/>
        <v>26202.886699999999</v>
      </c>
      <c r="AM12" s="15">
        <f t="shared" si="1"/>
        <v>26202.886699999999</v>
      </c>
      <c r="AN12" s="16">
        <f t="shared" si="2"/>
        <v>0</v>
      </c>
    </row>
    <row r="13" spans="1:42" s="6" customFormat="1" ht="18.5">
      <c r="A13" s="6" t="s">
        <v>18</v>
      </c>
      <c r="L13" s="6">
        <f>L6*13</f>
        <v>139763.5681</v>
      </c>
      <c r="Q13" s="6">
        <f>Q6*8</f>
        <v>112896.0904</v>
      </c>
      <c r="R13" s="6">
        <f>R6*3</f>
        <v>34158.8511</v>
      </c>
      <c r="U13" s="6">
        <f>25511.2177*5+12412.5744*3+11685.2545*5</f>
        <v>223220.08420000001</v>
      </c>
      <c r="AK13" s="20">
        <f t="shared" si="0"/>
        <v>510038.59380000003</v>
      </c>
      <c r="AM13" s="15">
        <f t="shared" si="1"/>
        <v>147054.94150000002</v>
      </c>
      <c r="AN13" s="31">
        <f t="shared" si="2"/>
        <v>362983.65230000002</v>
      </c>
    </row>
    <row r="14" spans="1:42" s="7" customFormat="1" ht="18.5">
      <c r="A14" s="7" t="s">
        <v>19</v>
      </c>
      <c r="N14" s="7">
        <f>26779.7431*4</f>
        <v>107118.9724</v>
      </c>
      <c r="AK14" s="37">
        <f t="shared" si="0"/>
        <v>107118.9724</v>
      </c>
      <c r="AM14" s="15">
        <f t="shared" si="1"/>
        <v>107118.9724</v>
      </c>
      <c r="AN14" s="16">
        <f t="shared" si="2"/>
        <v>0</v>
      </c>
    </row>
    <row r="15" spans="1:42" s="8" customFormat="1" ht="18.5">
      <c r="A15" s="8" t="s">
        <v>36</v>
      </c>
      <c r="S15" s="8">
        <f>S6*4</f>
        <v>42622.263599999998</v>
      </c>
      <c r="AK15" s="26">
        <f t="shared" si="0"/>
        <v>42622.263599999998</v>
      </c>
      <c r="AM15" s="15">
        <f t="shared" si="1"/>
        <v>0</v>
      </c>
      <c r="AN15" s="27">
        <f t="shared" si="2"/>
        <v>42622.263599999998</v>
      </c>
    </row>
    <row r="16" spans="1:42" ht="18.5">
      <c r="A16" t="s">
        <v>35</v>
      </c>
      <c r="X16">
        <f>42865*2+15717</f>
        <v>101447</v>
      </c>
      <c r="AK16" s="26">
        <f t="shared" si="0"/>
        <v>101447</v>
      </c>
      <c r="AM16" s="15">
        <f t="shared" si="1"/>
        <v>0</v>
      </c>
      <c r="AN16" s="27">
        <f t="shared" si="2"/>
        <v>101447</v>
      </c>
    </row>
    <row r="17" spans="1:44" s="9" customFormat="1" ht="18.5">
      <c r="A17" s="9" t="s">
        <v>37</v>
      </c>
      <c r="W17" s="9">
        <v>158000</v>
      </c>
      <c r="AK17" s="26">
        <f t="shared" si="0"/>
        <v>158000</v>
      </c>
      <c r="AM17" s="15">
        <f t="shared" si="1"/>
        <v>158000</v>
      </c>
      <c r="AN17" s="16">
        <f t="shared" si="2"/>
        <v>0</v>
      </c>
    </row>
    <row r="22" spans="1:44">
      <c r="F22" s="1"/>
      <c r="G22" t="s">
        <v>23</v>
      </c>
      <c r="U22" s="11" t="s">
        <v>44</v>
      </c>
      <c r="V22" s="11"/>
      <c r="AK22" s="14" t="s">
        <v>78</v>
      </c>
      <c r="AO22" t="s">
        <v>82</v>
      </c>
      <c r="AQ22" t="s">
        <v>85</v>
      </c>
    </row>
    <row r="23" spans="1:44">
      <c r="U23" s="10" t="s">
        <v>45</v>
      </c>
      <c r="AK23" s="21" t="s">
        <v>76</v>
      </c>
      <c r="AO23" t="s">
        <v>83</v>
      </c>
      <c r="AP23">
        <v>32739.437600000001</v>
      </c>
      <c r="AQ23">
        <f>AP23</f>
        <v>32739.437600000001</v>
      </c>
      <c r="AR23" t="s">
        <v>85</v>
      </c>
    </row>
    <row r="24" spans="1:44">
      <c r="F24" s="35" t="s">
        <v>87</v>
      </c>
      <c r="W24" t="s">
        <v>53</v>
      </c>
      <c r="X24" t="s">
        <v>47</v>
      </c>
      <c r="Y24" t="s">
        <v>48</v>
      </c>
      <c r="Z24" t="s">
        <v>49</v>
      </c>
      <c r="AA24" t="s">
        <v>55</v>
      </c>
      <c r="AK24" s="22" t="s">
        <v>58</v>
      </c>
      <c r="AO24" t="s">
        <v>84</v>
      </c>
      <c r="AP24">
        <v>20009.750599999999</v>
      </c>
    </row>
    <row r="25" spans="1:44">
      <c r="V25" t="s">
        <v>46</v>
      </c>
      <c r="W25">
        <v>25512.857199999999</v>
      </c>
      <c r="X25">
        <v>32995.092600000004</v>
      </c>
      <c r="Y25">
        <v>17074.409</v>
      </c>
      <c r="AA25">
        <f>SUM(W25:Z25)</f>
        <v>75582.358800000002</v>
      </c>
      <c r="AK25" s="23" t="s">
        <v>77</v>
      </c>
      <c r="AP25">
        <v>10659.263999999999</v>
      </c>
    </row>
    <row r="26" spans="1:44">
      <c r="V26" t="s">
        <v>50</v>
      </c>
      <c r="Y26">
        <v>23290.124500000002</v>
      </c>
      <c r="Z26">
        <v>50903.969400000002</v>
      </c>
      <c r="AA26">
        <f>SUM(W26:Z26)</f>
        <v>74194.093900000007</v>
      </c>
      <c r="AK26" s="24" t="s">
        <v>57</v>
      </c>
      <c r="AP26">
        <v>15663.120800000001</v>
      </c>
      <c r="AQ26">
        <f>SUM(AP24:AP26)</f>
        <v>46332.135399999999</v>
      </c>
      <c r="AR26" t="s">
        <v>86</v>
      </c>
    </row>
    <row r="27" spans="1:44">
      <c r="V27" t="s">
        <v>51</v>
      </c>
      <c r="W27">
        <f>5466.7435</f>
        <v>5466.7434999999996</v>
      </c>
      <c r="X27">
        <f>5466.7435</f>
        <v>5466.7434999999996</v>
      </c>
      <c r="AA27">
        <f>SUM(W27:Z27)</f>
        <v>10933.486999999999</v>
      </c>
      <c r="AK27" s="25" t="s">
        <v>79</v>
      </c>
      <c r="AP27" s="14"/>
    </row>
    <row r="29" spans="1:44">
      <c r="U29" s="10" t="s">
        <v>52</v>
      </c>
      <c r="W29" t="s">
        <v>53</v>
      </c>
      <c r="X29" t="s">
        <v>54</v>
      </c>
      <c r="Y29" t="s">
        <v>48</v>
      </c>
      <c r="Z29" t="s">
        <v>49</v>
      </c>
      <c r="AP29" s="34"/>
    </row>
    <row r="30" spans="1:44">
      <c r="V30" t="s">
        <v>56</v>
      </c>
      <c r="W30">
        <f>1771.9598+2154.758+2614.4004</f>
        <v>6541.1181999999999</v>
      </c>
      <c r="X30">
        <v>13289.0159</v>
      </c>
      <c r="AA30">
        <f>SUM(W30:Z30)</f>
        <v>19830.134099999999</v>
      </c>
    </row>
    <row r="31" spans="1:44">
      <c r="V31" t="s">
        <v>57</v>
      </c>
      <c r="Y31">
        <f>4719.2704+13289.0159</f>
        <v>18008.2863</v>
      </c>
      <c r="Z31">
        <f>16898.97+3390.7464</f>
        <v>20289.716400000001</v>
      </c>
      <c r="AA31">
        <f>SUM(W31:Z31)</f>
        <v>38298.002699999997</v>
      </c>
    </row>
    <row r="32" spans="1:44">
      <c r="V32" t="s">
        <v>58</v>
      </c>
      <c r="W32">
        <v>4719.2704000000003</v>
      </c>
      <c r="X32">
        <v>4719.2704000000003</v>
      </c>
      <c r="AA32">
        <f>SUM(W32:Z32)</f>
        <v>9438.5408000000007</v>
      </c>
    </row>
    <row r="34" spans="21:27">
      <c r="U34" s="10" t="s">
        <v>62</v>
      </c>
    </row>
    <row r="35" spans="21:27">
      <c r="V35" t="s">
        <v>63</v>
      </c>
      <c r="W35" t="s">
        <v>53</v>
      </c>
      <c r="X35" t="s">
        <v>47</v>
      </c>
      <c r="Y35" t="s">
        <v>48</v>
      </c>
      <c r="Z35" t="s">
        <v>49</v>
      </c>
    </row>
    <row r="36" spans="21:27">
      <c r="X36">
        <v>2480.8870999999999</v>
      </c>
      <c r="Y36">
        <v>9496.4673000000003</v>
      </c>
      <c r="Z36">
        <f>10137.2572+1108.7051*2</f>
        <v>12354.6674</v>
      </c>
      <c r="AA36">
        <f>SUM(W36:Z36)</f>
        <v>24332.021800000002</v>
      </c>
    </row>
    <row r="38" spans="21:27">
      <c r="U38" s="10" t="s">
        <v>64</v>
      </c>
      <c r="V38" t="s">
        <v>63</v>
      </c>
      <c r="AA38">
        <v>3701.5216</v>
      </c>
    </row>
    <row r="40" spans="21:27">
      <c r="U40" s="10" t="s">
        <v>66</v>
      </c>
      <c r="V40" t="s">
        <v>63</v>
      </c>
      <c r="W40" t="s">
        <v>53</v>
      </c>
      <c r="X40" t="s">
        <v>47</v>
      </c>
      <c r="Y40" t="s">
        <v>48</v>
      </c>
      <c r="Z40" t="s">
        <v>49</v>
      </c>
    </row>
    <row r="41" spans="21:27">
      <c r="Y41">
        <f>3998.818+1135.3989</f>
        <v>5134.2169000000004</v>
      </c>
      <c r="Z41">
        <v>21410.1158</v>
      </c>
      <c r="AA41">
        <f>SUM(W41:Z41)</f>
        <v>26544.332699999999</v>
      </c>
    </row>
    <row r="43" spans="21:27">
      <c r="U43" s="10" t="s">
        <v>67</v>
      </c>
      <c r="V43" t="s">
        <v>68</v>
      </c>
    </row>
    <row r="44" spans="21:27">
      <c r="U44" s="10" t="s">
        <v>69</v>
      </c>
      <c r="V44" t="s">
        <v>70</v>
      </c>
    </row>
    <row r="46" spans="21:27">
      <c r="U46" s="12" t="s">
        <v>71</v>
      </c>
      <c r="V46" t="s">
        <v>72</v>
      </c>
    </row>
  </sheetData>
  <phoneticPr fontId="1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81F1A-85BA-4D44-9B47-AB0B243DFAEA}">
  <sheetPr>
    <tabColor rgb="FFFF0000"/>
  </sheetPr>
  <dimension ref="B4:AD93"/>
  <sheetViews>
    <sheetView showGridLines="0" topLeftCell="H43" zoomScale="48" zoomScaleNormal="48" zoomScaleSheetLayoutView="70" workbookViewId="0">
      <selection activeCell="H53" sqref="H53"/>
    </sheetView>
  </sheetViews>
  <sheetFormatPr defaultRowHeight="11.5"/>
  <cols>
    <col min="1" max="1" width="8.7265625" style="414"/>
    <col min="2" max="2" width="22.90625" style="414" customWidth="1"/>
    <col min="3" max="8" width="17.453125" style="414" customWidth="1"/>
    <col min="9" max="9" width="8.7265625" style="414"/>
    <col min="10" max="15" width="17.90625" style="414" customWidth="1"/>
    <col min="16" max="17" width="13.26953125" style="414" customWidth="1"/>
    <col min="18" max="18" width="24.81640625" style="414" bestFit="1" customWidth="1"/>
    <col min="19" max="25" width="13.26953125" style="414" customWidth="1"/>
    <col min="26" max="26" width="3.08984375" style="414" customWidth="1"/>
    <col min="27" max="27" width="17.36328125" style="414" customWidth="1"/>
    <col min="28" max="28" width="17" style="414" bestFit="1" customWidth="1"/>
    <col min="29" max="29" width="15.81640625" style="414" bestFit="1" customWidth="1"/>
    <col min="30" max="30" width="18.36328125" style="414" bestFit="1" customWidth="1"/>
    <col min="31" max="31" width="8.7265625" style="414"/>
    <col min="32" max="32" width="24.6328125" style="414" bestFit="1" customWidth="1"/>
    <col min="33" max="33" width="12.36328125" style="414" customWidth="1"/>
    <col min="34" max="34" width="8.7265625" style="414"/>
    <col min="35" max="35" width="12.26953125" style="414" customWidth="1"/>
    <col min="36" max="16384" width="8.7265625" style="414"/>
  </cols>
  <sheetData>
    <row r="4" spans="2:30" ht="12" thickBot="1">
      <c r="B4" s="412" t="s">
        <v>114</v>
      </c>
      <c r="C4" s="413"/>
      <c r="D4" s="413"/>
      <c r="E4" s="413"/>
      <c r="F4" s="413"/>
      <c r="G4" s="413"/>
      <c r="H4" s="413"/>
      <c r="U4" s="415"/>
      <c r="V4" s="415"/>
      <c r="Y4" s="416" t="s">
        <v>192</v>
      </c>
    </row>
    <row r="5" spans="2:30" ht="12" thickBot="1">
      <c r="D5" s="417"/>
      <c r="E5" s="417"/>
      <c r="F5" s="417"/>
      <c r="G5" s="417"/>
      <c r="H5" s="417"/>
      <c r="K5" s="418" t="s">
        <v>151</v>
      </c>
      <c r="L5" s="419"/>
      <c r="M5" s="419"/>
      <c r="N5" s="420" t="s">
        <v>150</v>
      </c>
      <c r="O5" s="421"/>
      <c r="P5" s="422"/>
      <c r="Q5" s="423" t="s">
        <v>161</v>
      </c>
      <c r="R5" s="423"/>
      <c r="S5" s="419"/>
      <c r="T5" s="418"/>
      <c r="U5" s="418" t="s">
        <v>174</v>
      </c>
      <c r="V5" s="424"/>
      <c r="W5" s="418" t="s">
        <v>422</v>
      </c>
      <c r="X5" s="425"/>
      <c r="Y5" s="426"/>
      <c r="Z5" s="427"/>
      <c r="AA5" s="904" t="s">
        <v>407</v>
      </c>
      <c r="AB5" s="904"/>
      <c r="AC5" s="904"/>
      <c r="AD5" s="904"/>
    </row>
    <row r="6" spans="2:30" s="428" customFormat="1" ht="23">
      <c r="C6" s="429" t="s">
        <v>91</v>
      </c>
      <c r="D6" s="429" t="s">
        <v>829</v>
      </c>
      <c r="E6" s="429" t="s">
        <v>92</v>
      </c>
      <c r="J6" s="430" t="s">
        <v>116</v>
      </c>
      <c r="K6" s="431" t="s">
        <v>152</v>
      </c>
      <c r="L6" s="432" t="s">
        <v>154</v>
      </c>
      <c r="M6" s="432" t="s">
        <v>153</v>
      </c>
      <c r="N6" s="431" t="s">
        <v>183</v>
      </c>
      <c r="O6" s="432" t="s">
        <v>193</v>
      </c>
      <c r="P6" s="433" t="s">
        <v>216</v>
      </c>
      <c r="Q6" s="434" t="s">
        <v>168</v>
      </c>
      <c r="R6" s="434" t="s">
        <v>688</v>
      </c>
      <c r="S6" s="435" t="s">
        <v>184</v>
      </c>
      <c r="T6" s="436" t="s">
        <v>190</v>
      </c>
      <c r="U6" s="436" t="s">
        <v>188</v>
      </c>
      <c r="V6" s="435" t="s">
        <v>189</v>
      </c>
      <c r="W6" s="436" t="s">
        <v>158</v>
      </c>
      <c r="X6" s="434" t="s">
        <v>159</v>
      </c>
      <c r="Y6" s="435" t="s">
        <v>170</v>
      </c>
      <c r="Z6" s="437"/>
      <c r="AA6" s="438" t="s">
        <v>328</v>
      </c>
      <c r="AB6" s="439" t="s">
        <v>404</v>
      </c>
      <c r="AC6" s="439" t="s">
        <v>405</v>
      </c>
      <c r="AD6" s="440" t="s">
        <v>406</v>
      </c>
    </row>
    <row r="7" spans="2:30">
      <c r="B7" s="441" t="s">
        <v>207</v>
      </c>
      <c r="C7" s="441" t="s">
        <v>94</v>
      </c>
      <c r="D7" s="441" t="s">
        <v>94</v>
      </c>
      <c r="E7" s="441" t="s">
        <v>94</v>
      </c>
      <c r="J7" s="442" t="s">
        <v>164</v>
      </c>
      <c r="K7" s="443">
        <v>2</v>
      </c>
      <c r="L7" s="444">
        <f t="shared" ref="L7:L12" si="0">(1-M7)/K7</f>
        <v>0.47499999999999998</v>
      </c>
      <c r="M7" s="445">
        <v>0.05</v>
      </c>
      <c r="N7" s="446" t="s">
        <v>101</v>
      </c>
      <c r="O7" s="447">
        <v>6</v>
      </c>
      <c r="P7" s="448"/>
      <c r="Q7" s="449">
        <v>0.25</v>
      </c>
      <c r="R7" s="449"/>
      <c r="S7" s="450">
        <v>2.5000000000000001E-2</v>
      </c>
      <c r="T7" s="451">
        <v>0.1</v>
      </c>
      <c r="U7" s="452">
        <v>7.0000000000000007E-2</v>
      </c>
      <c r="V7" s="453">
        <v>6.25E-2</v>
      </c>
      <c r="W7" s="454">
        <v>100</v>
      </c>
      <c r="X7" s="455">
        <v>100</v>
      </c>
      <c r="Y7" s="456">
        <v>135</v>
      </c>
      <c r="Z7" s="457"/>
      <c r="AA7" s="458">
        <f>INDEX(summary!$A$2:$AD$24,MATCH('cockpit (4)'!$J7,summary!$A$2:$A$24,0),MATCH('cockpit (4)'!AA$6,summary!$A$2:$AD$2,0))</f>
        <v>0.21837664899234419</v>
      </c>
      <c r="AB7" s="459">
        <f t="shared" ref="AB7:AB15" si="1">AA7*totalsf</f>
        <v>1046050.0763799998</v>
      </c>
      <c r="AC7" s="460">
        <f t="shared" ref="AC7:AC15" si="2">AB7/$AB$17</f>
        <v>0.22427943920248417</v>
      </c>
      <c r="AD7" s="461">
        <f t="shared" ref="AD7:AD15" si="3">V7*AC7</f>
        <v>1.401746495015526E-2</v>
      </c>
    </row>
    <row r="8" spans="2:30">
      <c r="B8" s="462">
        <v>0</v>
      </c>
      <c r="C8" s="463">
        <v>450</v>
      </c>
      <c r="D8" s="463" t="s">
        <v>211</v>
      </c>
      <c r="E8" s="463">
        <v>450</v>
      </c>
      <c r="J8" s="442" t="s">
        <v>140</v>
      </c>
      <c r="K8" s="443">
        <v>1</v>
      </c>
      <c r="L8" s="444">
        <f t="shared" si="0"/>
        <v>0.98</v>
      </c>
      <c r="M8" s="445">
        <v>0.02</v>
      </c>
      <c r="N8" s="446" t="s">
        <v>101</v>
      </c>
      <c r="O8" s="447">
        <v>6</v>
      </c>
      <c r="P8" s="448"/>
      <c r="Q8" s="449">
        <v>0.05</v>
      </c>
      <c r="R8" s="449"/>
      <c r="S8" s="450">
        <v>0</v>
      </c>
      <c r="T8" s="451">
        <v>0.1</v>
      </c>
      <c r="U8" s="452">
        <v>7.0000000000000007E-2</v>
      </c>
      <c r="V8" s="453">
        <v>6.5000000000000002E-2</v>
      </c>
      <c r="W8" s="454">
        <v>100</v>
      </c>
      <c r="X8" s="455">
        <v>100</v>
      </c>
      <c r="Y8" s="456">
        <v>135</v>
      </c>
      <c r="Z8" s="457"/>
      <c r="AA8" s="458">
        <f>INDEX(summary!$A$2:$AD$24,MATCH('cockpit (4)'!$J8,summary!$A$2:$A$24,0),MATCH('cockpit (4)'!AA$6,summary!$A$2:$AD$2,0))</f>
        <v>6.4240902159218224E-2</v>
      </c>
      <c r="AB8" s="459">
        <f t="shared" si="1"/>
        <v>307721.54862000002</v>
      </c>
      <c r="AC8" s="460">
        <f t="shared" si="2"/>
        <v>6.597735415674516E-2</v>
      </c>
      <c r="AD8" s="461">
        <f t="shared" si="3"/>
        <v>4.2885280201884358E-3</v>
      </c>
    </row>
    <row r="9" spans="2:30">
      <c r="B9" s="462">
        <v>1</v>
      </c>
      <c r="C9" s="463">
        <v>650</v>
      </c>
      <c r="D9" s="463" t="s">
        <v>211</v>
      </c>
      <c r="E9" s="463">
        <v>650</v>
      </c>
      <c r="J9" s="442" t="s">
        <v>156</v>
      </c>
      <c r="K9" s="443">
        <v>2</v>
      </c>
      <c r="L9" s="444">
        <f t="shared" si="0"/>
        <v>0.5</v>
      </c>
      <c r="M9" s="445">
        <v>0</v>
      </c>
      <c r="N9" s="464"/>
      <c r="P9" s="465"/>
      <c r="Q9" s="449">
        <v>0</v>
      </c>
      <c r="R9" s="449"/>
      <c r="S9" s="450">
        <v>0</v>
      </c>
      <c r="T9" s="451">
        <v>0.1</v>
      </c>
      <c r="U9" s="452">
        <v>0</v>
      </c>
      <c r="V9" s="453">
        <v>6.25E-2</v>
      </c>
      <c r="W9" s="454">
        <v>100</v>
      </c>
      <c r="X9" s="455">
        <v>100</v>
      </c>
      <c r="Y9" s="456">
        <v>165</v>
      </c>
      <c r="Z9" s="457"/>
      <c r="AA9" s="458">
        <f>INDEX(summary!$A$2:$AD$24,MATCH('cockpit (4)'!$J9,summary!$A$2:$A$24,0),MATCH('cockpit (4)'!AA$6,summary!$A$2:$AD$2,0))</f>
        <v>0.1288926101400048</v>
      </c>
      <c r="AB9" s="459">
        <f t="shared" si="1"/>
        <v>617410.90590000013</v>
      </c>
      <c r="AC9" s="460">
        <f t="shared" si="2"/>
        <v>0.13237661834694678</v>
      </c>
      <c r="AD9" s="461">
        <f t="shared" si="3"/>
        <v>8.2735386466841736E-3</v>
      </c>
    </row>
    <row r="10" spans="2:30">
      <c r="B10" s="462">
        <v>2</v>
      </c>
      <c r="C10" s="463">
        <v>1000</v>
      </c>
      <c r="D10" s="463">
        <v>1000</v>
      </c>
      <c r="E10" s="463">
        <v>1000</v>
      </c>
      <c r="J10" s="442" t="s">
        <v>109</v>
      </c>
      <c r="K10" s="443">
        <v>3</v>
      </c>
      <c r="L10" s="444">
        <f>(1-M10)/K10</f>
        <v>0.3</v>
      </c>
      <c r="M10" s="445">
        <v>0.1</v>
      </c>
      <c r="N10" s="446" t="s">
        <v>101</v>
      </c>
      <c r="O10" s="447">
        <v>10</v>
      </c>
      <c r="P10" s="466" t="s">
        <v>223</v>
      </c>
      <c r="Q10" s="449">
        <v>0.05</v>
      </c>
      <c r="R10" s="449">
        <v>50</v>
      </c>
      <c r="S10" s="450">
        <v>1</v>
      </c>
      <c r="T10" s="451">
        <v>0</v>
      </c>
      <c r="U10" s="452">
        <v>7.0000000000000007E-2</v>
      </c>
      <c r="V10" s="453">
        <v>7.4999999999999997E-2</v>
      </c>
      <c r="W10" s="454">
        <v>100</v>
      </c>
      <c r="X10" s="455">
        <v>100</v>
      </c>
      <c r="Y10" s="456">
        <v>135</v>
      </c>
      <c r="Z10" s="457"/>
      <c r="AA10" s="458">
        <f>INDEX(summary!$A$2:$AD$24,MATCH('cockpit (4)'!$J10,summary!$A$2:$A$24,0),MATCH('cockpit (4)'!AA$6,summary!$A$2:$AD$2,0))</f>
        <v>0.27536453644808828</v>
      </c>
      <c r="AB10" s="459">
        <f t="shared" si="1"/>
        <v>1319028.8234250001</v>
      </c>
      <c r="AC10" s="460">
        <f t="shared" si="2"/>
        <v>0.28280772736371818</v>
      </c>
      <c r="AD10" s="461">
        <f t="shared" si="3"/>
        <v>2.1210579552278862E-2</v>
      </c>
    </row>
    <row r="11" spans="2:30">
      <c r="B11" s="462">
        <v>3</v>
      </c>
      <c r="C11" s="463">
        <v>1200</v>
      </c>
      <c r="D11" s="463">
        <v>1200</v>
      </c>
      <c r="E11" s="463">
        <v>1200</v>
      </c>
      <c r="J11" s="442" t="s">
        <v>141</v>
      </c>
      <c r="K11" s="443">
        <v>2</v>
      </c>
      <c r="L11" s="444">
        <f t="shared" si="0"/>
        <v>0.47499999999999998</v>
      </c>
      <c r="M11" s="445">
        <v>0.05</v>
      </c>
      <c r="N11" s="446" t="s">
        <v>101</v>
      </c>
      <c r="O11" s="447">
        <v>11</v>
      </c>
      <c r="P11" s="466" t="s">
        <v>223</v>
      </c>
      <c r="Q11" s="449">
        <v>0.05</v>
      </c>
      <c r="R11" s="449">
        <v>60</v>
      </c>
      <c r="S11" s="450">
        <v>1</v>
      </c>
      <c r="T11" s="451">
        <v>0</v>
      </c>
      <c r="U11" s="452">
        <v>7.0000000000000007E-2</v>
      </c>
      <c r="V11" s="453">
        <v>7.4999999999999997E-2</v>
      </c>
      <c r="W11" s="454">
        <v>100</v>
      </c>
      <c r="X11" s="455">
        <v>100</v>
      </c>
      <c r="Y11" s="456">
        <v>135</v>
      </c>
      <c r="Z11" s="457"/>
      <c r="AA11" s="458">
        <f>INDEX(summary!$A$2:$AD$24,MATCH('cockpit (4)'!$J11,summary!$A$2:$A$24,0),MATCH('cockpit (4)'!AA$6,summary!$A$2:$AD$2,0))</f>
        <v>5.4679551066842913E-2</v>
      </c>
      <c r="AB11" s="459">
        <f t="shared" si="1"/>
        <v>261921.54167500001</v>
      </c>
      <c r="AC11" s="460">
        <f t="shared" si="2"/>
        <v>5.6157556706280698E-2</v>
      </c>
      <c r="AD11" s="461">
        <f t="shared" si="3"/>
        <v>4.211816752971052E-3</v>
      </c>
    </row>
    <row r="12" spans="2:30">
      <c r="B12" s="462"/>
      <c r="C12" s="441" t="s">
        <v>106</v>
      </c>
      <c r="D12" s="441" t="s">
        <v>106</v>
      </c>
      <c r="E12" s="441" t="s">
        <v>106</v>
      </c>
      <c r="J12" s="442" t="s">
        <v>144</v>
      </c>
      <c r="K12" s="443">
        <v>1</v>
      </c>
      <c r="L12" s="444">
        <f t="shared" si="0"/>
        <v>0.65</v>
      </c>
      <c r="M12" s="445">
        <v>0.35</v>
      </c>
      <c r="N12" s="446" t="s">
        <v>124</v>
      </c>
      <c r="O12" s="445">
        <v>0.35</v>
      </c>
      <c r="P12" s="467"/>
      <c r="Q12" s="449">
        <v>0.05</v>
      </c>
      <c r="R12" s="449"/>
      <c r="S12" s="450">
        <v>0</v>
      </c>
      <c r="T12" s="451">
        <v>0.25</v>
      </c>
      <c r="U12" s="452">
        <v>7.0000000000000007E-2</v>
      </c>
      <c r="V12" s="453">
        <v>0.08</v>
      </c>
      <c r="W12" s="454">
        <v>100</v>
      </c>
      <c r="X12" s="455">
        <v>100</v>
      </c>
      <c r="Y12" s="456">
        <v>225</v>
      </c>
      <c r="Z12" s="457"/>
      <c r="AA12" s="458">
        <f>INDEX(summary!$A$2:$AD$24,MATCH('cockpit (4)'!$J12,summary!$A$2:$A$24,0),MATCH('cockpit (4)'!AA$6,summary!$A$2:$AD$2,0))</f>
        <v>7.0646817860703176E-2</v>
      </c>
      <c r="AB12" s="459">
        <f t="shared" si="1"/>
        <v>338406.64540000004</v>
      </c>
      <c r="AC12" s="460">
        <f t="shared" si="2"/>
        <v>7.2556423795082731E-2</v>
      </c>
      <c r="AD12" s="461">
        <f t="shared" si="3"/>
        <v>5.8045139036066182E-3</v>
      </c>
    </row>
    <row r="13" spans="2:30">
      <c r="B13" s="462">
        <v>0</v>
      </c>
      <c r="C13" s="463">
        <v>1000</v>
      </c>
      <c r="D13" s="463"/>
      <c r="E13" s="463">
        <v>1000</v>
      </c>
      <c r="J13" s="442" t="s">
        <v>146</v>
      </c>
      <c r="K13" s="464"/>
      <c r="L13" s="444"/>
      <c r="M13" s="445"/>
      <c r="N13" s="446" t="s">
        <v>124</v>
      </c>
      <c r="O13" s="468">
        <v>0.05</v>
      </c>
      <c r="P13" s="469"/>
      <c r="Q13" s="449">
        <v>0.05</v>
      </c>
      <c r="R13" s="449"/>
      <c r="S13" s="450">
        <v>0</v>
      </c>
      <c r="T13" s="451">
        <v>0</v>
      </c>
      <c r="U13" s="452">
        <v>7.0000000000000007E-2</v>
      </c>
      <c r="V13" s="453">
        <v>0.08</v>
      </c>
      <c r="W13" s="454">
        <v>100</v>
      </c>
      <c r="X13" s="455">
        <v>100</v>
      </c>
      <c r="Y13" s="456"/>
      <c r="Z13" s="457"/>
      <c r="AA13" s="458"/>
      <c r="AB13" s="459">
        <f t="shared" si="1"/>
        <v>0</v>
      </c>
      <c r="AC13" s="460">
        <f t="shared" si="2"/>
        <v>0</v>
      </c>
      <c r="AD13" s="461">
        <f t="shared" si="3"/>
        <v>0</v>
      </c>
    </row>
    <row r="14" spans="2:30">
      <c r="B14" s="462">
        <v>1</v>
      </c>
      <c r="C14" s="463">
        <v>1250</v>
      </c>
      <c r="D14" s="463"/>
      <c r="E14" s="463">
        <v>1500</v>
      </c>
      <c r="J14" s="442" t="s">
        <v>147</v>
      </c>
      <c r="K14" s="464"/>
      <c r="L14" s="444"/>
      <c r="M14" s="445"/>
      <c r="N14" s="446" t="s">
        <v>124</v>
      </c>
      <c r="O14" s="468">
        <v>0.05</v>
      </c>
      <c r="P14" s="469"/>
      <c r="Q14" s="449">
        <v>0.05</v>
      </c>
      <c r="R14" s="449"/>
      <c r="S14" s="450">
        <v>0</v>
      </c>
      <c r="T14" s="451">
        <v>0</v>
      </c>
      <c r="U14" s="452">
        <v>7.0000000000000007E-2</v>
      </c>
      <c r="V14" s="453">
        <v>0.08</v>
      </c>
      <c r="W14" s="454">
        <v>100</v>
      </c>
      <c r="X14" s="455">
        <v>100</v>
      </c>
      <c r="Y14" s="456"/>
      <c r="Z14" s="457"/>
      <c r="AA14" s="458"/>
      <c r="AB14" s="459">
        <f t="shared" si="1"/>
        <v>0</v>
      </c>
      <c r="AC14" s="460">
        <f t="shared" si="2"/>
        <v>0</v>
      </c>
      <c r="AD14" s="461">
        <f t="shared" si="3"/>
        <v>0</v>
      </c>
    </row>
    <row r="15" spans="2:30">
      <c r="B15" s="462">
        <v>2</v>
      </c>
      <c r="C15" s="463">
        <v>2000</v>
      </c>
      <c r="D15" s="470">
        <f>G88</f>
        <v>1393.3333333333333</v>
      </c>
      <c r="E15" s="463">
        <v>2000</v>
      </c>
      <c r="J15" s="442" t="s">
        <v>130</v>
      </c>
      <c r="K15" s="443">
        <v>2</v>
      </c>
      <c r="L15" s="444">
        <f>(1-M15)/K15</f>
        <v>0.47499999999999998</v>
      </c>
      <c r="M15" s="445">
        <v>0.05</v>
      </c>
      <c r="N15" s="446" t="s">
        <v>124</v>
      </c>
      <c r="O15" s="445">
        <v>0.25</v>
      </c>
      <c r="P15" s="467"/>
      <c r="Q15" s="449">
        <v>2.5000000000000001E-2</v>
      </c>
      <c r="R15" s="449"/>
      <c r="S15" s="450">
        <v>0</v>
      </c>
      <c r="T15" s="451">
        <v>0.4</v>
      </c>
      <c r="U15" s="452">
        <v>0.09</v>
      </c>
      <c r="V15" s="453">
        <v>0.09</v>
      </c>
      <c r="W15" s="454">
        <v>100</v>
      </c>
      <c r="X15" s="455">
        <v>100</v>
      </c>
      <c r="Y15" s="456">
        <v>70</v>
      </c>
      <c r="Z15" s="457"/>
      <c r="AA15" s="458">
        <f>INDEX(summary!$A$2:$AD$24,MATCH('cockpit (4)'!$J15,summary!$A$2:$A$24,0),MATCH('cockpit (4)'!AA$6,summary!$A$2:$AD$2,0))</f>
        <v>0.16148002406884726</v>
      </c>
      <c r="AB15" s="459">
        <f t="shared" si="1"/>
        <v>773508.48770000006</v>
      </c>
      <c r="AC15" s="460">
        <f t="shared" si="2"/>
        <v>0.16584488042874213</v>
      </c>
      <c r="AD15" s="461">
        <f t="shared" si="3"/>
        <v>1.4926039238586791E-2</v>
      </c>
    </row>
    <row r="16" spans="2:30" ht="12" thickBot="1">
      <c r="B16" s="462">
        <v>3</v>
      </c>
      <c r="C16" s="463">
        <v>2250</v>
      </c>
      <c r="D16" s="470">
        <f>G89</f>
        <v>1566.6666666666667</v>
      </c>
      <c r="E16" s="463">
        <v>2000</v>
      </c>
      <c r="J16" s="471" t="s">
        <v>283</v>
      </c>
      <c r="K16" s="472"/>
      <c r="L16" s="473"/>
      <c r="M16" s="473"/>
      <c r="N16" s="474" t="s">
        <v>124</v>
      </c>
      <c r="O16" s="475"/>
      <c r="P16" s="476"/>
      <c r="Q16" s="477">
        <v>0.1</v>
      </c>
      <c r="R16" s="477"/>
      <c r="S16" s="478">
        <v>0</v>
      </c>
      <c r="T16" s="479">
        <v>0</v>
      </c>
      <c r="U16" s="480">
        <v>0</v>
      </c>
      <c r="V16" s="481">
        <v>0</v>
      </c>
      <c r="W16" s="482">
        <v>100</v>
      </c>
      <c r="X16" s="483">
        <v>100</v>
      </c>
      <c r="Y16" s="484">
        <v>225</v>
      </c>
      <c r="Z16" s="457"/>
      <c r="AA16" s="485"/>
      <c r="AB16" s="473"/>
      <c r="AC16" s="473"/>
      <c r="AD16" s="486"/>
    </row>
    <row r="17" spans="2:30">
      <c r="C17" s="441" t="s">
        <v>95</v>
      </c>
      <c r="D17" s="441" t="s">
        <v>95</v>
      </c>
      <c r="E17" s="441" t="s">
        <v>95</v>
      </c>
      <c r="W17" s="487" t="s">
        <v>423</v>
      </c>
      <c r="AB17" s="488">
        <f>SUM(AB7:AB16)</f>
        <v>4664048.0291000009</v>
      </c>
      <c r="AD17" s="489">
        <f>SUM(AD7:AD16)</f>
        <v>7.2732481064471194E-2</v>
      </c>
    </row>
    <row r="18" spans="2:30">
      <c r="B18" s="462">
        <v>0</v>
      </c>
      <c r="C18" s="445">
        <v>0.4</v>
      </c>
      <c r="D18" s="445">
        <v>0</v>
      </c>
      <c r="E18" s="445">
        <v>0.15</v>
      </c>
    </row>
    <row r="19" spans="2:30">
      <c r="B19" s="462">
        <v>1</v>
      </c>
      <c r="C19" s="445">
        <v>0.35</v>
      </c>
      <c r="D19" s="445">
        <v>0</v>
      </c>
      <c r="E19" s="445">
        <v>0.3</v>
      </c>
    </row>
    <row r="20" spans="2:30">
      <c r="B20" s="462">
        <v>2</v>
      </c>
      <c r="C20" s="445">
        <v>0.2</v>
      </c>
      <c r="D20" s="445">
        <v>0.75</v>
      </c>
      <c r="E20" s="445">
        <v>0.45</v>
      </c>
    </row>
    <row r="21" spans="2:30">
      <c r="B21" s="462">
        <v>3</v>
      </c>
      <c r="C21" s="445">
        <v>0.05</v>
      </c>
      <c r="D21" s="445">
        <v>0.25</v>
      </c>
      <c r="E21" s="445">
        <v>0.1</v>
      </c>
      <c r="J21" s="913" t="s">
        <v>163</v>
      </c>
      <c r="K21" s="913"/>
      <c r="L21" s="913"/>
      <c r="M21" s="913"/>
      <c r="N21" s="913"/>
      <c r="O21" s="913"/>
      <c r="R21" s="490" t="s">
        <v>454</v>
      </c>
      <c r="S21" s="491"/>
      <c r="T21" s="491"/>
      <c r="U21" s="491"/>
    </row>
    <row r="22" spans="2:30">
      <c r="C22" s="492" t="b">
        <f>SUM(C18:C21)=1</f>
        <v>1</v>
      </c>
      <c r="D22" s="492" t="b">
        <f>SUM(D18:D21)=1</f>
        <v>1</v>
      </c>
      <c r="E22" s="492" t="b">
        <f>SUM(E18:E21)=1</f>
        <v>1</v>
      </c>
    </row>
    <row r="23" spans="2:30" ht="9.5" customHeight="1">
      <c r="J23" s="560" t="s">
        <v>89</v>
      </c>
      <c r="K23" s="560" t="s">
        <v>954</v>
      </c>
      <c r="L23" s="560" t="s">
        <v>955</v>
      </c>
      <c r="M23" s="560" t="s">
        <v>956</v>
      </c>
      <c r="N23" s="560" t="s">
        <v>957</v>
      </c>
      <c r="O23" s="560" t="s">
        <v>958</v>
      </c>
      <c r="R23" s="557" t="s">
        <v>171</v>
      </c>
      <c r="S23" s="557"/>
      <c r="T23" s="557"/>
      <c r="U23" s="557"/>
    </row>
    <row r="24" spans="2:30">
      <c r="B24" s="493" t="s">
        <v>93</v>
      </c>
      <c r="C24" s="493" t="s">
        <v>103</v>
      </c>
      <c r="D24" s="493" t="s">
        <v>104</v>
      </c>
      <c r="E24" s="493" t="s">
        <v>108</v>
      </c>
      <c r="F24" s="494" t="s">
        <v>213</v>
      </c>
      <c r="G24" s="493" t="s">
        <v>214</v>
      </c>
      <c r="H24" s="493" t="s">
        <v>206</v>
      </c>
      <c r="J24" s="831">
        <v>1</v>
      </c>
      <c r="K24" s="543">
        <v>3</v>
      </c>
      <c r="L24" s="543">
        <v>1</v>
      </c>
      <c r="M24" s="542">
        <f>Phase1begin+constructiontimephase1-1</f>
        <v>3</v>
      </c>
      <c r="N24" s="542">
        <f>Phase1end+1</f>
        <v>4</v>
      </c>
      <c r="O24" s="542">
        <f>Phase1open+MAX(K7:K16)-1</f>
        <v>6</v>
      </c>
      <c r="R24" s="542" t="s">
        <v>415</v>
      </c>
      <c r="S24" s="844">
        <v>0.55000000000000004</v>
      </c>
    </row>
    <row r="25" spans="2:30">
      <c r="B25" s="497" t="s">
        <v>164</v>
      </c>
      <c r="C25" s="498">
        <f>SUMPRODUCT($C$8:$C$11,C18:C21)</f>
        <v>667.5</v>
      </c>
      <c r="D25" s="499">
        <f>SUMPRODUCT(C18:C21,C13:C16)</f>
        <v>1350</v>
      </c>
      <c r="E25" s="500">
        <f>D25/C25</f>
        <v>2.0224719101123596</v>
      </c>
      <c r="F25" s="501">
        <f>MarketrateSF/SUM(MarketrateSF,ResidentialCondominiumSF,ResidentialAffordableSF)</f>
        <v>0.53067134067102129</v>
      </c>
      <c r="G25" s="459">
        <f>MarketrateSF*(1-T7)</f>
        <v>941445.06874199992</v>
      </c>
      <c r="H25" s="459">
        <f>G25/C25</f>
        <v>1410.4045973662919</v>
      </c>
      <c r="J25" s="831">
        <v>2</v>
      </c>
      <c r="K25" s="543">
        <v>2</v>
      </c>
      <c r="L25" s="845">
        <f>Phase1open</f>
        <v>4</v>
      </c>
      <c r="M25" s="542">
        <f>Phase2begin+constructiontimephase2-1</f>
        <v>5</v>
      </c>
      <c r="N25" s="542">
        <f>Phase2end+1</f>
        <v>6</v>
      </c>
      <c r="O25" s="542">
        <f>Phase2open+MAX(K7:K16)-1</f>
        <v>8</v>
      </c>
      <c r="R25" s="542" t="s">
        <v>411</v>
      </c>
      <c r="S25" s="844">
        <v>0.05</v>
      </c>
    </row>
    <row r="26" spans="2:30">
      <c r="B26" s="497" t="s">
        <v>140</v>
      </c>
      <c r="C26" s="498">
        <f>SUMPRODUCT($D$8:$D$11,D18:D21)</f>
        <v>1050</v>
      </c>
      <c r="D26" s="499">
        <f>SUMPRODUCT(D18:D21,D13:D16)</f>
        <v>1436.6666666666667</v>
      </c>
      <c r="E26" s="500">
        <f>D26/C26</f>
        <v>1.3682539682539683</v>
      </c>
      <c r="F26" s="501">
        <f>ResidentialAffordableSF/SUM(MarketrateSF,ResidentialCondominiumSF,ResidentialAffordableSF)</f>
        <v>0.15611012364212709</v>
      </c>
      <c r="G26" s="459">
        <f>ResidentialAffordableSF*(1-T8)</f>
        <v>276949.39375800005</v>
      </c>
      <c r="H26" s="459">
        <f>G26/C26</f>
        <v>263.76132738857149</v>
      </c>
      <c r="J26" s="831">
        <v>3</v>
      </c>
      <c r="K26" s="543">
        <v>2</v>
      </c>
      <c r="L26" s="845">
        <f>Phase2open</f>
        <v>6</v>
      </c>
      <c r="M26" s="542">
        <f>Phase3begin+constructiontimephase3-1</f>
        <v>7</v>
      </c>
      <c r="N26" s="542">
        <f>Phase3end+1</f>
        <v>8</v>
      </c>
      <c r="O26" s="542">
        <f>Phase3open+MAX(K7:K16)-1</f>
        <v>10</v>
      </c>
      <c r="R26" s="542" t="s">
        <v>447</v>
      </c>
      <c r="S26" s="844">
        <v>0.02</v>
      </c>
    </row>
    <row r="27" spans="2:30">
      <c r="E27" s="493" t="s">
        <v>107</v>
      </c>
      <c r="F27" s="503"/>
      <c r="G27" s="459"/>
      <c r="H27" s="504"/>
    </row>
    <row r="28" spans="2:30">
      <c r="B28" s="497" t="s">
        <v>92</v>
      </c>
      <c r="C28" s="498">
        <f>SUMPRODUCT($E$8:$E$11,E18:E21)</f>
        <v>832.5</v>
      </c>
      <c r="D28" s="499"/>
      <c r="E28" s="447">
        <v>290</v>
      </c>
      <c r="F28" s="501">
        <f>ResidentialCondominiumSF/SUM(MarketrateSF,ResidentialCondominiumSF,ResidentialAffordableSF)</f>
        <v>0.3132185356868516</v>
      </c>
      <c r="G28" s="459">
        <f>ResidentialCondominiumSF*(1-T9)</f>
        <v>555669.81530999998</v>
      </c>
      <c r="H28" s="459">
        <f>G28/C28</f>
        <v>667.47124962162161</v>
      </c>
      <c r="J28" s="542" t="s">
        <v>157</v>
      </c>
      <c r="K28" s="844">
        <v>0.03</v>
      </c>
      <c r="R28" s="557" t="s">
        <v>172</v>
      </c>
      <c r="S28" s="557"/>
      <c r="T28" s="557"/>
      <c r="U28" s="557"/>
    </row>
    <row r="29" spans="2:30">
      <c r="B29" s="415" t="s">
        <v>212</v>
      </c>
      <c r="C29" s="488">
        <f>SUMPRODUCT(C25:C28,F25:F28)</f>
        <v>778.89318068144405</v>
      </c>
      <c r="E29" s="499">
        <f>Condoaveragesize*CondosalePSF</f>
        <v>241425</v>
      </c>
      <c r="F29" s="505">
        <f>SUM(F25:F28)</f>
        <v>1</v>
      </c>
      <c r="G29" s="506"/>
      <c r="H29" s="498">
        <f>SUM(H25:H28)</f>
        <v>2341.6371743764848</v>
      </c>
      <c r="R29" s="542" t="s">
        <v>416</v>
      </c>
      <c r="S29" s="844">
        <v>0.65</v>
      </c>
    </row>
    <row r="30" spans="2:30">
      <c r="R30" s="542" t="s">
        <v>448</v>
      </c>
      <c r="S30" s="844">
        <v>4.2500000000000003E-2</v>
      </c>
    </row>
    <row r="31" spans="2:30">
      <c r="B31" s="412" t="s">
        <v>113</v>
      </c>
      <c r="C31" s="413"/>
      <c r="D31" s="413"/>
      <c r="E31" s="413"/>
      <c r="F31" s="413"/>
      <c r="G31" s="413"/>
      <c r="H31" s="413"/>
      <c r="J31" s="841" t="s">
        <v>268</v>
      </c>
      <c r="K31" s="842"/>
      <c r="R31" s="542" t="s">
        <v>417</v>
      </c>
      <c r="S31" s="570">
        <v>30</v>
      </c>
    </row>
    <row r="32" spans="2:30">
      <c r="J32" s="542" t="s">
        <v>246</v>
      </c>
      <c r="K32" s="544">
        <v>2</v>
      </c>
      <c r="R32" s="542" t="s">
        <v>449</v>
      </c>
      <c r="S32" s="844">
        <v>0.02</v>
      </c>
    </row>
    <row r="33" spans="2:26">
      <c r="B33" s="508" t="s">
        <v>112</v>
      </c>
      <c r="C33" s="508" t="s">
        <v>101</v>
      </c>
      <c r="D33" s="493" t="s">
        <v>118</v>
      </c>
      <c r="J33" s="542" t="s">
        <v>247</v>
      </c>
      <c r="K33" s="544">
        <v>5</v>
      </c>
      <c r="R33" s="542" t="s">
        <v>524</v>
      </c>
      <c r="S33" s="844">
        <v>0.09</v>
      </c>
    </row>
    <row r="34" spans="2:26">
      <c r="B34" s="414" t="s">
        <v>111</v>
      </c>
      <c r="C34" s="447">
        <v>25</v>
      </c>
      <c r="J34" s="542" t="s">
        <v>260</v>
      </c>
      <c r="K34" s="544">
        <v>35</v>
      </c>
      <c r="N34" s="542"/>
      <c r="Y34" s="415"/>
      <c r="Z34" s="415"/>
    </row>
    <row r="35" spans="2:26">
      <c r="B35" s="414" t="s">
        <v>110</v>
      </c>
      <c r="C35" s="447">
        <v>13.8</v>
      </c>
      <c r="R35" s="561" t="s">
        <v>683</v>
      </c>
      <c r="S35" s="557"/>
    </row>
    <row r="36" spans="2:26">
      <c r="J36" s="841" t="s">
        <v>177</v>
      </c>
      <c r="K36" s="841"/>
      <c r="R36" s="542" t="s">
        <v>652</v>
      </c>
      <c r="S36" s="844">
        <v>0.35</v>
      </c>
    </row>
    <row r="37" spans="2:26">
      <c r="B37" s="412" t="s">
        <v>115</v>
      </c>
      <c r="C37" s="413"/>
      <c r="D37" s="413"/>
      <c r="E37" s="413"/>
      <c r="F37" s="413"/>
      <c r="G37" s="413"/>
      <c r="H37" s="413"/>
      <c r="J37" s="542" t="s">
        <v>176</v>
      </c>
      <c r="K37" s="843">
        <v>0.02</v>
      </c>
      <c r="R37" s="542" t="s">
        <v>653</v>
      </c>
      <c r="S37" s="543">
        <v>96.515000000000001</v>
      </c>
      <c r="T37" s="510"/>
      <c r="U37" s="510"/>
    </row>
    <row r="38" spans="2:26">
      <c r="E38" s="905"/>
      <c r="F38" s="905"/>
      <c r="G38" s="905"/>
      <c r="R38" s="542" t="s">
        <v>682</v>
      </c>
      <c r="S38" s="843">
        <v>0.25</v>
      </c>
    </row>
    <row r="39" spans="2:26">
      <c r="B39" s="511" t="s">
        <v>116</v>
      </c>
      <c r="C39" s="511" t="s">
        <v>117</v>
      </c>
      <c r="D39" s="511" t="s">
        <v>118</v>
      </c>
      <c r="E39" s="511" t="s">
        <v>225</v>
      </c>
      <c r="F39" s="511" t="s">
        <v>226</v>
      </c>
      <c r="G39" s="511" t="s">
        <v>227</v>
      </c>
      <c r="J39" s="841" t="s">
        <v>203</v>
      </c>
      <c r="K39" s="841"/>
      <c r="R39" s="542" t="s">
        <v>660</v>
      </c>
      <c r="S39" s="543">
        <v>1.25</v>
      </c>
    </row>
    <row r="40" spans="2:26">
      <c r="B40" s="414" t="s">
        <v>165</v>
      </c>
      <c r="C40" s="447">
        <v>30</v>
      </c>
      <c r="D40" s="447">
        <v>10</v>
      </c>
      <c r="E40" s="459">
        <f>summary!AC17</f>
        <v>217930.61257500001</v>
      </c>
      <c r="F40" s="460">
        <f>E40/$E$43</f>
        <v>0.91650839683793262</v>
      </c>
      <c r="G40" s="512">
        <f>C40*F40</f>
        <v>27.495251905137977</v>
      </c>
      <c r="J40" s="542" t="s">
        <v>202</v>
      </c>
      <c r="K40" s="844">
        <v>0.25</v>
      </c>
      <c r="L40" s="415"/>
      <c r="M40" s="415"/>
      <c r="R40" s="542" t="s">
        <v>664</v>
      </c>
      <c r="S40" s="844">
        <v>0.06</v>
      </c>
    </row>
    <row r="41" spans="2:26">
      <c r="B41" s="414" t="s">
        <v>142</v>
      </c>
      <c r="C41" s="447">
        <v>27.5</v>
      </c>
      <c r="D41" s="447">
        <v>10</v>
      </c>
      <c r="E41" s="459">
        <f>summary!AC18</f>
        <v>7506.5</v>
      </c>
      <c r="F41" s="460">
        <f>E41/$E$43</f>
        <v>3.1568627278080512E-2</v>
      </c>
      <c r="G41" s="512">
        <f>C41*F41</f>
        <v>0.8681372501472141</v>
      </c>
      <c r="J41" s="542" t="s">
        <v>155</v>
      </c>
      <c r="K41" s="844">
        <v>0.1</v>
      </c>
      <c r="R41" s="542" t="s">
        <v>665</v>
      </c>
      <c r="S41" s="543">
        <v>30</v>
      </c>
    </row>
    <row r="42" spans="2:26">
      <c r="B42" s="414" t="s">
        <v>143</v>
      </c>
      <c r="C42" s="447">
        <v>25</v>
      </c>
      <c r="D42" s="447">
        <v>10</v>
      </c>
      <c r="E42" s="459">
        <f>summary!AC19</f>
        <v>12346.429100000001</v>
      </c>
      <c r="F42" s="460">
        <f>E42/$E$43</f>
        <v>5.1922975883986824E-2</v>
      </c>
      <c r="G42" s="512">
        <f>C42*F42</f>
        <v>1.2980743970996707</v>
      </c>
      <c r="J42" s="542" t="s">
        <v>189</v>
      </c>
      <c r="K42" s="844">
        <v>7.4999999999999997E-3</v>
      </c>
      <c r="R42" s="542" t="s">
        <v>668</v>
      </c>
      <c r="S42" s="846">
        <v>0.01</v>
      </c>
      <c r="Y42" s="415"/>
      <c r="Z42" s="415"/>
    </row>
    <row r="43" spans="2:26">
      <c r="E43" s="459">
        <f>SUM(E40:E42)</f>
        <v>237783.54167500001</v>
      </c>
      <c r="F43" s="514"/>
      <c r="G43" s="515">
        <f>SUM(G40:G42)</f>
        <v>29.661463552384863</v>
      </c>
    </row>
    <row r="44" spans="2:26">
      <c r="B44" s="412" t="s">
        <v>119</v>
      </c>
      <c r="C44" s="413"/>
      <c r="D44" s="413"/>
      <c r="E44" s="413"/>
      <c r="F44" s="413"/>
      <c r="G44" s="413"/>
      <c r="H44" s="413"/>
      <c r="J44" s="841" t="s">
        <v>185</v>
      </c>
      <c r="K44" s="841"/>
      <c r="N44" s="414" t="s">
        <v>282</v>
      </c>
    </row>
    <row r="45" spans="2:26">
      <c r="J45" s="542" t="s">
        <v>217</v>
      </c>
      <c r="K45" s="543">
        <v>10</v>
      </c>
    </row>
    <row r="46" spans="2:26">
      <c r="B46" s="493" t="s">
        <v>128</v>
      </c>
      <c r="C46" s="493" t="s">
        <v>121</v>
      </c>
      <c r="D46" s="493"/>
      <c r="J46" s="542" t="s">
        <v>186</v>
      </c>
      <c r="K46" s="543">
        <v>10</v>
      </c>
    </row>
    <row r="47" spans="2:26">
      <c r="B47" s="414" t="s">
        <v>225</v>
      </c>
      <c r="C47" s="470">
        <f>summary!AC20</f>
        <v>338406.64540000004</v>
      </c>
      <c r="J47" s="542" t="s">
        <v>187</v>
      </c>
      <c r="K47" s="844">
        <v>2.5000000000000001E-2</v>
      </c>
    </row>
    <row r="48" spans="2:26">
      <c r="B48" s="414" t="s">
        <v>191</v>
      </c>
      <c r="C48" s="517">
        <f>T12</f>
        <v>0.25</v>
      </c>
      <c r="J48" s="542" t="s">
        <v>264</v>
      </c>
      <c r="K48" s="844">
        <v>0.05</v>
      </c>
    </row>
    <row r="49" spans="2:26">
      <c r="B49" s="414" t="s">
        <v>228</v>
      </c>
      <c r="C49" s="459">
        <f>C47*(1-C48)</f>
        <v>253804.98405000003</v>
      </c>
      <c r="J49" s="542" t="s">
        <v>218</v>
      </c>
      <c r="K49" s="844">
        <v>0.05</v>
      </c>
    </row>
    <row r="50" spans="2:26">
      <c r="B50" s="414" t="s">
        <v>215</v>
      </c>
      <c r="C50" s="463">
        <v>325</v>
      </c>
    </row>
    <row r="51" spans="2:26">
      <c r="B51" s="414" t="s">
        <v>229</v>
      </c>
      <c r="C51" s="459">
        <f>C49/C50</f>
        <v>780.93841246153852</v>
      </c>
    </row>
    <row r="52" spans="2:26">
      <c r="B52" s="414" t="s">
        <v>120</v>
      </c>
      <c r="C52" s="447">
        <v>165</v>
      </c>
    </row>
    <row r="53" spans="2:26">
      <c r="B53" s="414" t="s">
        <v>230</v>
      </c>
      <c r="C53" s="447"/>
    </row>
    <row r="54" spans="2:26">
      <c r="D54" s="447"/>
    </row>
    <row r="55" spans="2:26">
      <c r="B55" s="493" t="s">
        <v>122</v>
      </c>
      <c r="C55" s="493" t="s">
        <v>127</v>
      </c>
      <c r="D55" s="493" t="s">
        <v>129</v>
      </c>
    </row>
    <row r="56" spans="2:26">
      <c r="B56" s="414" t="s">
        <v>125</v>
      </c>
      <c r="C56" s="445">
        <v>0.1</v>
      </c>
      <c r="D56" s="445">
        <v>0.1</v>
      </c>
    </row>
    <row r="57" spans="2:26">
      <c r="B57" s="414" t="s">
        <v>126</v>
      </c>
      <c r="C57" s="445">
        <v>0.05</v>
      </c>
      <c r="D57" s="445">
        <v>0.1</v>
      </c>
    </row>
    <row r="58" spans="2:26">
      <c r="O58" s="415"/>
      <c r="P58" s="415"/>
      <c r="Q58" s="415"/>
      <c r="R58" s="415"/>
      <c r="S58" s="415"/>
      <c r="T58" s="415"/>
      <c r="U58" s="415"/>
      <c r="V58" s="415"/>
      <c r="Y58" s="415"/>
      <c r="Z58" s="415"/>
    </row>
    <row r="59" spans="2:26">
      <c r="B59" s="412" t="s">
        <v>131</v>
      </c>
      <c r="C59" s="413"/>
      <c r="D59" s="413"/>
      <c r="E59" s="413"/>
      <c r="F59" s="413"/>
      <c r="G59" s="413"/>
      <c r="H59" s="413"/>
      <c r="J59" s="507" t="s">
        <v>131</v>
      </c>
      <c r="K59" s="507"/>
      <c r="L59" s="507"/>
      <c r="M59" s="507"/>
      <c r="N59" s="507"/>
      <c r="O59" s="507"/>
    </row>
    <row r="61" spans="2:26">
      <c r="B61" s="493" t="s">
        <v>397</v>
      </c>
      <c r="C61" s="493" t="s">
        <v>396</v>
      </c>
      <c r="D61" s="493" t="s">
        <v>398</v>
      </c>
      <c r="E61" s="493" t="s">
        <v>132</v>
      </c>
      <c r="F61" s="493" t="s">
        <v>133</v>
      </c>
      <c r="G61" s="493" t="s">
        <v>134</v>
      </c>
      <c r="H61" s="493" t="s">
        <v>135</v>
      </c>
      <c r="M61" s="912" t="s">
        <v>89</v>
      </c>
      <c r="N61" s="912"/>
      <c r="O61" s="912"/>
      <c r="Q61" s="519" t="s">
        <v>558</v>
      </c>
      <c r="R61" s="519"/>
      <c r="S61" s="414" t="s">
        <v>559</v>
      </c>
    </row>
    <row r="62" spans="2:26">
      <c r="B62" s="445">
        <v>0.6</v>
      </c>
      <c r="C62" s="495">
        <v>200</v>
      </c>
      <c r="D62" s="520">
        <f>1-M15</f>
        <v>0.95</v>
      </c>
      <c r="E62" s="455">
        <v>15</v>
      </c>
      <c r="F62" s="445">
        <v>0.4</v>
      </c>
      <c r="G62" s="455">
        <f>8*30</f>
        <v>240</v>
      </c>
      <c r="H62" s="445">
        <v>0.6</v>
      </c>
      <c r="J62" s="833" t="s">
        <v>93</v>
      </c>
      <c r="K62" s="833" t="s">
        <v>208</v>
      </c>
      <c r="L62" s="833" t="s">
        <v>209</v>
      </c>
      <c r="M62" s="833">
        <v>1</v>
      </c>
      <c r="N62" s="833">
        <v>2</v>
      </c>
      <c r="O62" s="833">
        <v>3</v>
      </c>
      <c r="Q62" s="414" t="s">
        <v>715</v>
      </c>
      <c r="R62" s="523"/>
    </row>
    <row r="63" spans="2:26">
      <c r="C63" s="495"/>
      <c r="D63" s="455"/>
      <c r="E63" s="445"/>
      <c r="F63" s="455"/>
      <c r="G63" s="445"/>
      <c r="J63" s="831" t="s">
        <v>105</v>
      </c>
      <c r="K63" s="832">
        <v>0.75</v>
      </c>
      <c r="L63" s="832" t="s">
        <v>210</v>
      </c>
      <c r="M63" s="526">
        <f>SUM('Summary Board'!H60:H62)*$K63</f>
        <v>474.43726842219422</v>
      </c>
      <c r="N63" s="526">
        <f>(SUM('Summary Board'!J60:J62)-M63)*$K63</f>
        <v>880.05522069232438</v>
      </c>
      <c r="O63" s="526">
        <f>(SUM('Summary Board'!L60:L62)-M63-N63)*$K63</f>
        <v>740.35851394647466</v>
      </c>
    </row>
    <row r="64" spans="2:26">
      <c r="C64" s="495"/>
      <c r="D64" s="455"/>
      <c r="E64" s="524"/>
      <c r="F64" s="525" t="s">
        <v>400</v>
      </c>
      <c r="G64" s="455">
        <f>((E62*30)*F62)+(G62*H62)</f>
        <v>324</v>
      </c>
      <c r="H64" s="445"/>
      <c r="J64" s="831" t="s">
        <v>109</v>
      </c>
      <c r="K64" s="832">
        <v>1.5</v>
      </c>
      <c r="L64" s="832">
        <v>1000</v>
      </c>
      <c r="M64" s="526">
        <f>(summary!B15/$L64)*$K64</f>
        <v>1153.28775</v>
      </c>
      <c r="N64" s="526">
        <f>(summary!C15/$L64)*$K64</f>
        <v>58.185749999999999</v>
      </c>
      <c r="O64" s="526">
        <f>(summary!D15/$L64)*$K64</f>
        <v>767.06973513750006</v>
      </c>
      <c r="Q64" s="414" t="s">
        <v>721</v>
      </c>
      <c r="R64" s="414" t="s">
        <v>105</v>
      </c>
      <c r="S64" s="414" t="s">
        <v>722</v>
      </c>
    </row>
    <row r="65" spans="2:20">
      <c r="C65" s="495"/>
      <c r="D65" s="455"/>
      <c r="E65" s="445"/>
      <c r="F65" s="455"/>
      <c r="G65" s="455"/>
      <c r="H65" s="445"/>
      <c r="J65" s="831" t="s">
        <v>144</v>
      </c>
      <c r="K65" s="832">
        <v>0.75</v>
      </c>
      <c r="L65" s="832" t="s">
        <v>210</v>
      </c>
      <c r="M65" s="526">
        <f>hotel!O11*$K65</f>
        <v>223.29090761538458</v>
      </c>
      <c r="N65" s="526">
        <f>hotel!O39*$K65</f>
        <v>362.41290173076925</v>
      </c>
      <c r="O65" s="526">
        <f>hotel!O67*$K65</f>
        <v>0</v>
      </c>
      <c r="Q65" s="414" t="s">
        <v>144</v>
      </c>
      <c r="R65" s="414" t="s">
        <v>716</v>
      </c>
      <c r="S65" s="414" t="s">
        <v>722</v>
      </c>
    </row>
    <row r="66" spans="2:20">
      <c r="J66" s="831" t="s">
        <v>141</v>
      </c>
      <c r="K66" s="832">
        <v>0.75</v>
      </c>
      <c r="L66" s="832">
        <v>500</v>
      </c>
      <c r="M66" s="526">
        <f>(summary!B16/$L66)*$K66</f>
        <v>228.66081555</v>
      </c>
      <c r="N66" s="526">
        <f>(summary!C16/$L66)*$K66</f>
        <v>141.02728260000001</v>
      </c>
      <c r="O66" s="526">
        <f>(summary!D16/$L66)*$K66</f>
        <v>23.194214362499999</v>
      </c>
      <c r="Q66" s="414" t="s">
        <v>109</v>
      </c>
    </row>
    <row r="67" spans="2:20">
      <c r="B67" s="412" t="s">
        <v>145</v>
      </c>
      <c r="C67" s="413"/>
      <c r="D67" s="413"/>
      <c r="E67" s="413"/>
      <c r="F67" s="413"/>
      <c r="G67" s="413"/>
      <c r="H67" s="413"/>
      <c r="J67" s="831" t="s">
        <v>717</v>
      </c>
      <c r="K67" s="832">
        <v>0.75</v>
      </c>
      <c r="L67" s="832">
        <v>500</v>
      </c>
      <c r="M67" s="526">
        <f>(summary!B22/$L67)*$K67</f>
        <v>189.10605029999999</v>
      </c>
      <c r="N67" s="526">
        <f>(summary!C22/$L67)*$K67</f>
        <v>0</v>
      </c>
      <c r="O67" s="526">
        <f>(summary!D22/$L67)*$K67</f>
        <v>0</v>
      </c>
      <c r="Q67" s="414" t="s">
        <v>717</v>
      </c>
      <c r="R67" s="414" t="s">
        <v>718</v>
      </c>
      <c r="S67" s="414" t="s">
        <v>719</v>
      </c>
    </row>
    <row r="68" spans="2:20">
      <c r="M68" s="498">
        <f>SUM(M63:M67)</f>
        <v>2268.7827918875787</v>
      </c>
      <c r="N68" s="498">
        <f>SUM(N63:N67)</f>
        <v>1441.6811550230937</v>
      </c>
      <c r="O68" s="498">
        <f>SUM(O63:O67)</f>
        <v>1530.6224634464745</v>
      </c>
      <c r="Q68" s="414" t="s">
        <v>141</v>
      </c>
      <c r="R68" s="414" t="s">
        <v>141</v>
      </c>
      <c r="S68" s="414" t="s">
        <v>720</v>
      </c>
    </row>
    <row r="69" spans="2:20">
      <c r="B69" s="557" t="s">
        <v>136</v>
      </c>
      <c r="C69" s="558"/>
      <c r="E69" s="557" t="s">
        <v>285</v>
      </c>
      <c r="F69" s="557" t="s">
        <v>287</v>
      </c>
      <c r="N69" s="551" t="s">
        <v>545</v>
      </c>
      <c r="O69" s="834">
        <f>SUM(M68:O68)</f>
        <v>5241.0864103571466</v>
      </c>
    </row>
    <row r="70" spans="2:20">
      <c r="B70" s="542" t="s">
        <v>137</v>
      </c>
      <c r="C70" s="570">
        <v>300</v>
      </c>
      <c r="E70" s="542" t="s">
        <v>286</v>
      </c>
      <c r="F70" s="570">
        <v>1000</v>
      </c>
      <c r="N70" s="551" t="s">
        <v>952</v>
      </c>
      <c r="O70" s="847">
        <f>T86</f>
        <v>7181</v>
      </c>
      <c r="Q70" s="519" t="s">
        <v>730</v>
      </c>
    </row>
    <row r="71" spans="2:20">
      <c r="B71" s="542" t="s">
        <v>138</v>
      </c>
      <c r="C71" s="829">
        <f>C70*365</f>
        <v>109500</v>
      </c>
      <c r="N71" s="551" t="s">
        <v>546</v>
      </c>
      <c r="O71" s="835">
        <f>'Summary Board'!N66</f>
        <v>2320.5254631000003</v>
      </c>
    </row>
    <row r="72" spans="2:20">
      <c r="E72" s="542" t="s">
        <v>291</v>
      </c>
      <c r="F72" s="543">
        <v>5</v>
      </c>
      <c r="N72" s="551" t="s">
        <v>200</v>
      </c>
      <c r="O72" s="835">
        <f>O70+O71</f>
        <v>9501.5254631000007</v>
      </c>
      <c r="Q72" s="519" t="s">
        <v>731</v>
      </c>
      <c r="R72" s="519"/>
      <c r="S72" s="519"/>
      <c r="T72" s="519"/>
    </row>
    <row r="73" spans="2:20">
      <c r="B73" s="557" t="s">
        <v>139</v>
      </c>
      <c r="C73" s="558"/>
      <c r="E73" s="542" t="s">
        <v>292</v>
      </c>
      <c r="F73" s="543">
        <v>8</v>
      </c>
      <c r="Q73" s="529" t="s">
        <v>738</v>
      </c>
      <c r="R73" s="519"/>
      <c r="S73" s="519"/>
      <c r="T73" s="519"/>
    </row>
    <row r="74" spans="2:20">
      <c r="B74" s="542" t="s">
        <v>137</v>
      </c>
      <c r="C74" s="620">
        <v>500</v>
      </c>
      <c r="E74" s="542" t="s">
        <v>293</v>
      </c>
      <c r="F74" s="545">
        <v>15</v>
      </c>
    </row>
    <row r="75" spans="2:20">
      <c r="B75" s="542" t="s">
        <v>138</v>
      </c>
      <c r="C75" s="829">
        <f>C74*365</f>
        <v>182500</v>
      </c>
      <c r="E75" s="542" t="s">
        <v>294</v>
      </c>
      <c r="F75" s="543">
        <v>364</v>
      </c>
    </row>
    <row r="76" spans="2:20">
      <c r="B76" s="542" t="s">
        <v>289</v>
      </c>
      <c r="C76" s="544">
        <v>1</v>
      </c>
      <c r="E76" s="542" t="s">
        <v>297</v>
      </c>
      <c r="F76" s="546">
        <f>F72*F73*F74*F75</f>
        <v>218400</v>
      </c>
    </row>
    <row r="78" spans="2:20">
      <c r="E78" s="542" t="s">
        <v>295</v>
      </c>
      <c r="F78" s="543">
        <v>2</v>
      </c>
    </row>
    <row r="79" spans="2:20">
      <c r="E79" s="542" t="s">
        <v>296</v>
      </c>
      <c r="F79" s="545">
        <v>50000</v>
      </c>
      <c r="S79" s="414" t="s">
        <v>723</v>
      </c>
      <c r="T79" s="414">
        <v>239</v>
      </c>
    </row>
    <row r="80" spans="2:20">
      <c r="E80" s="542" t="s">
        <v>297</v>
      </c>
      <c r="F80" s="830">
        <f>F78*F79</f>
        <v>100000</v>
      </c>
      <c r="S80" s="414" t="s">
        <v>724</v>
      </c>
      <c r="T80" s="414">
        <v>350</v>
      </c>
    </row>
    <row r="81" spans="2:20">
      <c r="C81" s="445"/>
      <c r="S81" s="414" t="s">
        <v>727</v>
      </c>
      <c r="T81" s="414">
        <v>238</v>
      </c>
    </row>
    <row r="82" spans="2:20">
      <c r="E82" s="542" t="s">
        <v>298</v>
      </c>
      <c r="F82" s="830">
        <f>F76+F80</f>
        <v>318400</v>
      </c>
      <c r="S82" s="414" t="s">
        <v>726</v>
      </c>
      <c r="T82" s="414">
        <v>1276</v>
      </c>
    </row>
    <row r="83" spans="2:20">
      <c r="E83" s="542" t="s">
        <v>299</v>
      </c>
      <c r="F83" s="830">
        <f>F82/12</f>
        <v>26533.333333333332</v>
      </c>
      <c r="S83" s="414" t="s">
        <v>725</v>
      </c>
      <c r="T83" s="414">
        <v>394</v>
      </c>
    </row>
    <row r="84" spans="2:20">
      <c r="S84" s="414" t="s">
        <v>728</v>
      </c>
      <c r="T84" s="414">
        <v>3497</v>
      </c>
    </row>
    <row r="85" spans="2:20" ht="13.5">
      <c r="B85" s="531"/>
      <c r="S85" s="414" t="s">
        <v>729</v>
      </c>
      <c r="T85" s="414">
        <v>1187</v>
      </c>
    </row>
    <row r="86" spans="2:20" ht="13.5">
      <c r="B86" s="532"/>
      <c r="T86" s="415">
        <f>SUM(T79:T85)</f>
        <v>7181</v>
      </c>
    </row>
    <row r="87" spans="2:20" ht="14">
      <c r="B87" s="533" t="s">
        <v>733</v>
      </c>
      <c r="C87" s="414" t="s">
        <v>734</v>
      </c>
      <c r="D87" s="534" t="s">
        <v>735</v>
      </c>
    </row>
    <row r="88" spans="2:20">
      <c r="B88" s="414" t="s">
        <v>736</v>
      </c>
      <c r="C88" s="499">
        <f>31350*2</f>
        <v>62700</v>
      </c>
      <c r="D88" s="535">
        <v>0.8</v>
      </c>
      <c r="E88" s="499">
        <f>C88*D88</f>
        <v>50160</v>
      </c>
      <c r="F88" s="499">
        <f>E88/12</f>
        <v>4180</v>
      </c>
      <c r="G88" s="499">
        <f>F88/3</f>
        <v>1393.3333333333333</v>
      </c>
    </row>
    <row r="89" spans="2:20">
      <c r="B89" s="414" t="s">
        <v>737</v>
      </c>
      <c r="C89" s="499">
        <f>35250*2</f>
        <v>70500</v>
      </c>
      <c r="D89" s="535">
        <v>0.8</v>
      </c>
      <c r="E89" s="499">
        <f>C89*D89</f>
        <v>56400</v>
      </c>
      <c r="F89" s="499">
        <f>E89/12</f>
        <v>4700</v>
      </c>
      <c r="G89" s="499">
        <f>F89/3</f>
        <v>1566.6666666666667</v>
      </c>
    </row>
    <row r="90" spans="2:20" ht="13.5">
      <c r="B90" s="531"/>
    </row>
    <row r="91" spans="2:20" ht="13.5">
      <c r="B91" s="531"/>
    </row>
    <row r="92" spans="2:20" ht="13.5">
      <c r="B92" s="531"/>
    </row>
    <row r="93" spans="2:20" ht="13.5">
      <c r="B93" s="531"/>
    </row>
  </sheetData>
  <mergeCells count="4">
    <mergeCell ref="AA5:AD5"/>
    <mergeCell ref="E38:G38"/>
    <mergeCell ref="M61:O61"/>
    <mergeCell ref="J21:O21"/>
  </mergeCells>
  <hyperlinks>
    <hyperlink ref="D87" r:id="rId1" xr:uid="{3BA88E59-F415-42AB-9BEB-872E88475A6E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1D33B-A165-49C4-A99D-7D36324C7881}">
  <sheetPr>
    <tabColor rgb="FFFF0000"/>
  </sheetPr>
  <dimension ref="B4:AD93"/>
  <sheetViews>
    <sheetView showGridLines="0" zoomScale="30" zoomScaleNormal="30" zoomScaleSheetLayoutView="70" workbookViewId="0">
      <selection activeCell="O68" sqref="O68"/>
    </sheetView>
  </sheetViews>
  <sheetFormatPr defaultRowHeight="10.5"/>
  <cols>
    <col min="1" max="1" width="8.7265625" style="39"/>
    <col min="2" max="2" width="22.90625" style="39" customWidth="1"/>
    <col min="3" max="8" width="17.453125" style="39" customWidth="1"/>
    <col min="9" max="9" width="8.7265625" style="39"/>
    <col min="10" max="10" width="24.1796875" style="39" bestFit="1" customWidth="1"/>
    <col min="11" max="25" width="13.26953125" style="39" customWidth="1"/>
    <col min="26" max="26" width="3.08984375" style="39" customWidth="1"/>
    <col min="27" max="27" width="17.36328125" style="39" customWidth="1"/>
    <col min="28" max="28" width="17" style="39" bestFit="1" customWidth="1"/>
    <col min="29" max="29" width="15.81640625" style="39" bestFit="1" customWidth="1"/>
    <col min="30" max="30" width="18.36328125" style="39" bestFit="1" customWidth="1"/>
    <col min="31" max="31" width="8.7265625" style="39"/>
    <col min="32" max="32" width="24.6328125" style="39" bestFit="1" customWidth="1"/>
    <col min="33" max="33" width="12.36328125" style="39" customWidth="1"/>
    <col min="34" max="34" width="8.7265625" style="39"/>
    <col min="35" max="35" width="12.26953125" style="39" customWidth="1"/>
    <col min="36" max="16384" width="8.7265625" style="39"/>
  </cols>
  <sheetData>
    <row r="4" spans="2:30" ht="11" thickBot="1">
      <c r="B4" s="56" t="s">
        <v>114</v>
      </c>
      <c r="C4" s="57"/>
      <c r="D4" s="57"/>
      <c r="E4" s="57"/>
      <c r="F4" s="57"/>
      <c r="G4" s="57"/>
      <c r="H4" s="57"/>
      <c r="U4" s="43"/>
      <c r="V4" s="43"/>
      <c r="Y4" s="322" t="s">
        <v>192</v>
      </c>
    </row>
    <row r="5" spans="2:30" ht="11" thickBot="1">
      <c r="D5" s="48"/>
      <c r="E5" s="48"/>
      <c r="F5" s="48"/>
      <c r="G5" s="48"/>
      <c r="H5" s="48"/>
      <c r="K5" s="75" t="s">
        <v>151</v>
      </c>
      <c r="L5" s="76"/>
      <c r="M5" s="76"/>
      <c r="N5" s="179" t="s">
        <v>150</v>
      </c>
      <c r="O5" s="180"/>
      <c r="P5" s="181"/>
      <c r="Q5" s="176" t="s">
        <v>161</v>
      </c>
      <c r="R5" s="176"/>
      <c r="S5" s="76"/>
      <c r="T5" s="75"/>
      <c r="U5" s="75" t="s">
        <v>174</v>
      </c>
      <c r="V5" s="77"/>
      <c r="W5" s="75" t="s">
        <v>422</v>
      </c>
      <c r="X5" s="78"/>
      <c r="Y5" s="132"/>
      <c r="Z5" s="74"/>
      <c r="AA5" s="915" t="s">
        <v>407</v>
      </c>
      <c r="AB5" s="915"/>
      <c r="AC5" s="915"/>
      <c r="AD5" s="915"/>
    </row>
    <row r="6" spans="2:30" s="58" customFormat="1" ht="21">
      <c r="C6" s="142" t="s">
        <v>91</v>
      </c>
      <c r="D6" s="142" t="s">
        <v>732</v>
      </c>
      <c r="E6" s="142" t="s">
        <v>92</v>
      </c>
      <c r="J6" s="278" t="s">
        <v>116</v>
      </c>
      <c r="K6" s="98" t="s">
        <v>152</v>
      </c>
      <c r="L6" s="99" t="s">
        <v>154</v>
      </c>
      <c r="M6" s="99" t="s">
        <v>153</v>
      </c>
      <c r="N6" s="98" t="s">
        <v>183</v>
      </c>
      <c r="O6" s="99" t="s">
        <v>193</v>
      </c>
      <c r="P6" s="100" t="s">
        <v>216</v>
      </c>
      <c r="Q6" s="102" t="s">
        <v>168</v>
      </c>
      <c r="R6" s="102" t="s">
        <v>688</v>
      </c>
      <c r="S6" s="103" t="s">
        <v>184</v>
      </c>
      <c r="T6" s="101" t="s">
        <v>190</v>
      </c>
      <c r="U6" s="101" t="s">
        <v>188</v>
      </c>
      <c r="V6" s="103" t="s">
        <v>189</v>
      </c>
      <c r="W6" s="101" t="s">
        <v>158</v>
      </c>
      <c r="X6" s="102" t="s">
        <v>159</v>
      </c>
      <c r="Y6" s="103" t="s">
        <v>170</v>
      </c>
      <c r="Z6" s="274"/>
      <c r="AA6" s="284" t="s">
        <v>328</v>
      </c>
      <c r="AB6" s="285" t="s">
        <v>404</v>
      </c>
      <c r="AC6" s="285" t="s">
        <v>405</v>
      </c>
      <c r="AD6" s="286" t="s">
        <v>406</v>
      </c>
    </row>
    <row r="7" spans="2:30">
      <c r="B7" s="59" t="s">
        <v>207</v>
      </c>
      <c r="C7" s="59" t="s">
        <v>94</v>
      </c>
      <c r="D7" s="59" t="s">
        <v>94</v>
      </c>
      <c r="E7" s="59" t="s">
        <v>94</v>
      </c>
      <c r="J7" s="279" t="s">
        <v>164</v>
      </c>
      <c r="K7" s="79">
        <v>2</v>
      </c>
      <c r="L7" s="80">
        <f t="shared" ref="L7:L12" si="0">(1-M7)/K7</f>
        <v>0.47499999999999998</v>
      </c>
      <c r="M7" s="44">
        <v>0.05</v>
      </c>
      <c r="N7" s="87" t="s">
        <v>101</v>
      </c>
      <c r="O7" s="52">
        <v>6</v>
      </c>
      <c r="P7" s="88"/>
      <c r="Q7" s="177">
        <v>0.25</v>
      </c>
      <c r="R7" s="177"/>
      <c r="S7" s="92">
        <v>2.5000000000000001E-2</v>
      </c>
      <c r="T7" s="94">
        <v>0.1</v>
      </c>
      <c r="U7" s="281">
        <v>7.0000000000000007E-2</v>
      </c>
      <c r="V7" s="104">
        <v>6.25E-2</v>
      </c>
      <c r="W7" s="275">
        <v>100</v>
      </c>
      <c r="X7" s="54">
        <v>100</v>
      </c>
      <c r="Y7" s="96">
        <v>135</v>
      </c>
      <c r="Z7" s="295"/>
      <c r="AA7" s="287">
        <f>INDEX(summary!$A$2:$AD$24,MATCH(cockpit!$J7,summary!$A$2:$A$24,0),MATCH(cockpit!AA$6,summary!$A$2:$AD$2,0))</f>
        <v>0.21837664899234419</v>
      </c>
      <c r="AB7" s="148">
        <f t="shared" ref="AB7:AB15" si="1">AA7*totalsf</f>
        <v>1046050.0763799998</v>
      </c>
      <c r="AC7" s="185">
        <f t="shared" ref="AC7:AC15" si="2">AB7/$AB$17</f>
        <v>0.22427943920248417</v>
      </c>
      <c r="AD7" s="288">
        <f t="shared" ref="AD7:AD15" si="3">V7*AC7</f>
        <v>1.401746495015526E-2</v>
      </c>
    </row>
    <row r="8" spans="2:30">
      <c r="B8" s="40">
        <v>0</v>
      </c>
      <c r="C8" s="45">
        <v>450</v>
      </c>
      <c r="D8" s="45" t="s">
        <v>211</v>
      </c>
      <c r="E8" s="45">
        <v>450</v>
      </c>
      <c r="J8" s="279" t="s">
        <v>140</v>
      </c>
      <c r="K8" s="79">
        <v>1</v>
      </c>
      <c r="L8" s="80">
        <f t="shared" si="0"/>
        <v>0.98</v>
      </c>
      <c r="M8" s="44">
        <v>0.02</v>
      </c>
      <c r="N8" s="87" t="s">
        <v>101</v>
      </c>
      <c r="O8" s="52">
        <v>6</v>
      </c>
      <c r="P8" s="88"/>
      <c r="Q8" s="177">
        <v>0.05</v>
      </c>
      <c r="R8" s="177"/>
      <c r="S8" s="92">
        <v>0</v>
      </c>
      <c r="T8" s="94">
        <v>0.1</v>
      </c>
      <c r="U8" s="281">
        <v>7.0000000000000007E-2</v>
      </c>
      <c r="V8" s="104">
        <v>6.5000000000000002E-2</v>
      </c>
      <c r="W8" s="275">
        <v>100</v>
      </c>
      <c r="X8" s="54">
        <v>100</v>
      </c>
      <c r="Y8" s="96">
        <v>135</v>
      </c>
      <c r="Z8" s="295"/>
      <c r="AA8" s="287">
        <f>INDEX(summary!$A$2:$AD$24,MATCH(cockpit!$J8,summary!$A$2:$A$24,0),MATCH(cockpit!AA$6,summary!$A$2:$AD$2,0))</f>
        <v>6.4240902159218224E-2</v>
      </c>
      <c r="AB8" s="148">
        <f t="shared" si="1"/>
        <v>307721.54862000002</v>
      </c>
      <c r="AC8" s="185">
        <f t="shared" si="2"/>
        <v>6.597735415674516E-2</v>
      </c>
      <c r="AD8" s="288">
        <f t="shared" si="3"/>
        <v>4.2885280201884358E-3</v>
      </c>
    </row>
    <row r="9" spans="2:30">
      <c r="B9" s="40">
        <v>1</v>
      </c>
      <c r="C9" s="45">
        <v>650</v>
      </c>
      <c r="D9" s="45" t="s">
        <v>211</v>
      </c>
      <c r="E9" s="45">
        <v>650</v>
      </c>
      <c r="J9" s="279" t="s">
        <v>156</v>
      </c>
      <c r="K9" s="79">
        <v>2</v>
      </c>
      <c r="L9" s="80">
        <f t="shared" si="0"/>
        <v>0.5</v>
      </c>
      <c r="M9" s="44">
        <v>0</v>
      </c>
      <c r="N9" s="83"/>
      <c r="P9" s="82"/>
      <c r="Q9" s="177">
        <v>0</v>
      </c>
      <c r="R9" s="177"/>
      <c r="S9" s="92">
        <v>0</v>
      </c>
      <c r="T9" s="94">
        <v>0.1</v>
      </c>
      <c r="U9" s="281">
        <v>0</v>
      </c>
      <c r="V9" s="104">
        <v>6.25E-2</v>
      </c>
      <c r="W9" s="275">
        <v>100</v>
      </c>
      <c r="X9" s="54">
        <v>100</v>
      </c>
      <c r="Y9" s="96">
        <v>165</v>
      </c>
      <c r="Z9" s="295"/>
      <c r="AA9" s="287">
        <f>INDEX(summary!$A$2:$AD$24,MATCH(cockpit!$J9,summary!$A$2:$A$24,0),MATCH(cockpit!AA$6,summary!$A$2:$AD$2,0))</f>
        <v>0.1288926101400048</v>
      </c>
      <c r="AB9" s="148">
        <f t="shared" si="1"/>
        <v>617410.90590000013</v>
      </c>
      <c r="AC9" s="185">
        <f t="shared" si="2"/>
        <v>0.13237661834694678</v>
      </c>
      <c r="AD9" s="288">
        <f t="shared" si="3"/>
        <v>8.2735386466841736E-3</v>
      </c>
    </row>
    <row r="10" spans="2:30">
      <c r="B10" s="40">
        <v>2</v>
      </c>
      <c r="C10" s="45">
        <v>1000</v>
      </c>
      <c r="D10" s="45">
        <v>1000</v>
      </c>
      <c r="E10" s="45">
        <v>1000</v>
      </c>
      <c r="J10" s="279" t="s">
        <v>109</v>
      </c>
      <c r="K10" s="79">
        <v>3</v>
      </c>
      <c r="L10" s="80">
        <f>(1-M10)/K10</f>
        <v>0.3</v>
      </c>
      <c r="M10" s="44">
        <v>0.1</v>
      </c>
      <c r="N10" s="87" t="s">
        <v>101</v>
      </c>
      <c r="O10" s="52">
        <v>10</v>
      </c>
      <c r="P10" s="182" t="s">
        <v>223</v>
      </c>
      <c r="Q10" s="177">
        <v>0.05</v>
      </c>
      <c r="R10" s="177">
        <v>50</v>
      </c>
      <c r="S10" s="92">
        <v>1</v>
      </c>
      <c r="T10" s="94">
        <v>0</v>
      </c>
      <c r="U10" s="281">
        <v>7.0000000000000007E-2</v>
      </c>
      <c r="V10" s="104">
        <v>7.4999999999999997E-2</v>
      </c>
      <c r="W10" s="275">
        <v>100</v>
      </c>
      <c r="X10" s="54">
        <v>100</v>
      </c>
      <c r="Y10" s="96">
        <v>135</v>
      </c>
      <c r="Z10" s="295"/>
      <c r="AA10" s="287">
        <f>INDEX(summary!$A$2:$AD$24,MATCH(cockpit!$J10,summary!$A$2:$A$24,0),MATCH(cockpit!AA$6,summary!$A$2:$AD$2,0))</f>
        <v>0.27536453644808828</v>
      </c>
      <c r="AB10" s="148">
        <f t="shared" si="1"/>
        <v>1319028.8234250001</v>
      </c>
      <c r="AC10" s="185">
        <f t="shared" si="2"/>
        <v>0.28280772736371818</v>
      </c>
      <c r="AD10" s="288">
        <f t="shared" si="3"/>
        <v>2.1210579552278862E-2</v>
      </c>
    </row>
    <row r="11" spans="2:30">
      <c r="B11" s="40">
        <v>3</v>
      </c>
      <c r="C11" s="45">
        <v>1200</v>
      </c>
      <c r="D11" s="45">
        <v>1200</v>
      </c>
      <c r="E11" s="45">
        <v>1200</v>
      </c>
      <c r="J11" s="279" t="s">
        <v>141</v>
      </c>
      <c r="K11" s="79">
        <v>2</v>
      </c>
      <c r="L11" s="80">
        <f t="shared" si="0"/>
        <v>0.47499999999999998</v>
      </c>
      <c r="M11" s="44">
        <v>0.05</v>
      </c>
      <c r="N11" s="87" t="s">
        <v>101</v>
      </c>
      <c r="O11" s="52">
        <v>11</v>
      </c>
      <c r="P11" s="182" t="s">
        <v>223</v>
      </c>
      <c r="Q11" s="177">
        <v>0.05</v>
      </c>
      <c r="R11" s="177">
        <v>60</v>
      </c>
      <c r="S11" s="92">
        <v>1</v>
      </c>
      <c r="T11" s="94">
        <v>0</v>
      </c>
      <c r="U11" s="281">
        <v>7.0000000000000007E-2</v>
      </c>
      <c r="V11" s="104">
        <v>7.4999999999999997E-2</v>
      </c>
      <c r="W11" s="275">
        <v>100</v>
      </c>
      <c r="X11" s="54">
        <v>100</v>
      </c>
      <c r="Y11" s="96">
        <v>135</v>
      </c>
      <c r="Z11" s="295"/>
      <c r="AA11" s="287">
        <f>INDEX(summary!$A$2:$AD$24,MATCH(cockpit!$J11,summary!$A$2:$A$24,0),MATCH(cockpit!AA$6,summary!$A$2:$AD$2,0))</f>
        <v>5.4679551066842913E-2</v>
      </c>
      <c r="AB11" s="148">
        <f t="shared" si="1"/>
        <v>261921.54167500001</v>
      </c>
      <c r="AC11" s="185">
        <f t="shared" si="2"/>
        <v>5.6157556706280698E-2</v>
      </c>
      <c r="AD11" s="288">
        <f t="shared" si="3"/>
        <v>4.211816752971052E-3</v>
      </c>
    </row>
    <row r="12" spans="2:30">
      <c r="B12" s="40"/>
      <c r="C12" s="59" t="s">
        <v>106</v>
      </c>
      <c r="D12" s="59" t="s">
        <v>106</v>
      </c>
      <c r="E12" s="59" t="s">
        <v>106</v>
      </c>
      <c r="J12" s="279" t="s">
        <v>144</v>
      </c>
      <c r="K12" s="79">
        <v>1</v>
      </c>
      <c r="L12" s="80">
        <f t="shared" si="0"/>
        <v>0.65</v>
      </c>
      <c r="M12" s="44">
        <v>0.35</v>
      </c>
      <c r="N12" s="87" t="s">
        <v>124</v>
      </c>
      <c r="O12" s="44">
        <v>0.35</v>
      </c>
      <c r="P12" s="81"/>
      <c r="Q12" s="177">
        <v>0.05</v>
      </c>
      <c r="R12" s="177"/>
      <c r="S12" s="92">
        <v>0</v>
      </c>
      <c r="T12" s="94">
        <v>0.25</v>
      </c>
      <c r="U12" s="281">
        <v>7.0000000000000007E-2</v>
      </c>
      <c r="V12" s="104">
        <v>0.08</v>
      </c>
      <c r="W12" s="275">
        <v>100</v>
      </c>
      <c r="X12" s="54">
        <v>100</v>
      </c>
      <c r="Y12" s="96">
        <v>225</v>
      </c>
      <c r="Z12" s="295"/>
      <c r="AA12" s="287">
        <f>INDEX(summary!$A$2:$AD$24,MATCH(cockpit!$J12,summary!$A$2:$A$24,0),MATCH(cockpit!AA$6,summary!$A$2:$AD$2,0))</f>
        <v>7.0646817860703176E-2</v>
      </c>
      <c r="AB12" s="148">
        <f t="shared" si="1"/>
        <v>338406.64540000004</v>
      </c>
      <c r="AC12" s="185">
        <f t="shared" si="2"/>
        <v>7.2556423795082731E-2</v>
      </c>
      <c r="AD12" s="288">
        <f t="shared" si="3"/>
        <v>5.8045139036066182E-3</v>
      </c>
    </row>
    <row r="13" spans="2:30">
      <c r="B13" s="40">
        <v>0</v>
      </c>
      <c r="C13" s="45">
        <v>1000</v>
      </c>
      <c r="D13" s="45"/>
      <c r="E13" s="45">
        <v>1000</v>
      </c>
      <c r="J13" s="279" t="s">
        <v>146</v>
      </c>
      <c r="K13" s="83"/>
      <c r="L13" s="80"/>
      <c r="M13" s="44"/>
      <c r="N13" s="87" t="s">
        <v>124</v>
      </c>
      <c r="O13" s="174">
        <v>0.05</v>
      </c>
      <c r="P13" s="89"/>
      <c r="Q13" s="177">
        <v>0.05</v>
      </c>
      <c r="R13" s="177"/>
      <c r="S13" s="92">
        <v>0</v>
      </c>
      <c r="T13" s="94">
        <v>0</v>
      </c>
      <c r="U13" s="281">
        <v>7.0000000000000007E-2</v>
      </c>
      <c r="V13" s="104">
        <v>0.08</v>
      </c>
      <c r="W13" s="275">
        <v>100</v>
      </c>
      <c r="X13" s="54">
        <v>100</v>
      </c>
      <c r="Y13" s="96"/>
      <c r="Z13" s="295"/>
      <c r="AA13" s="287"/>
      <c r="AB13" s="148">
        <f t="shared" si="1"/>
        <v>0</v>
      </c>
      <c r="AC13" s="185">
        <f t="shared" si="2"/>
        <v>0</v>
      </c>
      <c r="AD13" s="288">
        <f t="shared" si="3"/>
        <v>0</v>
      </c>
    </row>
    <row r="14" spans="2:30">
      <c r="B14" s="40">
        <v>1</v>
      </c>
      <c r="C14" s="45">
        <v>1250</v>
      </c>
      <c r="D14" s="45"/>
      <c r="E14" s="45">
        <v>1500</v>
      </c>
      <c r="J14" s="279" t="s">
        <v>147</v>
      </c>
      <c r="K14" s="83"/>
      <c r="L14" s="80"/>
      <c r="M14" s="44"/>
      <c r="N14" s="87" t="s">
        <v>124</v>
      </c>
      <c r="O14" s="174">
        <v>0.05</v>
      </c>
      <c r="P14" s="89"/>
      <c r="Q14" s="177">
        <v>0.05</v>
      </c>
      <c r="R14" s="177"/>
      <c r="S14" s="92">
        <v>0</v>
      </c>
      <c r="T14" s="94">
        <v>0</v>
      </c>
      <c r="U14" s="281">
        <v>7.0000000000000007E-2</v>
      </c>
      <c r="V14" s="104">
        <v>0.08</v>
      </c>
      <c r="W14" s="275">
        <v>100</v>
      </c>
      <c r="X14" s="54">
        <v>100</v>
      </c>
      <c r="Y14" s="96"/>
      <c r="Z14" s="295"/>
      <c r="AA14" s="287"/>
      <c r="AB14" s="148">
        <f t="shared" si="1"/>
        <v>0</v>
      </c>
      <c r="AC14" s="185">
        <f t="shared" si="2"/>
        <v>0</v>
      </c>
      <c r="AD14" s="288">
        <f t="shared" si="3"/>
        <v>0</v>
      </c>
    </row>
    <row r="15" spans="2:30">
      <c r="B15" s="40">
        <v>2</v>
      </c>
      <c r="C15" s="45">
        <v>2000</v>
      </c>
      <c r="D15" s="188">
        <f>G88</f>
        <v>1393.3333333333333</v>
      </c>
      <c r="E15" s="45">
        <v>2000</v>
      </c>
      <c r="J15" s="279" t="s">
        <v>130</v>
      </c>
      <c r="K15" s="79">
        <v>2</v>
      </c>
      <c r="L15" s="80">
        <f>(1-M15)/K15</f>
        <v>0.47499999999999998</v>
      </c>
      <c r="M15" s="44">
        <v>0.05</v>
      </c>
      <c r="N15" s="87" t="s">
        <v>124</v>
      </c>
      <c r="O15" s="44">
        <v>0.25</v>
      </c>
      <c r="P15" s="81"/>
      <c r="Q15" s="177">
        <v>2.5000000000000001E-2</v>
      </c>
      <c r="R15" s="177"/>
      <c r="S15" s="92">
        <v>0</v>
      </c>
      <c r="T15" s="94">
        <v>0.4</v>
      </c>
      <c r="U15" s="281">
        <v>0.09</v>
      </c>
      <c r="V15" s="104">
        <v>0.09</v>
      </c>
      <c r="W15" s="275">
        <v>100</v>
      </c>
      <c r="X15" s="54">
        <v>100</v>
      </c>
      <c r="Y15" s="96">
        <v>70</v>
      </c>
      <c r="Z15" s="295"/>
      <c r="AA15" s="287">
        <f>INDEX(summary!$A$2:$AD$24,MATCH(cockpit!$J15,summary!$A$2:$A$24,0),MATCH(cockpit!AA$6,summary!$A$2:$AD$2,0))</f>
        <v>0.16148002406884726</v>
      </c>
      <c r="AB15" s="148">
        <f t="shared" si="1"/>
        <v>773508.48770000006</v>
      </c>
      <c r="AC15" s="185">
        <f t="shared" si="2"/>
        <v>0.16584488042874213</v>
      </c>
      <c r="AD15" s="288">
        <f t="shared" si="3"/>
        <v>1.4926039238586791E-2</v>
      </c>
    </row>
    <row r="16" spans="2:30" ht="11" thickBot="1">
      <c r="B16" s="40">
        <v>3</v>
      </c>
      <c r="C16" s="45">
        <v>2250</v>
      </c>
      <c r="D16" s="188">
        <f>G89</f>
        <v>1566.6666666666667</v>
      </c>
      <c r="E16" s="45">
        <v>2000</v>
      </c>
      <c r="J16" s="280" t="s">
        <v>283</v>
      </c>
      <c r="K16" s="84"/>
      <c r="L16" s="85"/>
      <c r="M16" s="85"/>
      <c r="N16" s="90" t="s">
        <v>124</v>
      </c>
      <c r="O16" s="175"/>
      <c r="P16" s="91"/>
      <c r="Q16" s="178">
        <v>0.1</v>
      </c>
      <c r="R16" s="178"/>
      <c r="S16" s="93">
        <v>0</v>
      </c>
      <c r="T16" s="95">
        <v>0</v>
      </c>
      <c r="U16" s="282">
        <v>0</v>
      </c>
      <c r="V16" s="105">
        <v>0</v>
      </c>
      <c r="W16" s="276">
        <v>100</v>
      </c>
      <c r="X16" s="97">
        <v>100</v>
      </c>
      <c r="Y16" s="277">
        <v>225</v>
      </c>
      <c r="Z16" s="295"/>
      <c r="AA16" s="289"/>
      <c r="AB16" s="85"/>
      <c r="AC16" s="85"/>
      <c r="AD16" s="86"/>
    </row>
    <row r="17" spans="2:30">
      <c r="C17" s="59" t="s">
        <v>95</v>
      </c>
      <c r="D17" s="59" t="s">
        <v>95</v>
      </c>
      <c r="E17" s="59" t="s">
        <v>95</v>
      </c>
      <c r="W17" s="294" t="s">
        <v>423</v>
      </c>
      <c r="AB17" s="143">
        <f>SUM(AB7:AB16)</f>
        <v>4664048.0291000009</v>
      </c>
      <c r="AD17" s="290">
        <f>SUM(AD7:AD16)</f>
        <v>7.2732481064471194E-2</v>
      </c>
    </row>
    <row r="18" spans="2:30">
      <c r="B18" s="40">
        <v>0</v>
      </c>
      <c r="C18" s="44">
        <v>0.4</v>
      </c>
      <c r="D18" s="44">
        <v>0</v>
      </c>
      <c r="E18" s="44">
        <v>0.15</v>
      </c>
    </row>
    <row r="19" spans="2:30">
      <c r="B19" s="40">
        <v>1</v>
      </c>
      <c r="C19" s="44">
        <v>0.35</v>
      </c>
      <c r="D19" s="44">
        <v>0</v>
      </c>
      <c r="E19" s="44">
        <v>0.3</v>
      </c>
    </row>
    <row r="20" spans="2:30">
      <c r="B20" s="40">
        <v>2</v>
      </c>
      <c r="C20" s="44">
        <v>0.2</v>
      </c>
      <c r="D20" s="44">
        <v>0.75</v>
      </c>
      <c r="E20" s="44">
        <v>0.45</v>
      </c>
    </row>
    <row r="21" spans="2:30">
      <c r="B21" s="40">
        <v>3</v>
      </c>
      <c r="C21" s="44">
        <v>0.05</v>
      </c>
      <c r="D21" s="44">
        <v>0.25</v>
      </c>
      <c r="E21" s="44">
        <v>0.1</v>
      </c>
      <c r="J21" s="283" t="s">
        <v>163</v>
      </c>
      <c r="K21" s="64"/>
      <c r="L21" s="64"/>
      <c r="M21" s="64"/>
      <c r="N21" s="64"/>
      <c r="O21" s="64"/>
      <c r="R21" s="283" t="s">
        <v>454</v>
      </c>
      <c r="S21" s="64"/>
      <c r="T21" s="64"/>
      <c r="U21" s="64"/>
    </row>
    <row r="22" spans="2:30">
      <c r="C22" s="41" t="b">
        <f>SUM(C18:C21)=1</f>
        <v>1</v>
      </c>
      <c r="D22" s="41" t="b">
        <f>SUM(D18:D21)=1</f>
        <v>1</v>
      </c>
      <c r="E22" s="41" t="b">
        <f>SUM(E18:E21)=1</f>
        <v>1</v>
      </c>
    </row>
    <row r="23" spans="2:30">
      <c r="J23" s="664" t="s">
        <v>89</v>
      </c>
      <c r="K23" s="664" t="s">
        <v>160</v>
      </c>
      <c r="L23" s="664" t="s">
        <v>402</v>
      </c>
      <c r="M23" s="664" t="s">
        <v>178</v>
      </c>
      <c r="N23" s="664" t="s">
        <v>179</v>
      </c>
      <c r="O23" s="664" t="s">
        <v>403</v>
      </c>
      <c r="R23" s="664" t="s">
        <v>171</v>
      </c>
      <c r="S23" s="664"/>
      <c r="T23" s="664"/>
      <c r="U23" s="664"/>
    </row>
    <row r="24" spans="2:30">
      <c r="B24" s="51" t="s">
        <v>93</v>
      </c>
      <c r="C24" s="51" t="s">
        <v>103</v>
      </c>
      <c r="D24" s="51" t="s">
        <v>104</v>
      </c>
      <c r="E24" s="51" t="s">
        <v>108</v>
      </c>
      <c r="F24" s="146" t="s">
        <v>213</v>
      </c>
      <c r="G24" s="51" t="s">
        <v>214</v>
      </c>
      <c r="H24" s="51" t="s">
        <v>206</v>
      </c>
      <c r="J24" s="836">
        <v>1</v>
      </c>
      <c r="K24" s="825">
        <v>3</v>
      </c>
      <c r="L24" s="825">
        <v>1</v>
      </c>
      <c r="M24" s="824">
        <f>Phase1begin+constructiontimephase1-1</f>
        <v>3</v>
      </c>
      <c r="N24" s="824">
        <f>Phase1end+1</f>
        <v>4</v>
      </c>
      <c r="O24" s="824">
        <f>Phase1open+MAX(K7:K16)-1</f>
        <v>6</v>
      </c>
      <c r="R24" s="39" t="s">
        <v>415</v>
      </c>
      <c r="S24" s="72">
        <v>0.55000000000000004</v>
      </c>
    </row>
    <row r="25" spans="2:30">
      <c r="B25" s="60" t="s">
        <v>164</v>
      </c>
      <c r="C25" s="49">
        <f>SUMPRODUCT($C$8:$C$11,C18:C21)</f>
        <v>667.5</v>
      </c>
      <c r="D25" s="50">
        <f>SUMPRODUCT(C18:C21,C13:C16)</f>
        <v>1350</v>
      </c>
      <c r="E25" s="47">
        <f>D25/C25</f>
        <v>2.0224719101123596</v>
      </c>
      <c r="F25" s="144">
        <f>MarketrateSF/SUM(MarketrateSF,ResidentialCondominiumSF,ResidentialAffordableSF)</f>
        <v>0.53067134067102129</v>
      </c>
      <c r="G25" s="148">
        <f>MarketrateSF*(1-T7)</f>
        <v>941445.06874199992</v>
      </c>
      <c r="H25" s="148">
        <f>G25/C25</f>
        <v>1410.4045973662919</v>
      </c>
      <c r="J25" s="836">
        <v>2</v>
      </c>
      <c r="K25" s="825">
        <v>2</v>
      </c>
      <c r="L25" s="837">
        <f>Phase1open</f>
        <v>4</v>
      </c>
      <c r="M25" s="824">
        <f>Phase2begin+constructiontimephase2-1</f>
        <v>5</v>
      </c>
      <c r="N25" s="824">
        <f>Phase2end+1</f>
        <v>6</v>
      </c>
      <c r="O25" s="824">
        <f>Phase2open+MAX(K7:K16)-1</f>
        <v>8</v>
      </c>
      <c r="R25" s="39" t="s">
        <v>411</v>
      </c>
      <c r="S25" s="72">
        <v>0.05</v>
      </c>
    </row>
    <row r="26" spans="2:30">
      <c r="B26" s="60" t="s">
        <v>140</v>
      </c>
      <c r="C26" s="49">
        <f>SUMPRODUCT($D$8:$D$11,D18:D21)</f>
        <v>1050</v>
      </c>
      <c r="D26" s="50">
        <f>SUMPRODUCT(D18:D21,D13:D16)</f>
        <v>1436.6666666666667</v>
      </c>
      <c r="E26" s="47">
        <f>D26/C26</f>
        <v>1.3682539682539683</v>
      </c>
      <c r="F26" s="144">
        <f>ResidentialAffordableSF/SUM(MarketrateSF,ResidentialCondominiumSF,ResidentialAffordableSF)</f>
        <v>0.15611012364212709</v>
      </c>
      <c r="G26" s="148">
        <f>ResidentialAffordableSF*(1-T8)</f>
        <v>276949.39375800005</v>
      </c>
      <c r="H26" s="148">
        <f>G26/C26</f>
        <v>263.76132738857149</v>
      </c>
      <c r="J26" s="836">
        <v>3</v>
      </c>
      <c r="K26" s="825">
        <v>2</v>
      </c>
      <c r="L26" s="837">
        <f>Phase2open</f>
        <v>6</v>
      </c>
      <c r="M26" s="824">
        <f>Phase3begin+constructiontimephase3-1</f>
        <v>7</v>
      </c>
      <c r="N26" s="824">
        <f>Phase3end+1</f>
        <v>8</v>
      </c>
      <c r="O26" s="824">
        <f>Phase3open+MAX(K7:K16)-1</f>
        <v>10</v>
      </c>
      <c r="R26" s="39" t="s">
        <v>447</v>
      </c>
      <c r="S26" s="72">
        <v>0.02</v>
      </c>
    </row>
    <row r="27" spans="2:30">
      <c r="E27" s="51" t="s">
        <v>107</v>
      </c>
      <c r="F27" s="145"/>
      <c r="G27" s="148"/>
      <c r="H27" s="149"/>
    </row>
    <row r="28" spans="2:30">
      <c r="B28" s="60" t="s">
        <v>92</v>
      </c>
      <c r="C28" s="49">
        <f>SUMPRODUCT($E$8:$E$11,E18:E21)</f>
        <v>832.5</v>
      </c>
      <c r="D28" s="50"/>
      <c r="E28" s="52">
        <v>290</v>
      </c>
      <c r="F28" s="144">
        <f>ResidentialCondominiumSF/SUM(MarketrateSF,ResidentialCondominiumSF,ResidentialAffordableSF)</f>
        <v>0.3132185356868516</v>
      </c>
      <c r="G28" s="148">
        <f>ResidentialCondominiumSF*(1-T9)</f>
        <v>555669.81530999998</v>
      </c>
      <c r="H28" s="148">
        <f>G28/C28</f>
        <v>667.47124962162161</v>
      </c>
      <c r="J28" s="824" t="s">
        <v>157</v>
      </c>
      <c r="K28" s="838">
        <v>0.03</v>
      </c>
      <c r="R28" s="664" t="s">
        <v>172</v>
      </c>
      <c r="S28" s="664"/>
      <c r="T28" s="664"/>
      <c r="U28" s="664"/>
    </row>
    <row r="29" spans="2:30">
      <c r="B29" s="43" t="s">
        <v>212</v>
      </c>
      <c r="C29" s="143">
        <f>SUMPRODUCT(C25:C28,F25:F28)</f>
        <v>778.89318068144405</v>
      </c>
      <c r="E29" s="50">
        <f>Condoaveragesize*CondosalePSF</f>
        <v>241425</v>
      </c>
      <c r="F29" s="172">
        <f>SUM(F25:F28)</f>
        <v>1</v>
      </c>
      <c r="G29" s="147"/>
      <c r="H29" s="49">
        <f>SUM(H25:H28)</f>
        <v>2341.6371743764848</v>
      </c>
      <c r="R29" s="39" t="s">
        <v>416</v>
      </c>
      <c r="S29" s="72">
        <v>0.65</v>
      </c>
    </row>
    <row r="30" spans="2:30">
      <c r="J30" s="63" t="s">
        <v>268</v>
      </c>
      <c r="K30" s="64"/>
      <c r="R30" s="39" t="s">
        <v>448</v>
      </c>
      <c r="S30" s="72">
        <v>4.2500000000000003E-2</v>
      </c>
    </row>
    <row r="31" spans="2:30">
      <c r="B31" s="56" t="s">
        <v>113</v>
      </c>
      <c r="C31" s="57"/>
      <c r="D31" s="57"/>
      <c r="E31" s="57"/>
      <c r="F31" s="57"/>
      <c r="G31" s="57"/>
      <c r="H31" s="57"/>
      <c r="J31" s="824" t="s">
        <v>246</v>
      </c>
      <c r="K31" s="827">
        <v>2</v>
      </c>
      <c r="R31" s="39" t="s">
        <v>417</v>
      </c>
      <c r="S31" s="45">
        <v>30</v>
      </c>
    </row>
    <row r="32" spans="2:30">
      <c r="J32" s="824" t="s">
        <v>247</v>
      </c>
      <c r="K32" s="827">
        <v>5</v>
      </c>
      <c r="R32" s="39" t="s">
        <v>449</v>
      </c>
      <c r="S32" s="72">
        <v>0.02</v>
      </c>
    </row>
    <row r="33" spans="2:26">
      <c r="B33" s="61" t="s">
        <v>112</v>
      </c>
      <c r="C33" s="61" t="s">
        <v>101</v>
      </c>
      <c r="D33" s="51" t="s">
        <v>118</v>
      </c>
      <c r="J33" s="824" t="s">
        <v>260</v>
      </c>
      <c r="K33" s="827">
        <v>35</v>
      </c>
    </row>
    <row r="34" spans="2:26">
      <c r="B34" s="39" t="s">
        <v>111</v>
      </c>
      <c r="C34" s="52">
        <v>25</v>
      </c>
      <c r="R34" s="39" t="s">
        <v>524</v>
      </c>
      <c r="S34" s="72">
        <v>0.09</v>
      </c>
      <c r="Y34" s="43"/>
      <c r="Z34" s="43"/>
    </row>
    <row r="35" spans="2:26">
      <c r="B35" s="39" t="s">
        <v>110</v>
      </c>
      <c r="C35" s="52">
        <v>13.8</v>
      </c>
      <c r="J35" s="63" t="s">
        <v>177</v>
      </c>
      <c r="K35" s="63"/>
    </row>
    <row r="36" spans="2:26">
      <c r="J36" s="824" t="s">
        <v>176</v>
      </c>
      <c r="K36" s="839">
        <v>0.02</v>
      </c>
    </row>
    <row r="37" spans="2:26">
      <c r="B37" s="56" t="s">
        <v>115</v>
      </c>
      <c r="C37" s="57"/>
      <c r="D37" s="57"/>
      <c r="E37" s="57"/>
      <c r="F37" s="57"/>
      <c r="G37" s="57"/>
      <c r="H37" s="57"/>
      <c r="R37" s="840" t="s">
        <v>683</v>
      </c>
      <c r="S37" s="664"/>
      <c r="T37" s="664"/>
      <c r="U37" s="664"/>
    </row>
    <row r="38" spans="2:26">
      <c r="E38" s="914"/>
      <c r="F38" s="914"/>
      <c r="G38" s="914"/>
      <c r="J38" s="63" t="s">
        <v>203</v>
      </c>
      <c r="K38" s="63"/>
      <c r="R38" s="39" t="s">
        <v>652</v>
      </c>
      <c r="S38" s="339">
        <v>0.35</v>
      </c>
    </row>
    <row r="39" spans="2:26">
      <c r="B39" s="62" t="s">
        <v>116</v>
      </c>
      <c r="C39" s="62" t="s">
        <v>117</v>
      </c>
      <c r="D39" s="62" t="s">
        <v>118</v>
      </c>
      <c r="E39" s="62" t="s">
        <v>225</v>
      </c>
      <c r="F39" s="62" t="s">
        <v>226</v>
      </c>
      <c r="G39" s="62" t="s">
        <v>227</v>
      </c>
      <c r="J39" s="824" t="s">
        <v>202</v>
      </c>
      <c r="K39" s="838">
        <v>0.25</v>
      </c>
      <c r="L39" s="43"/>
      <c r="M39" s="43"/>
      <c r="R39" s="39" t="s">
        <v>653</v>
      </c>
      <c r="S39" s="337">
        <v>96.515000000000001</v>
      </c>
    </row>
    <row r="40" spans="2:26">
      <c r="B40" s="39" t="s">
        <v>165</v>
      </c>
      <c r="C40" s="52">
        <v>30</v>
      </c>
      <c r="D40" s="52">
        <v>10</v>
      </c>
      <c r="E40" s="148">
        <f>summary!AC17</f>
        <v>217930.61257500001</v>
      </c>
      <c r="F40" s="185">
        <f>E40/$E$43</f>
        <v>0.91650839683793262</v>
      </c>
      <c r="G40" s="184">
        <f>C40*F40</f>
        <v>27.495251905137977</v>
      </c>
      <c r="J40" s="824" t="s">
        <v>155</v>
      </c>
      <c r="K40" s="838">
        <v>0.1</v>
      </c>
      <c r="R40" s="39" t="s">
        <v>682</v>
      </c>
      <c r="S40" s="338">
        <v>0.25</v>
      </c>
    </row>
    <row r="41" spans="2:26">
      <c r="B41" s="39" t="s">
        <v>142</v>
      </c>
      <c r="C41" s="52">
        <v>27.5</v>
      </c>
      <c r="D41" s="52">
        <v>10</v>
      </c>
      <c r="E41" s="148">
        <f>summary!AC18</f>
        <v>7506.5</v>
      </c>
      <c r="F41" s="185">
        <f>E41/$E$43</f>
        <v>3.1568627278080512E-2</v>
      </c>
      <c r="G41" s="184">
        <f>C41*F41</f>
        <v>0.8681372501472141</v>
      </c>
      <c r="J41" s="824" t="s">
        <v>189</v>
      </c>
      <c r="K41" s="838">
        <v>7.4999999999999997E-3</v>
      </c>
      <c r="R41" s="39" t="s">
        <v>660</v>
      </c>
      <c r="S41" s="337">
        <v>1.25</v>
      </c>
    </row>
    <row r="42" spans="2:26">
      <c r="B42" s="39" t="s">
        <v>143</v>
      </c>
      <c r="C42" s="52">
        <v>25</v>
      </c>
      <c r="D42" s="52">
        <v>10</v>
      </c>
      <c r="E42" s="148">
        <f>summary!AC19</f>
        <v>12346.429100000001</v>
      </c>
      <c r="F42" s="185">
        <f>E42/$E$43</f>
        <v>5.1922975883986824E-2</v>
      </c>
      <c r="G42" s="184">
        <f>C42*F42</f>
        <v>1.2980743970996707</v>
      </c>
      <c r="R42" s="39" t="s">
        <v>664</v>
      </c>
      <c r="S42" s="339">
        <v>0.06</v>
      </c>
      <c r="Y42" s="43"/>
      <c r="Z42" s="43"/>
    </row>
    <row r="43" spans="2:26">
      <c r="E43" s="148">
        <f>SUM(E40:E42)</f>
        <v>237783.54167500001</v>
      </c>
      <c r="F43" s="183"/>
      <c r="G43" s="186">
        <f>SUM(G40:G42)</f>
        <v>29.661463552384863</v>
      </c>
      <c r="J43" s="63" t="s">
        <v>185</v>
      </c>
      <c r="K43" s="63"/>
      <c r="N43" s="39" t="s">
        <v>282</v>
      </c>
      <c r="R43" s="39" t="s">
        <v>665</v>
      </c>
      <c r="S43" s="337">
        <v>30</v>
      </c>
    </row>
    <row r="44" spans="2:26">
      <c r="B44" s="56" t="s">
        <v>119</v>
      </c>
      <c r="C44" s="57"/>
      <c r="D44" s="57"/>
      <c r="E44" s="57"/>
      <c r="F44" s="57"/>
      <c r="G44" s="57"/>
      <c r="H44" s="57"/>
      <c r="J44" s="824" t="s">
        <v>217</v>
      </c>
      <c r="K44" s="825">
        <v>10</v>
      </c>
      <c r="R44" s="39" t="s">
        <v>668</v>
      </c>
      <c r="S44" s="333">
        <v>0.01</v>
      </c>
    </row>
    <row r="45" spans="2:26">
      <c r="J45" s="824" t="s">
        <v>186</v>
      </c>
      <c r="K45" s="825">
        <v>10</v>
      </c>
    </row>
    <row r="46" spans="2:26">
      <c r="B46" s="51" t="s">
        <v>128</v>
      </c>
      <c r="C46" s="51" t="s">
        <v>121</v>
      </c>
      <c r="D46" s="51"/>
      <c r="J46" s="824" t="s">
        <v>187</v>
      </c>
      <c r="K46" s="838">
        <v>2.5000000000000001E-2</v>
      </c>
    </row>
    <row r="47" spans="2:26">
      <c r="B47" s="39" t="s">
        <v>225</v>
      </c>
      <c r="C47" s="188">
        <f>summary!AC20</f>
        <v>338406.64540000004</v>
      </c>
      <c r="J47" s="824" t="s">
        <v>264</v>
      </c>
      <c r="K47" s="838">
        <v>0.05</v>
      </c>
    </row>
    <row r="48" spans="2:26">
      <c r="B48" s="39" t="s">
        <v>191</v>
      </c>
      <c r="C48" s="189">
        <f>T12</f>
        <v>0.25</v>
      </c>
      <c r="J48" s="824" t="s">
        <v>218</v>
      </c>
      <c r="K48" s="838">
        <v>0.05</v>
      </c>
    </row>
    <row r="49" spans="2:26">
      <c r="B49" s="39" t="s">
        <v>228</v>
      </c>
      <c r="C49" s="148">
        <f>C47*(1-C48)</f>
        <v>253804.98405000003</v>
      </c>
    </row>
    <row r="50" spans="2:26">
      <c r="B50" s="39" t="s">
        <v>215</v>
      </c>
      <c r="C50" s="45">
        <v>325</v>
      </c>
    </row>
    <row r="51" spans="2:26">
      <c r="B51" s="39" t="s">
        <v>229</v>
      </c>
      <c r="C51" s="148">
        <f>C49/C50</f>
        <v>780.93841246153852</v>
      </c>
    </row>
    <row r="52" spans="2:26">
      <c r="B52" s="39" t="s">
        <v>120</v>
      </c>
      <c r="C52" s="52">
        <v>165</v>
      </c>
    </row>
    <row r="53" spans="2:26">
      <c r="B53" s="39" t="s">
        <v>230</v>
      </c>
      <c r="C53" s="52"/>
    </row>
    <row r="54" spans="2:26">
      <c r="D54" s="52"/>
    </row>
    <row r="55" spans="2:26">
      <c r="B55" s="51" t="s">
        <v>122</v>
      </c>
      <c r="C55" s="51" t="s">
        <v>127</v>
      </c>
      <c r="D55" s="51" t="s">
        <v>129</v>
      </c>
    </row>
    <row r="56" spans="2:26">
      <c r="B56" s="39" t="s">
        <v>125</v>
      </c>
      <c r="C56" s="44">
        <v>0.1</v>
      </c>
      <c r="D56" s="44">
        <v>0.1</v>
      </c>
    </row>
    <row r="57" spans="2:26">
      <c r="B57" s="39" t="s">
        <v>126</v>
      </c>
      <c r="C57" s="44">
        <v>0.05</v>
      </c>
      <c r="D57" s="44">
        <v>0.1</v>
      </c>
    </row>
    <row r="58" spans="2:26">
      <c r="O58" s="43"/>
      <c r="P58" s="43"/>
      <c r="Q58" s="43"/>
      <c r="R58" s="43"/>
      <c r="S58" s="43"/>
      <c r="T58" s="43"/>
      <c r="U58" s="43"/>
      <c r="V58" s="43"/>
      <c r="Y58" s="43"/>
      <c r="Z58" s="43"/>
    </row>
    <row r="59" spans="2:26">
      <c r="B59" s="56" t="s">
        <v>131</v>
      </c>
      <c r="C59" s="57"/>
      <c r="D59" s="57"/>
      <c r="E59" s="57"/>
      <c r="F59" s="57"/>
      <c r="G59" s="57"/>
      <c r="H59" s="57"/>
      <c r="J59" s="63" t="s">
        <v>131</v>
      </c>
      <c r="K59" s="63"/>
      <c r="L59" s="63"/>
      <c r="M59" s="63"/>
      <c r="N59" s="63"/>
      <c r="O59" s="63"/>
    </row>
    <row r="60" spans="2:26">
      <c r="M60" s="900" t="s">
        <v>89</v>
      </c>
      <c r="N60" s="900"/>
      <c r="O60" s="900"/>
    </row>
    <row r="61" spans="2:26">
      <c r="B61" s="51" t="s">
        <v>397</v>
      </c>
      <c r="C61" s="51" t="s">
        <v>396</v>
      </c>
      <c r="D61" s="51" t="s">
        <v>398</v>
      </c>
      <c r="E61" s="51" t="s">
        <v>132</v>
      </c>
      <c r="F61" s="51" t="s">
        <v>133</v>
      </c>
      <c r="G61" s="51" t="s">
        <v>134</v>
      </c>
      <c r="H61" s="51" t="s">
        <v>135</v>
      </c>
      <c r="J61" s="273" t="s">
        <v>93</v>
      </c>
      <c r="K61" s="273" t="s">
        <v>208</v>
      </c>
      <c r="L61" s="273" t="s">
        <v>209</v>
      </c>
      <c r="M61" s="273">
        <v>1</v>
      </c>
      <c r="N61" s="273">
        <v>2</v>
      </c>
      <c r="O61" s="273">
        <v>3</v>
      </c>
      <c r="Q61" s="331" t="s">
        <v>558</v>
      </c>
      <c r="R61" s="331"/>
      <c r="S61" s="39" t="s">
        <v>559</v>
      </c>
    </row>
    <row r="62" spans="2:26">
      <c r="B62" s="44">
        <v>0.6</v>
      </c>
      <c r="C62" s="53">
        <v>200</v>
      </c>
      <c r="D62" s="376">
        <f>1-M15</f>
        <v>0.95</v>
      </c>
      <c r="E62" s="54">
        <v>15</v>
      </c>
      <c r="F62" s="44">
        <v>0.4</v>
      </c>
      <c r="G62" s="54">
        <f>8*30</f>
        <v>240</v>
      </c>
      <c r="H62" s="44">
        <v>0.6</v>
      </c>
      <c r="J62" s="43" t="s">
        <v>105</v>
      </c>
      <c r="K62" s="366">
        <v>0.75</v>
      </c>
      <c r="L62" s="366" t="s">
        <v>210</v>
      </c>
      <c r="M62" s="148">
        <f>SUM('Summary Board'!H60:H62)*$K62</f>
        <v>474.43726842219422</v>
      </c>
      <c r="N62" s="148">
        <f>(SUM('Summary Board'!J60:J62)-M62)*$K62</f>
        <v>880.05522069232438</v>
      </c>
      <c r="O62" s="148">
        <f>(SUM('Summary Board'!L60:L62)-M62-N62)*$K62</f>
        <v>740.35851394647466</v>
      </c>
      <c r="Q62" s="39" t="s">
        <v>715</v>
      </c>
      <c r="R62" s="332"/>
    </row>
    <row r="63" spans="2:26">
      <c r="C63" s="53"/>
      <c r="D63" s="54"/>
      <c r="E63" s="44"/>
      <c r="F63" s="54"/>
      <c r="G63" s="44"/>
      <c r="J63" s="43" t="s">
        <v>109</v>
      </c>
      <c r="K63" s="366">
        <v>1.5</v>
      </c>
      <c r="L63" s="366">
        <v>1000</v>
      </c>
      <c r="M63" s="148">
        <f>(summary!B15/$L63)*$K63</f>
        <v>1153.28775</v>
      </c>
      <c r="N63" s="148">
        <f>(summary!C15/$L63)*$K63</f>
        <v>58.185749999999999</v>
      </c>
      <c r="O63" s="148">
        <f>(summary!D15/$L63)*$K63</f>
        <v>767.06973513750006</v>
      </c>
    </row>
    <row r="64" spans="2:26">
      <c r="C64" s="53"/>
      <c r="D64" s="54"/>
      <c r="E64" s="270"/>
      <c r="F64" s="269" t="s">
        <v>400</v>
      </c>
      <c r="G64" s="54">
        <f>((E62*30)*F62)+(G62*H62)</f>
        <v>324</v>
      </c>
      <c r="H64" s="44"/>
      <c r="J64" s="43" t="s">
        <v>144</v>
      </c>
      <c r="K64" s="366">
        <v>0.75</v>
      </c>
      <c r="L64" s="366" t="s">
        <v>210</v>
      </c>
      <c r="M64" s="148">
        <f>hotel!O11*$K64</f>
        <v>223.29090761538458</v>
      </c>
      <c r="N64" s="148">
        <f>hotel!O39*$K64</f>
        <v>362.41290173076925</v>
      </c>
      <c r="O64" s="148">
        <f>hotel!O67*$K64</f>
        <v>0</v>
      </c>
      <c r="Q64" s="39" t="s">
        <v>721</v>
      </c>
      <c r="R64" s="39" t="s">
        <v>105</v>
      </c>
      <c r="S64" s="39" t="s">
        <v>722</v>
      </c>
    </row>
    <row r="65" spans="2:20">
      <c r="C65" s="53"/>
      <c r="D65" s="54"/>
      <c r="E65" s="44"/>
      <c r="F65" s="54"/>
      <c r="G65" s="54"/>
      <c r="H65" s="44"/>
      <c r="J65" s="43" t="s">
        <v>141</v>
      </c>
      <c r="K65" s="366">
        <v>0.75</v>
      </c>
      <c r="L65" s="366">
        <v>500</v>
      </c>
      <c r="M65" s="148">
        <f>(summary!B16/$L65)*$K65</f>
        <v>228.66081555</v>
      </c>
      <c r="N65" s="148">
        <f>(summary!C16/$L65)*$K65</f>
        <v>141.02728260000001</v>
      </c>
      <c r="O65" s="148">
        <f>(summary!D16/$L65)*$K65</f>
        <v>23.194214362499999</v>
      </c>
      <c r="Q65" s="39" t="s">
        <v>144</v>
      </c>
      <c r="R65" s="39" t="s">
        <v>716</v>
      </c>
      <c r="S65" s="39" t="s">
        <v>722</v>
      </c>
    </row>
    <row r="66" spans="2:20">
      <c r="J66" s="43" t="s">
        <v>717</v>
      </c>
      <c r="K66" s="366">
        <v>0.75</v>
      </c>
      <c r="L66" s="366">
        <v>500</v>
      </c>
      <c r="M66" s="367">
        <f>(summary!B22/$L66)*$K66</f>
        <v>189.10605029999999</v>
      </c>
      <c r="N66" s="367">
        <f>(summary!C22/$L66)*$K66</f>
        <v>0</v>
      </c>
      <c r="O66" s="367">
        <f>(summary!D22/$L66)*$K66</f>
        <v>0</v>
      </c>
      <c r="Q66" s="39" t="s">
        <v>109</v>
      </c>
    </row>
    <row r="67" spans="2:20">
      <c r="B67" s="56" t="s">
        <v>145</v>
      </c>
      <c r="C67" s="57"/>
      <c r="D67" s="57"/>
      <c r="E67" s="57"/>
      <c r="F67" s="57"/>
      <c r="G67" s="57"/>
      <c r="H67" s="57"/>
      <c r="M67" s="49">
        <f>SUM(M62:M66)</f>
        <v>2268.7827918875787</v>
      </c>
      <c r="N67" s="49">
        <f>SUM(N62:N66)</f>
        <v>1441.6811550230937</v>
      </c>
      <c r="O67" s="49">
        <f>SUM(O62:O66)</f>
        <v>1530.6224634464745</v>
      </c>
      <c r="Q67" s="39" t="s">
        <v>717</v>
      </c>
      <c r="R67" s="39" t="s">
        <v>718</v>
      </c>
      <c r="S67" s="39" t="s">
        <v>719</v>
      </c>
    </row>
    <row r="68" spans="2:20">
      <c r="N68" s="828" t="s">
        <v>545</v>
      </c>
      <c r="O68" s="143">
        <f>SUM(M67:O67)</f>
        <v>5241.0864103571466</v>
      </c>
      <c r="Q68" s="39" t="s">
        <v>141</v>
      </c>
      <c r="R68" s="39" t="s">
        <v>141</v>
      </c>
      <c r="S68" s="39" t="s">
        <v>720</v>
      </c>
    </row>
    <row r="69" spans="2:20">
      <c r="B69" s="361" t="s">
        <v>136</v>
      </c>
      <c r="C69" s="826"/>
      <c r="E69" s="361" t="s">
        <v>285</v>
      </c>
      <c r="F69" s="361" t="s">
        <v>287</v>
      </c>
      <c r="N69" s="828" t="s">
        <v>546</v>
      </c>
      <c r="O69" s="148">
        <f>'Summary Board'!N66</f>
        <v>2320.5254631000003</v>
      </c>
    </row>
    <row r="70" spans="2:20">
      <c r="B70" s="39" t="s">
        <v>137</v>
      </c>
      <c r="C70" s="45">
        <v>300</v>
      </c>
      <c r="E70" s="39" t="s">
        <v>286</v>
      </c>
      <c r="F70" s="45">
        <v>1000</v>
      </c>
      <c r="Q70" s="331" t="s">
        <v>730</v>
      </c>
    </row>
    <row r="71" spans="2:20">
      <c r="B71" s="39" t="s">
        <v>138</v>
      </c>
      <c r="C71" s="55">
        <f>C70*365</f>
        <v>109500</v>
      </c>
    </row>
    <row r="72" spans="2:20">
      <c r="E72" s="39" t="s">
        <v>291</v>
      </c>
      <c r="F72" s="53">
        <v>5</v>
      </c>
      <c r="Q72" s="331" t="s">
        <v>731</v>
      </c>
      <c r="R72" s="331"/>
      <c r="S72" s="331"/>
      <c r="T72" s="331"/>
    </row>
    <row r="73" spans="2:20">
      <c r="B73" s="361" t="s">
        <v>139</v>
      </c>
      <c r="C73" s="826"/>
      <c r="E73" s="39" t="s">
        <v>292</v>
      </c>
      <c r="F73" s="53">
        <v>8</v>
      </c>
      <c r="Q73" s="370" t="s">
        <v>738</v>
      </c>
      <c r="R73" s="331"/>
      <c r="S73" s="331"/>
      <c r="T73" s="331"/>
    </row>
    <row r="74" spans="2:20">
      <c r="B74" s="39" t="s">
        <v>137</v>
      </c>
      <c r="C74" s="188">
        <v>500</v>
      </c>
      <c r="E74" s="39" t="s">
        <v>293</v>
      </c>
      <c r="F74" s="54">
        <v>15</v>
      </c>
    </row>
    <row r="75" spans="2:20">
      <c r="B75" s="39" t="s">
        <v>138</v>
      </c>
      <c r="C75" s="55">
        <f>C74*365</f>
        <v>182500</v>
      </c>
      <c r="E75" s="39" t="s">
        <v>294</v>
      </c>
      <c r="F75" s="53">
        <v>364</v>
      </c>
    </row>
    <row r="76" spans="2:20">
      <c r="B76" s="39" t="s">
        <v>289</v>
      </c>
      <c r="C76" s="52">
        <v>1</v>
      </c>
      <c r="E76" s="39" t="s">
        <v>297</v>
      </c>
      <c r="F76" s="50">
        <f>F72*F73*F74*F75</f>
        <v>218400</v>
      </c>
    </row>
    <row r="77" spans="2:20">
      <c r="C77" s="44"/>
    </row>
    <row r="78" spans="2:20">
      <c r="E78" s="39" t="s">
        <v>295</v>
      </c>
      <c r="F78" s="53">
        <v>2</v>
      </c>
    </row>
    <row r="79" spans="2:20">
      <c r="E79" s="39" t="s">
        <v>296</v>
      </c>
      <c r="F79" s="54">
        <v>50000</v>
      </c>
      <c r="S79" s="39" t="s">
        <v>723</v>
      </c>
      <c r="T79" s="39">
        <v>239</v>
      </c>
    </row>
    <row r="80" spans="2:20">
      <c r="E80" s="39" t="s">
        <v>297</v>
      </c>
      <c r="F80" s="209">
        <f>F78*F79</f>
        <v>100000</v>
      </c>
      <c r="S80" s="39" t="s">
        <v>724</v>
      </c>
      <c r="T80" s="39">
        <v>350</v>
      </c>
    </row>
    <row r="81" spans="2:20">
      <c r="S81" s="39" t="s">
        <v>727</v>
      </c>
      <c r="T81" s="39">
        <v>238</v>
      </c>
    </row>
    <row r="82" spans="2:20">
      <c r="E82" s="39" t="s">
        <v>298</v>
      </c>
      <c r="F82" s="209">
        <f>F76+F80</f>
        <v>318400</v>
      </c>
      <c r="S82" s="39" t="s">
        <v>726</v>
      </c>
      <c r="T82" s="39">
        <v>1276</v>
      </c>
    </row>
    <row r="83" spans="2:20">
      <c r="E83" s="39" t="s">
        <v>299</v>
      </c>
      <c r="F83" s="209">
        <f>F82/12</f>
        <v>26533.333333333332</v>
      </c>
      <c r="S83" s="39" t="s">
        <v>725</v>
      </c>
      <c r="T83" s="39">
        <v>394</v>
      </c>
    </row>
    <row r="84" spans="2:20">
      <c r="S84" s="39" t="s">
        <v>728</v>
      </c>
      <c r="T84" s="39">
        <v>3497</v>
      </c>
    </row>
    <row r="85" spans="2:20" ht="14.5">
      <c r="B85"/>
      <c r="S85" s="39" t="s">
        <v>729</v>
      </c>
      <c r="T85" s="39">
        <v>1187</v>
      </c>
    </row>
    <row r="86" spans="2:20" ht="14.5">
      <c r="B86" s="150"/>
      <c r="T86" s="43">
        <f>SUM(T79:T85)</f>
        <v>7181</v>
      </c>
    </row>
    <row r="87" spans="2:20" ht="14.5">
      <c r="B87" s="368" t="s">
        <v>733</v>
      </c>
      <c r="C87" s="39" t="s">
        <v>734</v>
      </c>
      <c r="D87" s="369" t="s">
        <v>735</v>
      </c>
    </row>
    <row r="88" spans="2:20">
      <c r="B88" s="39" t="s">
        <v>736</v>
      </c>
      <c r="C88" s="50">
        <f>31350*2</f>
        <v>62700</v>
      </c>
      <c r="D88" s="157">
        <v>0.8</v>
      </c>
      <c r="E88" s="50">
        <f>C88*D88</f>
        <v>50160</v>
      </c>
      <c r="F88" s="50">
        <f>E88/12</f>
        <v>4180</v>
      </c>
      <c r="G88" s="50">
        <f>F88/3</f>
        <v>1393.3333333333333</v>
      </c>
    </row>
    <row r="89" spans="2:20">
      <c r="B89" s="39" t="s">
        <v>737</v>
      </c>
      <c r="C89" s="50">
        <f>35250*2</f>
        <v>70500</v>
      </c>
      <c r="D89" s="157">
        <v>0.8</v>
      </c>
      <c r="E89" s="50">
        <f>C89*D89</f>
        <v>56400</v>
      </c>
      <c r="F89" s="50">
        <f>E89/12</f>
        <v>4700</v>
      </c>
      <c r="G89" s="50">
        <f>F89/3</f>
        <v>1566.6666666666667</v>
      </c>
    </row>
    <row r="90" spans="2:20" ht="14.5">
      <c r="B90"/>
    </row>
    <row r="91" spans="2:20" ht="14.5">
      <c r="B91"/>
    </row>
    <row r="92" spans="2:20" ht="14.5">
      <c r="B92"/>
    </row>
    <row r="93" spans="2:20" ht="14.5">
      <c r="B93"/>
    </row>
  </sheetData>
  <mergeCells count="3">
    <mergeCell ref="E38:G38"/>
    <mergeCell ref="M60:O60"/>
    <mergeCell ref="AA5:AD5"/>
  </mergeCells>
  <hyperlinks>
    <hyperlink ref="D87" r:id="rId1" xr:uid="{1346290F-9C12-4296-8003-F4315997DD3C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1E07-C16D-4F29-8379-E0384A796143}">
  <sheetPr>
    <tabColor theme="9"/>
  </sheetPr>
  <dimension ref="A1"/>
  <sheetViews>
    <sheetView showGridLines="0" zoomScale="60" zoomScaleNormal="60" workbookViewId="0">
      <selection activeCell="H29" sqref="H29"/>
    </sheetView>
  </sheetViews>
  <sheetFormatPr defaultRowHeight="14.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577AA-97BF-4140-AB95-3C19111324D6}">
  <sheetPr>
    <tabColor theme="9" tint="0.59999389629810485"/>
  </sheetPr>
  <dimension ref="A2:S230"/>
  <sheetViews>
    <sheetView showGridLines="0" topLeftCell="K70" zoomScale="90" zoomScaleNormal="55" zoomScaleSheetLayoutView="70" workbookViewId="0">
      <selection activeCell="N204" sqref="N204"/>
    </sheetView>
  </sheetViews>
  <sheetFormatPr defaultRowHeight="9.5" outlineLevelRow="1"/>
  <cols>
    <col min="1" max="1" width="8.7265625" style="106"/>
    <col min="2" max="2" width="26" style="106" customWidth="1"/>
    <col min="3" max="3" width="10.08984375" style="106" customWidth="1"/>
    <col min="4" max="4" width="9.7265625" style="106" customWidth="1"/>
    <col min="5" max="5" width="11.81640625" style="106" bestFit="1" customWidth="1"/>
    <col min="6" max="6" width="11.36328125" style="106" bestFit="1" customWidth="1"/>
    <col min="7" max="8" width="11" style="106" bestFit="1" customWidth="1"/>
    <col min="9" max="9" width="11.36328125" style="106" bestFit="1" customWidth="1"/>
    <col min="10" max="10" width="13.81640625" style="106" bestFit="1" customWidth="1"/>
    <col min="11" max="11" width="11.36328125" style="106" bestFit="1" customWidth="1"/>
    <col min="12" max="12" width="11.1796875" style="106" bestFit="1" customWidth="1"/>
    <col min="13" max="13" width="10.54296875" style="106" bestFit="1" customWidth="1"/>
    <col min="14" max="14" width="12.36328125" style="106" bestFit="1" customWidth="1"/>
    <col min="15" max="15" width="2.90625" style="106" customWidth="1"/>
    <col min="16" max="16" width="21.6328125" style="267" customWidth="1"/>
    <col min="17" max="17" width="13.1796875" style="106" customWidth="1"/>
    <col min="18" max="18" width="8.7265625" style="120"/>
    <col min="19" max="19" width="14.6328125" style="106" customWidth="1"/>
    <col min="20" max="16384" width="8.7265625" style="106"/>
  </cols>
  <sheetData>
    <row r="2" spans="1:18">
      <c r="D2" s="107">
        <v>0</v>
      </c>
      <c r="E2" s="107">
        <v>1</v>
      </c>
      <c r="F2" s="107">
        <v>2</v>
      </c>
      <c r="G2" s="107">
        <v>3</v>
      </c>
      <c r="H2" s="107">
        <v>4</v>
      </c>
      <c r="I2" s="107">
        <v>5</v>
      </c>
      <c r="J2" s="107">
        <v>6</v>
      </c>
      <c r="K2" s="107">
        <v>7</v>
      </c>
      <c r="L2" s="107">
        <v>8</v>
      </c>
      <c r="M2" s="107">
        <v>9</v>
      </c>
      <c r="N2" s="107">
        <v>10</v>
      </c>
    </row>
    <row r="3" spans="1:18">
      <c r="A3" s="106">
        <v>1</v>
      </c>
      <c r="B3" s="219" t="s">
        <v>219</v>
      </c>
      <c r="C3" s="219" t="s">
        <v>175</v>
      </c>
      <c r="D3" s="219">
        <v>0</v>
      </c>
      <c r="E3" s="219">
        <v>1</v>
      </c>
      <c r="F3" s="219">
        <v>2</v>
      </c>
      <c r="G3" s="219">
        <v>3</v>
      </c>
      <c r="H3" s="219">
        <v>4</v>
      </c>
      <c r="I3" s="219">
        <v>5</v>
      </c>
      <c r="J3" s="219">
        <v>6</v>
      </c>
      <c r="K3" s="219">
        <v>7</v>
      </c>
      <c r="L3" s="219">
        <v>8</v>
      </c>
      <c r="M3" s="219">
        <v>9</v>
      </c>
      <c r="N3" s="219">
        <v>10</v>
      </c>
      <c r="P3" s="870" t="s">
        <v>419</v>
      </c>
      <c r="Q3" s="217"/>
    </row>
    <row r="4" spans="1:18">
      <c r="B4" s="107" t="s">
        <v>270</v>
      </c>
    </row>
    <row r="5" spans="1:18">
      <c r="B5" s="108" t="s">
        <v>164</v>
      </c>
      <c r="C5" s="108"/>
      <c r="D5" s="112">
        <f>'res, market-rate'!E19</f>
        <v>0</v>
      </c>
      <c r="E5" s="112">
        <f>'res, market-rate'!F19</f>
        <v>0</v>
      </c>
      <c r="F5" s="112">
        <f>'res, market-rate'!G19</f>
        <v>0</v>
      </c>
      <c r="G5" s="112">
        <f>'res, market-rate'!H19</f>
        <v>0</v>
      </c>
      <c r="H5" s="112">
        <f>'res, market-rate'!I19</f>
        <v>1656931.0629427526</v>
      </c>
      <c r="I5" s="112">
        <f>'res, market-rate'!J19</f>
        <v>5649056.5930254217</v>
      </c>
      <c r="J5" s="112">
        <f>'res, market-rate'!K19</f>
        <v>5762037.7248859303</v>
      </c>
      <c r="K5" s="112">
        <f>'res, market-rate'!L19</f>
        <v>5877278.4793836502</v>
      </c>
      <c r="L5" s="112">
        <f>'res, market-rate'!M19</f>
        <v>5994824.0489713214</v>
      </c>
      <c r="M5" s="112">
        <f>'res, market-rate'!N19</f>
        <v>6114720.5299507491</v>
      </c>
      <c r="N5" s="112">
        <f>'res, market-rate'!O19</f>
        <v>6237014.9405497629</v>
      </c>
      <c r="P5" s="292" t="s">
        <v>171</v>
      </c>
    </row>
    <row r="6" spans="1:18">
      <c r="B6" s="108" t="s">
        <v>156</v>
      </c>
      <c r="C6" s="108"/>
      <c r="D6" s="112">
        <f>'res, condo'!E19</f>
        <v>0</v>
      </c>
      <c r="E6" s="112">
        <f>'res, condo'!F19</f>
        <v>0</v>
      </c>
      <c r="F6" s="112">
        <f>'res, condo'!G19</f>
        <v>0</v>
      </c>
      <c r="G6" s="112">
        <f>'res, condo'!H19</f>
        <v>0</v>
      </c>
      <c r="H6" s="112">
        <f>'res, condo'!I19</f>
        <v>19375851.256382547</v>
      </c>
      <c r="I6" s="112">
        <f>'res, condo'!J19</f>
        <v>19763368.281510197</v>
      </c>
      <c r="J6" s="112">
        <f>'res, condo'!K19</f>
        <v>0</v>
      </c>
      <c r="K6" s="112">
        <f>'res, condo'!L19</f>
        <v>0</v>
      </c>
      <c r="L6" s="112">
        <f>'res, condo'!M19</f>
        <v>0</v>
      </c>
      <c r="M6" s="112">
        <f>'res, condo'!N19</f>
        <v>0</v>
      </c>
      <c r="N6" s="112">
        <f>'res, condo'!O19</f>
        <v>0</v>
      </c>
      <c r="P6" s="267" t="s">
        <v>275</v>
      </c>
      <c r="Q6" s="117">
        <f>ABS(SUMIF(D35:N35,"&lt;0",D35:N35)+SUMIF(D37:N37,"&lt;0",D37:N37))</f>
        <v>512178936.52614391</v>
      </c>
    </row>
    <row r="7" spans="1:18">
      <c r="B7" s="108" t="s">
        <v>140</v>
      </c>
      <c r="C7" s="108"/>
      <c r="D7" s="112">
        <f>'res, affordable'!E19</f>
        <v>0</v>
      </c>
      <c r="E7" s="112">
        <f>'res, affordable'!F19</f>
        <v>0</v>
      </c>
      <c r="F7" s="112">
        <f>'res, affordable'!G19</f>
        <v>0</v>
      </c>
      <c r="G7" s="112">
        <f>'res, affordable'!H19</f>
        <v>0</v>
      </c>
      <c r="H7" s="112">
        <f>'res, affordable'!I19</f>
        <v>932462.44647524355</v>
      </c>
      <c r="I7" s="112">
        <f>'res, affordable'!J19</f>
        <v>951111.69540474843</v>
      </c>
      <c r="J7" s="112">
        <f>'res, affordable'!K19</f>
        <v>970133.92931284371</v>
      </c>
      <c r="K7" s="112">
        <f>'res, affordable'!L19</f>
        <v>989536.60789910029</v>
      </c>
      <c r="L7" s="112">
        <f>'res, affordable'!M19</f>
        <v>1009327.340057082</v>
      </c>
      <c r="M7" s="112">
        <f>'res, affordable'!N19</f>
        <v>1029513.8868582238</v>
      </c>
      <c r="N7" s="112">
        <f>'res, affordable'!O19</f>
        <v>1050104.1645953888</v>
      </c>
      <c r="P7" s="267" t="s">
        <v>415</v>
      </c>
      <c r="Q7" s="110">
        <f>Loantocost</f>
        <v>0.55000000000000004</v>
      </c>
    </row>
    <row r="8" spans="1:18">
      <c r="B8" s="108" t="s">
        <v>2</v>
      </c>
      <c r="C8" s="108"/>
      <c r="D8" s="112">
        <f>office!E18</f>
        <v>0</v>
      </c>
      <c r="E8" s="112">
        <f>office!F18</f>
        <v>0</v>
      </c>
      <c r="F8" s="112">
        <f>office!G18</f>
        <v>0</v>
      </c>
      <c r="G8" s="112">
        <f>office!H18</f>
        <v>0</v>
      </c>
      <c r="H8" s="112">
        <f>office!I18</f>
        <v>619360.95304272883</v>
      </c>
      <c r="I8" s="112">
        <f>office!J18</f>
        <v>9848899.0279807672</v>
      </c>
      <c r="J8" s="112">
        <f>office!K18</f>
        <v>19447370.881535105</v>
      </c>
      <c r="K8" s="112">
        <f>office!L18</f>
        <v>19836318.299165811</v>
      </c>
      <c r="L8" s="112">
        <f>office!M18</f>
        <v>20233044.665149119</v>
      </c>
      <c r="M8" s="112">
        <f>office!N18</f>
        <v>20637705.558452107</v>
      </c>
      <c r="N8" s="112">
        <f>office!O18</f>
        <v>21050459.669621147</v>
      </c>
      <c r="P8" s="267" t="s">
        <v>529</v>
      </c>
      <c r="Q8" s="117">
        <f>Q6*Q7</f>
        <v>281698415.08937919</v>
      </c>
    </row>
    <row r="9" spans="1:18">
      <c r="B9" s="108" t="s">
        <v>141</v>
      </c>
      <c r="C9" s="197"/>
      <c r="D9" s="112">
        <f>retail!E18</f>
        <v>0</v>
      </c>
      <c r="E9" s="112">
        <f>retail!F18</f>
        <v>0</v>
      </c>
      <c r="F9" s="112">
        <f>retail!G18</f>
        <v>0</v>
      </c>
      <c r="G9" s="112">
        <f>retail!H18</f>
        <v>0</v>
      </c>
      <c r="H9" s="112">
        <f>retail!I18</f>
        <v>2065052.0497417592</v>
      </c>
      <c r="I9" s="112">
        <f>retail!J18</f>
        <v>6027778.198349609</v>
      </c>
      <c r="J9" s="112">
        <f>retail!K18</f>
        <v>6148333.7623166014</v>
      </c>
      <c r="K9" s="112">
        <f>retail!L18</f>
        <v>6271300.4375629332</v>
      </c>
      <c r="L9" s="112">
        <f>retail!M18</f>
        <v>6396726.4463141896</v>
      </c>
      <c r="M9" s="112">
        <f>retail!N18</f>
        <v>6524660.9752404736</v>
      </c>
      <c r="N9" s="112">
        <f>retail!O18</f>
        <v>6655154.1947452854</v>
      </c>
      <c r="P9" s="267" t="s">
        <v>410</v>
      </c>
      <c r="Q9" s="296" t="s">
        <v>99</v>
      </c>
    </row>
    <row r="10" spans="1:18">
      <c r="B10" s="108" t="s">
        <v>18</v>
      </c>
      <c r="C10" s="108"/>
      <c r="D10" s="112">
        <f>hotel!E20</f>
        <v>0</v>
      </c>
      <c r="E10" s="112">
        <f>hotel!F20</f>
        <v>0</v>
      </c>
      <c r="F10" s="112">
        <f>hotel!G20</f>
        <v>0</v>
      </c>
      <c r="G10" s="112">
        <f>hotel!H20</f>
        <v>0</v>
      </c>
      <c r="H10" s="112">
        <f>hotel!I20</f>
        <v>4514330.1829244187</v>
      </c>
      <c r="I10" s="112">
        <f>hotel!J20</f>
        <v>4604616.7865829077</v>
      </c>
      <c r="J10" s="112">
        <f>hotel!K20</f>
        <v>4696709.1223145649</v>
      </c>
      <c r="K10" s="112">
        <f>hotel!L20</f>
        <v>4790643.3047608566</v>
      </c>
      <c r="L10" s="112">
        <f>hotel!M20</f>
        <v>4886456.1708560735</v>
      </c>
      <c r="M10" s="112">
        <f>hotel!N20</f>
        <v>4984185.2942731958</v>
      </c>
      <c r="N10" s="112">
        <f>hotel!O20</f>
        <v>5083869.0001586601</v>
      </c>
      <c r="P10" s="267" t="s">
        <v>411</v>
      </c>
      <c r="Q10" s="122">
        <f>Constructioninterestrate</f>
        <v>0.05</v>
      </c>
    </row>
    <row r="11" spans="1:18">
      <c r="B11" s="108" t="s">
        <v>130</v>
      </c>
      <c r="C11" s="108"/>
      <c r="D11" s="112">
        <f>parking!E18</f>
        <v>0</v>
      </c>
      <c r="E11" s="112">
        <f>parking!F18</f>
        <v>0</v>
      </c>
      <c r="F11" s="112">
        <f>parking!G18</f>
        <v>0</v>
      </c>
      <c r="G11" s="112">
        <f>parking!H18</f>
        <v>0</v>
      </c>
      <c r="H11" s="112">
        <f>parking!I18</f>
        <v>460699.95673658373</v>
      </c>
      <c r="I11" s="112">
        <f>parking!J18</f>
        <v>939827.91174263135</v>
      </c>
      <c r="J11" s="112">
        <f>parking!K18</f>
        <v>958624.46997748362</v>
      </c>
      <c r="K11" s="112">
        <f>parking!L18</f>
        <v>977796.95937703317</v>
      </c>
      <c r="L11" s="112">
        <f>parking!M18</f>
        <v>997352.89856457384</v>
      </c>
      <c r="M11" s="112">
        <f>parking!N18</f>
        <v>1017299.9565358656</v>
      </c>
      <c r="N11" s="112">
        <f>parking!O18</f>
        <v>1037645.9556665826</v>
      </c>
      <c r="P11" s="267" t="s">
        <v>412</v>
      </c>
      <c r="Q11" s="316">
        <f>Q8*R11</f>
        <v>5633968.3017875841</v>
      </c>
      <c r="R11" s="858">
        <f>Constructionservicingfees</f>
        <v>0.02</v>
      </c>
    </row>
    <row r="12" spans="1:18">
      <c r="B12" s="108" t="s">
        <v>283</v>
      </c>
      <c r="C12" s="108"/>
      <c r="D12" s="113">
        <f>'public bldgs'!E14</f>
        <v>0</v>
      </c>
      <c r="E12" s="113">
        <f>'public bldgs'!F14</f>
        <v>0</v>
      </c>
      <c r="F12" s="113">
        <f>'public bldgs'!G14</f>
        <v>0</v>
      </c>
      <c r="G12" s="113">
        <f>'public bldgs'!H14</f>
        <v>0</v>
      </c>
      <c r="H12" s="113">
        <f>'public bldgs'!I14</f>
        <v>166574.2824</v>
      </c>
      <c r="I12" s="113">
        <f>'public bldgs'!J14</f>
        <v>169905.768048</v>
      </c>
      <c r="J12" s="113">
        <f>'public bldgs'!K14</f>
        <v>173303.88340896001</v>
      </c>
      <c r="K12" s="113">
        <f>'public bldgs'!L14</f>
        <v>176769.96107713922</v>
      </c>
      <c r="L12" s="113">
        <f>'public bldgs'!M14</f>
        <v>180305.36029868198</v>
      </c>
      <c r="M12" s="113">
        <f>'public bldgs'!N14</f>
        <v>183911.46750465562</v>
      </c>
      <c r="N12" s="113">
        <f>'public bldgs'!O14</f>
        <v>187589.69685474873</v>
      </c>
    </row>
    <row r="13" spans="1:18">
      <c r="B13" s="220" t="s">
        <v>323</v>
      </c>
      <c r="C13" s="108"/>
      <c r="D13" s="112">
        <f>SUM(D5:D12)</f>
        <v>0</v>
      </c>
      <c r="E13" s="112">
        <f t="shared" ref="E13:N13" si="0">SUM(E5:E12)</f>
        <v>0</v>
      </c>
      <c r="F13" s="112">
        <f t="shared" si="0"/>
        <v>0</v>
      </c>
      <c r="G13" s="112">
        <f t="shared" si="0"/>
        <v>0</v>
      </c>
      <c r="H13" s="112">
        <f t="shared" si="0"/>
        <v>29791262.190646037</v>
      </c>
      <c r="I13" s="112">
        <f t="shared" si="0"/>
        <v>47954564.262644291</v>
      </c>
      <c r="J13" s="112">
        <f t="shared" si="0"/>
        <v>38156513.77375149</v>
      </c>
      <c r="K13" s="112">
        <f t="shared" si="0"/>
        <v>38919644.04922653</v>
      </c>
      <c r="L13" s="112">
        <f t="shared" si="0"/>
        <v>39698036.930211037</v>
      </c>
      <c r="M13" s="112">
        <f t="shared" si="0"/>
        <v>40491997.668815278</v>
      </c>
      <c r="N13" s="112">
        <f t="shared" si="0"/>
        <v>41301837.622191571</v>
      </c>
      <c r="P13" s="267" t="s">
        <v>672</v>
      </c>
      <c r="Q13" s="112">
        <f>MIN(tifphase1,ABS((SUMIF(D29:N29,"&lt;0",D29:N29)+SUM(D34:N34,D37:N37))))</f>
        <v>103029670.57227798</v>
      </c>
      <c r="R13" s="859">
        <f>tifphase1</f>
        <v>103029670.57227798</v>
      </c>
    </row>
    <row r="14" spans="1:18">
      <c r="B14" s="108"/>
      <c r="C14" s="108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P14" s="267" t="s">
        <v>668</v>
      </c>
      <c r="Q14" s="112">
        <f>Q13*tiforiginationfee</f>
        <v>1030296.7057227799</v>
      </c>
    </row>
    <row r="15" spans="1:18">
      <c r="B15" s="107" t="s">
        <v>195</v>
      </c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P15" s="267" t="s">
        <v>669</v>
      </c>
      <c r="Q15" s="112">
        <f>Q13*tifrate</f>
        <v>6181780.2343366789</v>
      </c>
      <c r="R15" s="858"/>
    </row>
    <row r="16" spans="1:18">
      <c r="B16" s="108" t="s">
        <v>164</v>
      </c>
      <c r="C16" s="108"/>
      <c r="D16" s="112">
        <f>'res, market-rate'!E23</f>
        <v>0</v>
      </c>
      <c r="E16" s="112">
        <f>'res, market-rate'!F23</f>
        <v>0</v>
      </c>
      <c r="F16" s="112">
        <f>'res, market-rate'!G23</f>
        <v>0</v>
      </c>
      <c r="G16" s="112">
        <f>'res, market-rate'!H23</f>
        <v>0</v>
      </c>
      <c r="H16" s="112">
        <f>'res, market-rate'!I23</f>
        <v>-82338.559424999985</v>
      </c>
      <c r="I16" s="112">
        <f>'res, market-rate'!J23</f>
        <v>-86072.288849999983</v>
      </c>
      <c r="J16" s="112">
        <f>'res, market-rate'!K23</f>
        <v>-86072.288849999983</v>
      </c>
      <c r="K16" s="112">
        <f>'res, market-rate'!L23</f>
        <v>-86072.288849999983</v>
      </c>
      <c r="L16" s="112">
        <f>'res, market-rate'!M23</f>
        <v>-86072.288849999983</v>
      </c>
      <c r="M16" s="112">
        <f>'res, market-rate'!N23</f>
        <v>-86072.288849999983</v>
      </c>
      <c r="N16" s="112">
        <f>'res, market-rate'!O23</f>
        <v>-86072.288849999983</v>
      </c>
    </row>
    <row r="17" spans="2:18">
      <c r="B17" s="108" t="s">
        <v>156</v>
      </c>
      <c r="C17" s="108"/>
      <c r="D17" s="112">
        <f>'res, condo'!E23</f>
        <v>0</v>
      </c>
      <c r="E17" s="112">
        <f>'res, condo'!F23</f>
        <v>0</v>
      </c>
      <c r="F17" s="112">
        <f>'res, condo'!G23</f>
        <v>0</v>
      </c>
      <c r="G17" s="112">
        <f>'res, condo'!H23</f>
        <v>0</v>
      </c>
      <c r="H17" s="112">
        <f>'res, condo'!I23</f>
        <v>0</v>
      </c>
      <c r="I17" s="112">
        <f>'res, condo'!J23</f>
        <v>0</v>
      </c>
      <c r="J17" s="112">
        <f>'res, condo'!K23</f>
        <v>0</v>
      </c>
      <c r="K17" s="112">
        <f>'res, condo'!L23</f>
        <v>0</v>
      </c>
      <c r="L17" s="112">
        <f>'res, condo'!M23</f>
        <v>0</v>
      </c>
      <c r="M17" s="112">
        <f>'res, condo'!N23</f>
        <v>0</v>
      </c>
      <c r="N17" s="112">
        <f>'res, condo'!O23</f>
        <v>0</v>
      </c>
      <c r="P17" s="267" t="s">
        <v>705</v>
      </c>
      <c r="Q17" s="205">
        <v>11500000</v>
      </c>
    </row>
    <row r="18" spans="2:18">
      <c r="B18" s="108" t="s">
        <v>140</v>
      </c>
      <c r="C18" s="108"/>
      <c r="D18" s="112">
        <f>'res, affordable'!E23</f>
        <v>0</v>
      </c>
      <c r="E18" s="112">
        <f>'res, affordable'!F23</f>
        <v>0</v>
      </c>
      <c r="F18" s="112">
        <f>'res, affordable'!G23</f>
        <v>0</v>
      </c>
      <c r="G18" s="112">
        <f>'res, affordable'!H23</f>
        <v>0</v>
      </c>
      <c r="H18" s="112">
        <f>'res, affordable'!I23</f>
        <v>-4661.9280000000008</v>
      </c>
      <c r="I18" s="112">
        <f>'res, affordable'!J23</f>
        <v>-4661.9280000000008</v>
      </c>
      <c r="J18" s="112">
        <f>'res, affordable'!K23</f>
        <v>-4661.9280000000008</v>
      </c>
      <c r="K18" s="112">
        <f>'res, affordable'!L23</f>
        <v>-4661.9280000000008</v>
      </c>
      <c r="L18" s="112">
        <f>'res, affordable'!M23</f>
        <v>-4661.9280000000008</v>
      </c>
      <c r="M18" s="112">
        <f>'res, affordable'!N23</f>
        <v>-4661.9280000000008</v>
      </c>
      <c r="N18" s="112">
        <f>'res, affordable'!O23</f>
        <v>-4661.9280000000008</v>
      </c>
    </row>
    <row r="19" spans="2:18">
      <c r="B19" s="108" t="s">
        <v>2</v>
      </c>
      <c r="C19" s="108"/>
      <c r="D19" s="112">
        <f>office!E22</f>
        <v>0</v>
      </c>
      <c r="E19" s="112">
        <f>office!F22</f>
        <v>0</v>
      </c>
      <c r="F19" s="112">
        <f>office!G22</f>
        <v>0</v>
      </c>
      <c r="G19" s="112">
        <f>office!H22</f>
        <v>0</v>
      </c>
      <c r="H19" s="112">
        <f>office!I22</f>
        <v>-277605.47499999998</v>
      </c>
      <c r="I19" s="112">
        <f>office!J22</f>
        <v>-515553.02499999997</v>
      </c>
      <c r="J19" s="112">
        <f>office!K22</f>
        <v>-753500.57499999995</v>
      </c>
      <c r="K19" s="112">
        <f>office!L22</f>
        <v>-753500.57499999995</v>
      </c>
      <c r="L19" s="112">
        <f>office!M22</f>
        <v>-753500.57499999995</v>
      </c>
      <c r="M19" s="112">
        <f>office!N22</f>
        <v>-753500.57499999995</v>
      </c>
      <c r="N19" s="112">
        <f>office!O22</f>
        <v>-753500.57499999995</v>
      </c>
      <c r="P19" s="267" t="s">
        <v>409</v>
      </c>
      <c r="Q19" s="117">
        <f>Q6-Q8-Q13-Q17</f>
        <v>115950850.86448674</v>
      </c>
    </row>
    <row r="20" spans="2:18">
      <c r="B20" s="197" t="s">
        <v>141</v>
      </c>
      <c r="C20" s="197"/>
      <c r="D20" s="112">
        <f>retail!E22</f>
        <v>0</v>
      </c>
      <c r="E20" s="112">
        <f>retail!F22</f>
        <v>0</v>
      </c>
      <c r="F20" s="112">
        <f>retail!G22</f>
        <v>0</v>
      </c>
      <c r="G20" s="112">
        <f>retail!H22</f>
        <v>0</v>
      </c>
      <c r="H20" s="112">
        <f>retail!I22</f>
        <v>-89484.9604425</v>
      </c>
      <c r="I20" s="112">
        <f>retail!J22</f>
        <v>-170447.54369999998</v>
      </c>
      <c r="J20" s="112">
        <f>retail!K22</f>
        <v>-170447.54369999998</v>
      </c>
      <c r="K20" s="112">
        <f>retail!L22</f>
        <v>-170447.54369999998</v>
      </c>
      <c r="L20" s="112">
        <f>retail!M22</f>
        <v>-170447.54369999998</v>
      </c>
      <c r="M20" s="112">
        <f>retail!N22</f>
        <v>-170447.54369999998</v>
      </c>
      <c r="N20" s="112">
        <f>retail!O22</f>
        <v>-170447.54369999998</v>
      </c>
    </row>
    <row r="21" spans="2:18">
      <c r="B21" s="108" t="s">
        <v>18</v>
      </c>
      <c r="C21" s="108"/>
      <c r="D21" s="112">
        <f>hotel!E24</f>
        <v>0</v>
      </c>
      <c r="E21" s="112">
        <f>hotel!F24</f>
        <v>0</v>
      </c>
      <c r="F21" s="112">
        <f>hotel!G24</f>
        <v>0</v>
      </c>
      <c r="G21" s="112">
        <f>hotel!H24</f>
        <v>0</v>
      </c>
      <c r="H21" s="112">
        <f>hotel!I24</f>
        <v>-4837.9696649999996</v>
      </c>
      <c r="I21" s="112">
        <f>hotel!J24</f>
        <v>-4837.9696649999996</v>
      </c>
      <c r="J21" s="112">
        <f>hotel!K24</f>
        <v>-4837.9696649999996</v>
      </c>
      <c r="K21" s="112">
        <f>hotel!L24</f>
        <v>-4837.9696649999996</v>
      </c>
      <c r="L21" s="112">
        <f>hotel!M24</f>
        <v>-4837.9696649999996</v>
      </c>
      <c r="M21" s="112">
        <f>hotel!N24</f>
        <v>-4837.9696649999996</v>
      </c>
      <c r="N21" s="112">
        <f>hotel!O24</f>
        <v>-4837.9696649999996</v>
      </c>
      <c r="P21" s="292" t="s">
        <v>172</v>
      </c>
    </row>
    <row r="22" spans="2:18">
      <c r="B22" s="108" t="s">
        <v>130</v>
      </c>
      <c r="C22" s="108"/>
      <c r="D22" s="112">
        <f>parking!E22</f>
        <v>0</v>
      </c>
      <c r="E22" s="112">
        <f>parking!F22</f>
        <v>0</v>
      </c>
      <c r="F22" s="112">
        <f>parking!G22</f>
        <v>0</v>
      </c>
      <c r="G22" s="112">
        <f>parking!H22</f>
        <v>0</v>
      </c>
      <c r="H22" s="112">
        <f>parking!I22</f>
        <v>-4701.4063110000006</v>
      </c>
      <c r="I22" s="112">
        <f>parking!J22</f>
        <v>-4701.4063110000006</v>
      </c>
      <c r="J22" s="112">
        <f>parking!K22</f>
        <v>-4701.4063110000006</v>
      </c>
      <c r="K22" s="112">
        <f>parking!L22</f>
        <v>-4701.4063110000006</v>
      </c>
      <c r="L22" s="112">
        <f>parking!M22</f>
        <v>-4701.4063110000006</v>
      </c>
      <c r="M22" s="112">
        <f>parking!N22</f>
        <v>-4701.4063110000006</v>
      </c>
      <c r="N22" s="112">
        <f>parking!O22</f>
        <v>-4701.4063110000006</v>
      </c>
      <c r="P22" s="267" t="s">
        <v>413</v>
      </c>
      <c r="Q22" s="112">
        <f>SUMIF(D$2:N$2,phase1stabilizationyear,$D13:$N13)-SUMIF(D$2:N$2,phase1stabilizationyear,$D6:$N6)</f>
        <v>38156513.77375149</v>
      </c>
    </row>
    <row r="23" spans="2:18">
      <c r="B23" s="108" t="s">
        <v>301</v>
      </c>
      <c r="C23" s="108"/>
      <c r="D23" s="113">
        <f>'public bldgs'!E17</f>
        <v>0</v>
      </c>
      <c r="E23" s="113">
        <f>'public bldgs'!F17</f>
        <v>0</v>
      </c>
      <c r="F23" s="113">
        <f>'public bldgs'!G17</f>
        <v>0</v>
      </c>
      <c r="G23" s="113">
        <f>'public bldgs'!H17</f>
        <v>0</v>
      </c>
      <c r="H23" s="113">
        <f>'public bldgs'!I17</f>
        <v>-12607.070019999999</v>
      </c>
      <c r="I23" s="113">
        <f>'public bldgs'!J17</f>
        <v>-12607.070019999999</v>
      </c>
      <c r="J23" s="113">
        <f>'public bldgs'!K17</f>
        <v>-12607.070019999999</v>
      </c>
      <c r="K23" s="113">
        <f>'public bldgs'!L17</f>
        <v>-12607.070019999999</v>
      </c>
      <c r="L23" s="113">
        <f>'public bldgs'!M17</f>
        <v>-12607.070019999999</v>
      </c>
      <c r="M23" s="113">
        <f>'public bldgs'!N17</f>
        <v>-12607.070019999999</v>
      </c>
      <c r="N23" s="113">
        <f>'public bldgs'!O17</f>
        <v>-12607.070019999999</v>
      </c>
      <c r="P23" s="267" t="s">
        <v>414</v>
      </c>
      <c r="Q23" s="122">
        <f>blendedcaprate+R23</f>
        <v>7.2732481064471194E-2</v>
      </c>
      <c r="R23" s="860">
        <v>0</v>
      </c>
    </row>
    <row r="24" spans="2:18">
      <c r="B24" s="220" t="s">
        <v>324</v>
      </c>
      <c r="C24" s="108"/>
      <c r="D24" s="112">
        <f t="shared" ref="D24:N24" si="1">SUM(D16:D23)</f>
        <v>0</v>
      </c>
      <c r="E24" s="112">
        <f t="shared" si="1"/>
        <v>0</v>
      </c>
      <c r="F24" s="112">
        <f t="shared" si="1"/>
        <v>0</v>
      </c>
      <c r="G24" s="112">
        <f t="shared" si="1"/>
        <v>0</v>
      </c>
      <c r="H24" s="112">
        <f t="shared" si="1"/>
        <v>-476237.36886349996</v>
      </c>
      <c r="I24" s="112">
        <f t="shared" si="1"/>
        <v>-798881.23154599988</v>
      </c>
      <c r="J24" s="112">
        <f t="shared" si="1"/>
        <v>-1036828.7815459999</v>
      </c>
      <c r="K24" s="112">
        <f t="shared" si="1"/>
        <v>-1036828.7815459999</v>
      </c>
      <c r="L24" s="112">
        <f t="shared" si="1"/>
        <v>-1036828.7815459999</v>
      </c>
      <c r="M24" s="112">
        <f t="shared" si="1"/>
        <v>-1036828.7815459999</v>
      </c>
      <c r="N24" s="112">
        <f t="shared" si="1"/>
        <v>-1036828.7815459999</v>
      </c>
      <c r="P24" s="267" t="s">
        <v>237</v>
      </c>
      <c r="Q24" s="117">
        <f>Q22/Q23</f>
        <v>524614494.31278121</v>
      </c>
    </row>
    <row r="25" spans="2:18">
      <c r="B25" s="108"/>
      <c r="C25" s="108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P25" s="267" t="s">
        <v>416</v>
      </c>
      <c r="Q25" s="293">
        <f>loantovalue</f>
        <v>0.65</v>
      </c>
    </row>
    <row r="26" spans="2:18">
      <c r="B26" s="107" t="s">
        <v>196</v>
      </c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267" t="s">
        <v>408</v>
      </c>
      <c r="Q26" s="117">
        <f>Q24*Q25</f>
        <v>340999421.30330777</v>
      </c>
    </row>
    <row r="27" spans="2:18" outlineLevel="1">
      <c r="B27" s="108" t="s">
        <v>164</v>
      </c>
      <c r="C27" s="108"/>
      <c r="D27" s="112">
        <f>'res, market-rate'!E29</f>
        <v>0</v>
      </c>
      <c r="E27" s="112">
        <f>'res, market-rate'!F29</f>
        <v>-16605922.729999997</v>
      </c>
      <c r="F27" s="112">
        <f>'res, market-rate'!G29</f>
        <v>-16666078.584599996</v>
      </c>
      <c r="G27" s="112">
        <f>'res, market-rate'!H29</f>
        <v>-16999400.156291999</v>
      </c>
      <c r="H27" s="112">
        <f>'res, market-rate'!I29</f>
        <v>0</v>
      </c>
      <c r="I27" s="112">
        <f>'res, market-rate'!J29</f>
        <v>0</v>
      </c>
      <c r="J27" s="112">
        <f>'res, market-rate'!K29</f>
        <v>0</v>
      </c>
      <c r="K27" s="112">
        <f>'res, market-rate'!L29</f>
        <v>0</v>
      </c>
      <c r="L27" s="112">
        <f>'res, market-rate'!M29</f>
        <v>0</v>
      </c>
      <c r="M27" s="112">
        <f>'res, market-rate'!N29</f>
        <v>0</v>
      </c>
      <c r="N27" s="112">
        <f>'res, market-rate'!O29</f>
        <v>97722387.448505208</v>
      </c>
      <c r="P27" s="267" t="s">
        <v>410</v>
      </c>
      <c r="Q27" s="296" t="s">
        <v>424</v>
      </c>
    </row>
    <row r="28" spans="2:18" outlineLevel="1">
      <c r="B28" s="108" t="s">
        <v>156</v>
      </c>
      <c r="C28" s="108"/>
      <c r="D28" s="112">
        <f>'res, condo'!E27</f>
        <v>0</v>
      </c>
      <c r="E28" s="112">
        <f>'res, condo'!F27</f>
        <v>-7697006.1449999996</v>
      </c>
      <c r="F28" s="112">
        <f>'res, condo'!G27</f>
        <v>-7850946.2678999994</v>
      </c>
      <c r="G28" s="112">
        <f>'res, condo'!H27</f>
        <v>-8007965.1932579977</v>
      </c>
      <c r="H28" s="112">
        <f>'res, condo'!I27</f>
        <v>0</v>
      </c>
      <c r="I28" s="112">
        <f>'res, condo'!J27</f>
        <v>0</v>
      </c>
      <c r="J28" s="112">
        <f>'res, condo'!K27</f>
        <v>0</v>
      </c>
      <c r="K28" s="112">
        <f>'res, condo'!L27</f>
        <v>0</v>
      </c>
      <c r="L28" s="112">
        <f>'res, condo'!M27</f>
        <v>0</v>
      </c>
      <c r="M28" s="112">
        <f>'res, condo'!N27</f>
        <v>0</v>
      </c>
      <c r="N28" s="112">
        <f>'res, condo'!O27</f>
        <v>0</v>
      </c>
      <c r="P28" s="267" t="s">
        <v>411</v>
      </c>
      <c r="Q28" s="122">
        <f>permanentinterestrate</f>
        <v>4.2500000000000003E-2</v>
      </c>
    </row>
    <row r="29" spans="2:18" outlineLevel="1">
      <c r="B29" s="108" t="s">
        <v>140</v>
      </c>
      <c r="C29" s="108"/>
      <c r="D29" s="112">
        <f>'res, affordable'!E27</f>
        <v>0</v>
      </c>
      <c r="E29" s="112">
        <f>'res, affordable'!F27</f>
        <v>-4801785.84</v>
      </c>
      <c r="F29" s="112">
        <f>'res, affordable'!G27</f>
        <v>-4897821.5567999994</v>
      </c>
      <c r="G29" s="112">
        <f>'res, affordable'!H27</f>
        <v>-4995777.9879360003</v>
      </c>
      <c r="H29" s="112">
        <f>'res, affordable'!I27</f>
        <v>0</v>
      </c>
      <c r="I29" s="112">
        <f>'res, affordable'!J27</f>
        <v>0</v>
      </c>
      <c r="J29" s="112">
        <f>'res, affordable'!K27</f>
        <v>0</v>
      </c>
      <c r="K29" s="112">
        <f>'res, affordable'!L27</f>
        <v>0</v>
      </c>
      <c r="L29" s="112">
        <f>'res, affordable'!M27</f>
        <v>0</v>
      </c>
      <c r="M29" s="112">
        <f>'res, affordable'!N27</f>
        <v>0</v>
      </c>
      <c r="N29" s="112">
        <f>'res, affordable'!O27</f>
        <v>15751562.468930831</v>
      </c>
      <c r="P29" s="267" t="s">
        <v>417</v>
      </c>
      <c r="Q29" s="268">
        <f>amortizationschedule</f>
        <v>30</v>
      </c>
    </row>
    <row r="30" spans="2:18" outlineLevel="1">
      <c r="B30" s="108" t="s">
        <v>2</v>
      </c>
      <c r="C30" s="108"/>
      <c r="D30" s="112">
        <f>office!E29</f>
        <v>0</v>
      </c>
      <c r="E30" s="112">
        <f>office!F29</f>
        <v>-49011494.25</v>
      </c>
      <c r="F30" s="112">
        <f>office!G29</f>
        <v>-69058678.533437952</v>
      </c>
      <c r="G30" s="112">
        <f>office!H29</f>
        <v>-51842058.617699996</v>
      </c>
      <c r="H30" s="112">
        <f>office!I29</f>
        <v>0</v>
      </c>
      <c r="I30" s="112">
        <f>office!J29</f>
        <v>0</v>
      </c>
      <c r="J30" s="112">
        <f>office!K29</f>
        <v>0</v>
      </c>
      <c r="K30" s="112">
        <f>office!L29</f>
        <v>0</v>
      </c>
      <c r="L30" s="112">
        <f>office!M29</f>
        <v>0</v>
      </c>
      <c r="M30" s="112">
        <f>office!N29</f>
        <v>0</v>
      </c>
      <c r="N30" s="112">
        <f>office!O29</f>
        <v>277141901.79403633</v>
      </c>
      <c r="P30" s="267" t="s">
        <v>446</v>
      </c>
      <c r="Q30" s="112">
        <f>'p1'!E8*12</f>
        <v>20130146.180893943</v>
      </c>
    </row>
    <row r="31" spans="2:18" outlineLevel="1">
      <c r="B31" s="197" t="s">
        <v>141</v>
      </c>
      <c r="C31" s="197"/>
      <c r="D31" s="112">
        <f>retail!E29</f>
        <v>0</v>
      </c>
      <c r="E31" s="112">
        <f>retail!F29</f>
        <v>-13319015.708308499</v>
      </c>
      <c r="F31" s="112">
        <f>retail!G29</f>
        <v>-13585396.022474671</v>
      </c>
      <c r="G31" s="112">
        <f>retail!H29</f>
        <v>-14487348.942924164</v>
      </c>
      <c r="H31" s="112">
        <f>retail!I29</f>
        <v>0</v>
      </c>
      <c r="I31" s="112">
        <f>retail!J29</f>
        <v>0</v>
      </c>
      <c r="J31" s="112">
        <f>retail!K29</f>
        <v>0</v>
      </c>
      <c r="K31" s="112">
        <f>retail!L29</f>
        <v>0</v>
      </c>
      <c r="L31" s="112">
        <f>retail!M29</f>
        <v>0</v>
      </c>
      <c r="M31" s="112">
        <f>retail!N29</f>
        <v>0</v>
      </c>
      <c r="N31" s="112">
        <f>retail!O29</f>
        <v>93105127.722743124</v>
      </c>
      <c r="P31" s="267" t="s">
        <v>412</v>
      </c>
      <c r="Q31" s="117">
        <f>Q26*R31</f>
        <v>6819988.4260661555</v>
      </c>
      <c r="R31" s="858">
        <f>permanentservicingfees</f>
        <v>0.02</v>
      </c>
    </row>
    <row r="32" spans="2:18" outlineLevel="1">
      <c r="B32" s="108" t="s">
        <v>18</v>
      </c>
      <c r="C32" s="108"/>
      <c r="D32" s="112">
        <f>hotel!E28</f>
        <v>0</v>
      </c>
      <c r="E32" s="112">
        <f>hotel!F28</f>
        <v>-9966217.5098999999</v>
      </c>
      <c r="F32" s="112">
        <f>hotel!G28</f>
        <v>-10165541.860097999</v>
      </c>
      <c r="G32" s="112">
        <f>hotel!H28</f>
        <v>-10368852.697299959</v>
      </c>
      <c r="H32" s="112">
        <f>hotel!I28</f>
        <v>0</v>
      </c>
      <c r="I32" s="112">
        <f>hotel!J28</f>
        <v>0</v>
      </c>
      <c r="J32" s="112">
        <f>hotel!K28</f>
        <v>0</v>
      </c>
      <c r="K32" s="112">
        <f>hotel!L28</f>
        <v>0</v>
      </c>
      <c r="L32" s="112">
        <f>hotel!M28</f>
        <v>0</v>
      </c>
      <c r="M32" s="112">
        <f>hotel!N28</f>
        <v>0</v>
      </c>
      <c r="N32" s="112">
        <f>hotel!O28</f>
        <v>61959653.439433664</v>
      </c>
      <c r="P32" s="267" t="s">
        <v>418</v>
      </c>
      <c r="Q32" s="117">
        <f>SUM(D6:N6)</f>
        <v>39139219.537892744</v>
      </c>
    </row>
    <row r="33" spans="2:14" outlineLevel="1">
      <c r="B33" s="108" t="s">
        <v>130</v>
      </c>
      <c r="C33" s="108"/>
      <c r="D33" s="112">
        <f>parking!E26</f>
        <v>0</v>
      </c>
      <c r="E33" s="112">
        <f>parking!F26</f>
        <v>-7532697.6671800008</v>
      </c>
      <c r="F33" s="112">
        <f>parking!G26</f>
        <v>-7683351.6205236008</v>
      </c>
      <c r="G33" s="112">
        <f>parking!H26</f>
        <v>-7837018.6529340725</v>
      </c>
      <c r="H33" s="112">
        <f>parking!I26</f>
        <v>0</v>
      </c>
      <c r="I33" s="112">
        <f>parking!J26</f>
        <v>0</v>
      </c>
      <c r="J33" s="112">
        <f>parking!K26</f>
        <v>0</v>
      </c>
      <c r="K33" s="112">
        <f>parking!L26</f>
        <v>0</v>
      </c>
      <c r="L33" s="112">
        <f>parking!M26</f>
        <v>0</v>
      </c>
      <c r="M33" s="112">
        <f>parking!N26</f>
        <v>0</v>
      </c>
      <c r="N33" s="112">
        <f>parking!O26</f>
        <v>11241164.519721311</v>
      </c>
    </row>
    <row r="34" spans="2:14" outlineLevel="1">
      <c r="B34" s="108" t="s">
        <v>283</v>
      </c>
      <c r="C34" s="108"/>
      <c r="D34" s="113">
        <f>'public bldgs'!E23</f>
        <v>0</v>
      </c>
      <c r="E34" s="113">
        <f>'public bldgs'!F23</f>
        <v>-9738961.59045</v>
      </c>
      <c r="F34" s="113">
        <f>'public bldgs'!G23</f>
        <v>-9933740.8222590014</v>
      </c>
      <c r="G34" s="113">
        <f>'public bldgs'!H23</f>
        <v>-10132415.638704181</v>
      </c>
      <c r="H34" s="113">
        <f>'public bldgs'!I23</f>
        <v>0</v>
      </c>
      <c r="I34" s="113">
        <f>'public bldgs'!J23</f>
        <v>0</v>
      </c>
      <c r="J34" s="113">
        <f>'public bldgs'!K23</f>
        <v>0</v>
      </c>
      <c r="K34" s="113">
        <f>'public bldgs'!L23</f>
        <v>0</v>
      </c>
      <c r="L34" s="113">
        <f>'public bldgs'!M23</f>
        <v>0</v>
      </c>
      <c r="M34" s="113">
        <f>'public bldgs'!N23</f>
        <v>0</v>
      </c>
      <c r="N34" s="113">
        <f>'public bldgs'!O23</f>
        <v>0</v>
      </c>
    </row>
    <row r="35" spans="2:14">
      <c r="B35" s="220" t="s">
        <v>325</v>
      </c>
      <c r="C35" s="108"/>
      <c r="D35" s="112">
        <f t="shared" ref="D35:N35" si="2">SUM(D27:D34)</f>
        <v>0</v>
      </c>
      <c r="E35" s="112">
        <f t="shared" si="2"/>
        <v>-118673101.44083852</v>
      </c>
      <c r="F35" s="112">
        <f t="shared" si="2"/>
        <v>-139841555.26809323</v>
      </c>
      <c r="G35" s="112">
        <f t="shared" si="2"/>
        <v>-124670837.88704836</v>
      </c>
      <c r="H35" s="112">
        <f t="shared" si="2"/>
        <v>0</v>
      </c>
      <c r="I35" s="112">
        <f t="shared" si="2"/>
        <v>0</v>
      </c>
      <c r="J35" s="112">
        <f t="shared" si="2"/>
        <v>0</v>
      </c>
      <c r="K35" s="112">
        <f t="shared" si="2"/>
        <v>0</v>
      </c>
      <c r="L35" s="112">
        <f t="shared" si="2"/>
        <v>0</v>
      </c>
      <c r="M35" s="112">
        <f t="shared" si="2"/>
        <v>0</v>
      </c>
      <c r="N35" s="112">
        <f t="shared" si="2"/>
        <v>556921797.39337051</v>
      </c>
    </row>
    <row r="36" spans="2:14">
      <c r="B36" s="108"/>
      <c r="C36" s="108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</row>
    <row r="37" spans="2:14">
      <c r="B37" s="107" t="s">
        <v>300</v>
      </c>
      <c r="D37" s="112">
        <f>-IF(OR(D$2=Phase1begin,D$2=Phase1end,AND(D$2&gt;Phase1begin,D$2&lt;Phase1end)),infstrc!$K$25/constructiontimephase1,0)</f>
        <v>0</v>
      </c>
      <c r="E37" s="112">
        <f>-IF(OR(E$2=Phase1begin,E$2=Phase1end,AND(E$2&gt;Phase1begin,E$2&lt;Phase1end)),infstrc!$K$25/constructiontimephase1,0)</f>
        <v>-42997813.976721264</v>
      </c>
      <c r="F37" s="112">
        <f>-IF(OR(F$2=Phase1begin,F$2=Phase1end,AND(F$2&gt;Phase1begin,F$2&lt;Phase1end)),infstrc!$K$25/constructiontimephase1,0)</f>
        <v>-42997813.976721264</v>
      </c>
      <c r="G37" s="112">
        <f>-IF(OR(G$2=Phase1begin,G$2=Phase1end,AND(G$2&gt;Phase1begin,G$2&lt;Phase1end)),infstrc!$K$25/constructiontimephase1,0)</f>
        <v>-42997813.976721264</v>
      </c>
      <c r="H37" s="112">
        <f>-IF(OR(H$2=Phase1begin,H$2=Phase1end,AND(H$2&gt;Phase1begin,H$2&lt;Phase1end)),infstrc!$K$25/constructiontimephase1,0)</f>
        <v>0</v>
      </c>
      <c r="I37" s="112">
        <f>-IF(OR(I$2=Phase1begin,I$2=Phase1end,AND(I$2&gt;Phase1begin,I$2&lt;Phase1end)),infstrc!$K$25/constructiontimephase1,0)</f>
        <v>0</v>
      </c>
      <c r="J37" s="112">
        <f>-IF(OR(J$2=Phase1begin,J$2=Phase1end,AND(J$2&gt;Phase1begin,J$2&lt;Phase1end)),infstrc!$K$25/constructiontimephase1,0)</f>
        <v>0</v>
      </c>
      <c r="K37" s="112">
        <f>-IF(OR(K$2=Phase1begin,K$2=Phase1end,AND(K$2&gt;Phase1begin,K$2&lt;Phase1end)),infstrc!$K$25/constructiontimephase1,0)</f>
        <v>0</v>
      </c>
      <c r="L37" s="112">
        <f>-IF(OR(L$2=Phase1begin,L$2=Phase1end,AND(L$2&gt;Phase1begin,L$2&lt;Phase1end)),infstrc!$K$25/constructiontimephase1,0)</f>
        <v>0</v>
      </c>
      <c r="M37" s="112">
        <f>-IF(OR(M$2=Phase1begin,M$2=Phase1end,AND(M$2&gt;Phase1begin,M$2&lt;Phase1end)),infstrc!$K$25/constructiontimephase1,0)</f>
        <v>0</v>
      </c>
      <c r="N37" s="112">
        <f>-IF(OR(N$2=Phase1begin,N$2=Phase1end,AND(N$2&gt;Phase1begin,N$2&lt;Phase1end)),infstrc!$K$25/constructiontimephase1,0)</f>
        <v>0</v>
      </c>
    </row>
    <row r="38" spans="2:14">
      <c r="B38" s="107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</row>
    <row r="39" spans="2:14">
      <c r="B39" s="107" t="s">
        <v>698</v>
      </c>
      <c r="D39" s="112">
        <f t="shared" ref="D39:N39" si="3">-IF(D$2=Phase1begin,phase1landcontribution,0)</f>
        <v>0</v>
      </c>
      <c r="E39" s="112">
        <f t="shared" si="3"/>
        <v>-36019158.874690436</v>
      </c>
      <c r="F39" s="112">
        <f t="shared" si="3"/>
        <v>0</v>
      </c>
      <c r="G39" s="112">
        <f t="shared" si="3"/>
        <v>0</v>
      </c>
      <c r="H39" s="112">
        <f t="shared" si="3"/>
        <v>0</v>
      </c>
      <c r="I39" s="112">
        <f t="shared" si="3"/>
        <v>0</v>
      </c>
      <c r="J39" s="112">
        <f t="shared" si="3"/>
        <v>0</v>
      </c>
      <c r="K39" s="112">
        <f t="shared" si="3"/>
        <v>0</v>
      </c>
      <c r="L39" s="112">
        <f t="shared" si="3"/>
        <v>0</v>
      </c>
      <c r="M39" s="112">
        <f t="shared" si="3"/>
        <v>0</v>
      </c>
      <c r="N39" s="112">
        <f t="shared" si="3"/>
        <v>0</v>
      </c>
    </row>
    <row r="40" spans="2:14">
      <c r="B40" s="107" t="s">
        <v>695</v>
      </c>
      <c r="D40" s="112">
        <f t="shared" ref="D40:N40" si="4">IF(D$2=Phase1begin,phase1landcontribution,0)</f>
        <v>0</v>
      </c>
      <c r="E40" s="112">
        <f t="shared" si="4"/>
        <v>36019158.874690436</v>
      </c>
      <c r="F40" s="112">
        <f t="shared" si="4"/>
        <v>0</v>
      </c>
      <c r="G40" s="112">
        <f t="shared" si="4"/>
        <v>0</v>
      </c>
      <c r="H40" s="112">
        <f t="shared" si="4"/>
        <v>0</v>
      </c>
      <c r="I40" s="112">
        <f t="shared" si="4"/>
        <v>0</v>
      </c>
      <c r="J40" s="112">
        <f t="shared" si="4"/>
        <v>0</v>
      </c>
      <c r="K40" s="112">
        <f t="shared" si="4"/>
        <v>0</v>
      </c>
      <c r="L40" s="112">
        <f t="shared" si="4"/>
        <v>0</v>
      </c>
      <c r="M40" s="112">
        <f t="shared" si="4"/>
        <v>0</v>
      </c>
      <c r="N40" s="112">
        <f t="shared" si="4"/>
        <v>0</v>
      </c>
    </row>
    <row r="41" spans="2:14">
      <c r="B41" s="107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</row>
    <row r="42" spans="2:14">
      <c r="B42" s="107" t="s">
        <v>169</v>
      </c>
      <c r="C42" s="118">
        <f>IRR(D42:N42)</f>
        <v>7.1459620443232508E-2</v>
      </c>
      <c r="D42" s="117">
        <f>SUM(D13,D24,D35,D37:D40)</f>
        <v>0</v>
      </c>
      <c r="E42" s="117">
        <f t="shared" ref="E42:N42" si="5">SUM(E13,E24,E35,E37:E40)</f>
        <v>-161670915.41755977</v>
      </c>
      <c r="F42" s="117">
        <f t="shared" si="5"/>
        <v>-182839369.24481449</v>
      </c>
      <c r="G42" s="117">
        <f>SUM(G13,G24,G35,G37:G40)</f>
        <v>-167668651.86376962</v>
      </c>
      <c r="H42" s="117">
        <f t="shared" si="5"/>
        <v>29315024.821782537</v>
      </c>
      <c r="I42" s="117">
        <f t="shared" si="5"/>
        <v>47155683.031098291</v>
      </c>
      <c r="J42" s="117">
        <f t="shared" si="5"/>
        <v>37119684.992205493</v>
      </c>
      <c r="K42" s="117">
        <f t="shared" si="5"/>
        <v>37882815.267680533</v>
      </c>
      <c r="L42" s="117">
        <f t="shared" si="5"/>
        <v>38661208.148665041</v>
      </c>
      <c r="M42" s="117">
        <f t="shared" si="5"/>
        <v>39455168.887269281</v>
      </c>
      <c r="N42" s="117">
        <f t="shared" si="5"/>
        <v>597186806.23401606</v>
      </c>
    </row>
    <row r="44" spans="2:14">
      <c r="B44" s="107" t="s">
        <v>450</v>
      </c>
    </row>
    <row r="46" spans="2:14">
      <c r="B46" s="106" t="s">
        <v>426</v>
      </c>
      <c r="D46" s="117">
        <f t="shared" ref="D46:N46" si="6">IF(D42&lt;0,D35+D37,0)</f>
        <v>0</v>
      </c>
      <c r="E46" s="117">
        <f t="shared" si="6"/>
        <v>-161670915.41755977</v>
      </c>
      <c r="F46" s="117">
        <f t="shared" si="6"/>
        <v>-182839369.24481449</v>
      </c>
      <c r="G46" s="117">
        <f t="shared" si="6"/>
        <v>-167668651.86376962</v>
      </c>
      <c r="H46" s="117">
        <f t="shared" si="6"/>
        <v>0</v>
      </c>
      <c r="I46" s="117">
        <f t="shared" si="6"/>
        <v>0</v>
      </c>
      <c r="J46" s="117">
        <f t="shared" si="6"/>
        <v>0</v>
      </c>
      <c r="K46" s="117">
        <f t="shared" si="6"/>
        <v>0</v>
      </c>
      <c r="L46" s="117">
        <f t="shared" si="6"/>
        <v>0</v>
      </c>
      <c r="M46" s="117">
        <f t="shared" si="6"/>
        <v>0</v>
      </c>
      <c r="N46" s="117">
        <f t="shared" si="6"/>
        <v>0</v>
      </c>
    </row>
    <row r="47" spans="2:14"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2:14">
      <c r="B48" s="120" t="s">
        <v>171</v>
      </c>
      <c r="C48" s="114"/>
      <c r="E48" s="117"/>
    </row>
    <row r="49" spans="2:19">
      <c r="B49" s="114" t="s">
        <v>409</v>
      </c>
      <c r="D49" s="112">
        <f t="shared" ref="D49:N49" si="7">-IF(D$2=Phase1begin,$Q19,0)</f>
        <v>0</v>
      </c>
      <c r="E49" s="112">
        <f t="shared" si="7"/>
        <v>-115950850.86448674</v>
      </c>
      <c r="F49" s="112">
        <f t="shared" si="7"/>
        <v>0</v>
      </c>
      <c r="G49" s="112">
        <f t="shared" si="7"/>
        <v>0</v>
      </c>
      <c r="H49" s="112">
        <f t="shared" si="7"/>
        <v>0</v>
      </c>
      <c r="I49" s="112">
        <f t="shared" si="7"/>
        <v>0</v>
      </c>
      <c r="J49" s="112">
        <f t="shared" si="7"/>
        <v>0</v>
      </c>
      <c r="K49" s="112">
        <f t="shared" si="7"/>
        <v>0</v>
      </c>
      <c r="L49" s="112">
        <f t="shared" si="7"/>
        <v>0</v>
      </c>
      <c r="M49" s="112">
        <f t="shared" si="7"/>
        <v>0</v>
      </c>
      <c r="N49" s="334">
        <f t="shared" si="7"/>
        <v>0</v>
      </c>
      <c r="P49" s="109"/>
    </row>
    <row r="50" spans="2:19">
      <c r="B50" s="114" t="s">
        <v>704</v>
      </c>
      <c r="D50" s="112">
        <f t="shared" ref="D50:N50" si="8">IF(D$2=Phase1begin,$Q17,0)</f>
        <v>0</v>
      </c>
      <c r="E50" s="112">
        <f t="shared" si="8"/>
        <v>11500000</v>
      </c>
      <c r="F50" s="112">
        <f t="shared" si="8"/>
        <v>0</v>
      </c>
      <c r="G50" s="112">
        <f t="shared" si="8"/>
        <v>0</v>
      </c>
      <c r="H50" s="112">
        <f t="shared" si="8"/>
        <v>0</v>
      </c>
      <c r="I50" s="112">
        <f t="shared" si="8"/>
        <v>0</v>
      </c>
      <c r="J50" s="112">
        <f t="shared" si="8"/>
        <v>0</v>
      </c>
      <c r="K50" s="112">
        <f t="shared" si="8"/>
        <v>0</v>
      </c>
      <c r="L50" s="112">
        <f t="shared" si="8"/>
        <v>0</v>
      </c>
      <c r="M50" s="112">
        <f t="shared" si="8"/>
        <v>0</v>
      </c>
      <c r="N50" s="112">
        <f t="shared" si="8"/>
        <v>0</v>
      </c>
    </row>
    <row r="51" spans="2:19">
      <c r="B51" s="114" t="s">
        <v>670</v>
      </c>
      <c r="D51" s="112">
        <f t="shared" ref="D51:N51" si="9">-IF(D$2=Phase1begin,$Q14,0)</f>
        <v>0</v>
      </c>
      <c r="E51" s="112">
        <f t="shared" si="9"/>
        <v>-1030296.7057227799</v>
      </c>
      <c r="F51" s="112">
        <f t="shared" si="9"/>
        <v>0</v>
      </c>
      <c r="G51" s="112">
        <f t="shared" si="9"/>
        <v>0</v>
      </c>
      <c r="H51" s="112">
        <f t="shared" si="9"/>
        <v>0</v>
      </c>
      <c r="I51" s="112">
        <f t="shared" si="9"/>
        <v>0</v>
      </c>
      <c r="J51" s="112">
        <f t="shared" si="9"/>
        <v>0</v>
      </c>
      <c r="K51" s="112">
        <f t="shared" si="9"/>
        <v>0</v>
      </c>
      <c r="L51" s="112">
        <f t="shared" si="9"/>
        <v>0</v>
      </c>
      <c r="M51" s="112">
        <f t="shared" si="9"/>
        <v>0</v>
      </c>
      <c r="N51" s="334">
        <f t="shared" si="9"/>
        <v>0</v>
      </c>
    </row>
    <row r="52" spans="2:19">
      <c r="B52" s="114" t="s">
        <v>671</v>
      </c>
      <c r="D52" s="112">
        <f t="shared" ref="D52:N52" si="10">-IF(D$2=Phase1begin,$Q15,0)</f>
        <v>0</v>
      </c>
      <c r="E52" s="112">
        <f t="shared" si="10"/>
        <v>-6181780.2343366789</v>
      </c>
      <c r="F52" s="112">
        <f t="shared" si="10"/>
        <v>0</v>
      </c>
      <c r="G52" s="112">
        <f t="shared" si="10"/>
        <v>0</v>
      </c>
      <c r="H52" s="112">
        <f t="shared" si="10"/>
        <v>0</v>
      </c>
      <c r="I52" s="112">
        <f t="shared" si="10"/>
        <v>0</v>
      </c>
      <c r="J52" s="112">
        <f t="shared" si="10"/>
        <v>0</v>
      </c>
      <c r="K52" s="112">
        <f t="shared" si="10"/>
        <v>0</v>
      </c>
      <c r="L52" s="112">
        <f t="shared" si="10"/>
        <v>0</v>
      </c>
      <c r="M52" s="112">
        <f t="shared" si="10"/>
        <v>0</v>
      </c>
      <c r="N52" s="334">
        <f t="shared" si="10"/>
        <v>0</v>
      </c>
    </row>
    <row r="53" spans="2:19">
      <c r="B53" s="114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334"/>
    </row>
    <row r="54" spans="2:19">
      <c r="B54" s="114" t="s">
        <v>762</v>
      </c>
      <c r="D54" s="112">
        <f>-D46+D49-D50</f>
        <v>0</v>
      </c>
      <c r="E54" s="112">
        <f t="shared" ref="E54:N54" si="11">-E46+E49-E50</f>
        <v>34220064.553073034</v>
      </c>
      <c r="F54" s="112">
        <f t="shared" si="11"/>
        <v>182839369.24481449</v>
      </c>
      <c r="G54" s="112">
        <f t="shared" si="11"/>
        <v>167668651.86376962</v>
      </c>
      <c r="H54" s="112">
        <f t="shared" si="11"/>
        <v>0</v>
      </c>
      <c r="I54" s="112">
        <f t="shared" si="11"/>
        <v>0</v>
      </c>
      <c r="J54" s="112">
        <f t="shared" si="11"/>
        <v>0</v>
      </c>
      <c r="K54" s="112">
        <f t="shared" si="11"/>
        <v>0</v>
      </c>
      <c r="L54" s="112">
        <f t="shared" si="11"/>
        <v>0</v>
      </c>
      <c r="M54" s="112">
        <f t="shared" si="11"/>
        <v>0</v>
      </c>
      <c r="N54" s="112">
        <f t="shared" si="11"/>
        <v>0</v>
      </c>
    </row>
    <row r="55" spans="2:19">
      <c r="B55" s="114" t="s">
        <v>763</v>
      </c>
      <c r="D55" s="112">
        <f>$Q13-SUM($C57:C57)</f>
        <v>103029670.57227798</v>
      </c>
      <c r="E55" s="112">
        <f>$Q13-SUM($C57:D57)</f>
        <v>103029670.57227798</v>
      </c>
      <c r="F55" s="112">
        <f>$Q13-SUM($C57:E57)</f>
        <v>68809606.019204944</v>
      </c>
      <c r="G55" s="112">
        <f>$Q13-SUM($C57:F57)</f>
        <v>0</v>
      </c>
      <c r="H55" s="112">
        <f>$Q13-SUM($C57:G57)</f>
        <v>0</v>
      </c>
      <c r="I55" s="112">
        <f>$Q13-SUM($C57:H57)</f>
        <v>0</v>
      </c>
      <c r="J55" s="112">
        <f>$Q13-SUM($C57:I57)</f>
        <v>0</v>
      </c>
      <c r="K55" s="112">
        <f>$Q13-SUM($C57:J57)</f>
        <v>0</v>
      </c>
      <c r="L55" s="112">
        <f>$Q13-SUM($C57:K57)</f>
        <v>0</v>
      </c>
      <c r="M55" s="112">
        <f>$Q13-SUM($C57:L57)</f>
        <v>0</v>
      </c>
      <c r="N55" s="112">
        <f>$Q13-SUM($C57:M57)</f>
        <v>0</v>
      </c>
    </row>
    <row r="56" spans="2:19">
      <c r="B56" s="114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334"/>
    </row>
    <row r="57" spans="2:19">
      <c r="B57" s="114" t="s">
        <v>673</v>
      </c>
      <c r="D57" s="112">
        <f t="shared" ref="D57:N57" si="12">IF(D$2&gt;=Phase1begin,MIN(D54,D55),0)</f>
        <v>0</v>
      </c>
      <c r="E57" s="112">
        <f t="shared" si="12"/>
        <v>34220064.553073034</v>
      </c>
      <c r="F57" s="112">
        <f t="shared" si="12"/>
        <v>68809606.019204944</v>
      </c>
      <c r="G57" s="112">
        <f t="shared" si="12"/>
        <v>0</v>
      </c>
      <c r="H57" s="112">
        <f t="shared" si="12"/>
        <v>0</v>
      </c>
      <c r="I57" s="112">
        <f t="shared" si="12"/>
        <v>0</v>
      </c>
      <c r="J57" s="112">
        <f t="shared" si="12"/>
        <v>0</v>
      </c>
      <c r="K57" s="112">
        <f t="shared" si="12"/>
        <v>0</v>
      </c>
      <c r="L57" s="112">
        <f t="shared" si="12"/>
        <v>0</v>
      </c>
      <c r="M57" s="112">
        <f t="shared" si="12"/>
        <v>0</v>
      </c>
      <c r="N57" s="112">
        <f t="shared" si="12"/>
        <v>0</v>
      </c>
    </row>
    <row r="58" spans="2:19">
      <c r="B58" s="114" t="s">
        <v>667</v>
      </c>
      <c r="D58" s="112">
        <f t="shared" ref="D58" si="13">-IF(AND(C59=0,D59&gt;0),$Q11,0)</f>
        <v>0</v>
      </c>
      <c r="E58" s="112">
        <f t="shared" ref="E58" si="14">-IF(AND(D59=0,E59&gt;0),$Q11,0)</f>
        <v>0</v>
      </c>
      <c r="F58" s="112">
        <f t="shared" ref="F58" si="15">-IF(AND(E59=0,F59&gt;0),$Q11,0)</f>
        <v>-5633968.3017875841</v>
      </c>
      <c r="G58" s="112">
        <f t="shared" ref="G58" si="16">-IF(AND(F59=0,G59&gt;0),$Q11,0)</f>
        <v>0</v>
      </c>
      <c r="H58" s="112">
        <f t="shared" ref="H58" si="17">-IF(AND(G59=0,H59&gt;0),$Q11,0)</f>
        <v>0</v>
      </c>
      <c r="I58" s="112">
        <f t="shared" ref="I58" si="18">-IF(AND(H59=0,I59&gt;0),$Q11,0)</f>
        <v>0</v>
      </c>
      <c r="J58" s="112">
        <f t="shared" ref="J58" si="19">-IF(AND(I59=0,J59&gt;0),$Q11,0)</f>
        <v>0</v>
      </c>
      <c r="K58" s="112">
        <f t="shared" ref="K58" si="20">-IF(AND(J59=0,K59&gt;0),$Q11,0)</f>
        <v>0</v>
      </c>
      <c r="L58" s="112">
        <f t="shared" ref="L58" si="21">-IF(AND(K59=0,L59&gt;0),$Q11,0)</f>
        <v>0</v>
      </c>
      <c r="M58" s="112">
        <f t="shared" ref="M58" si="22">-IF(AND(L59=0,M59&gt;0),$Q11,0)</f>
        <v>0</v>
      </c>
      <c r="N58" s="112">
        <f t="shared" ref="N58" si="23">-IF(AND(M59=0,N59&gt;0),$Q11,0)</f>
        <v>0</v>
      </c>
      <c r="S58" s="117"/>
    </row>
    <row r="59" spans="2:19">
      <c r="B59" s="114" t="s">
        <v>425</v>
      </c>
      <c r="D59" s="112">
        <f t="shared" ref="D59" si="24">-(D46-D49+D50+D57)</f>
        <v>0</v>
      </c>
      <c r="E59" s="112">
        <f>-(E46-E49+E50+E57)</f>
        <v>0</v>
      </c>
      <c r="F59" s="112">
        <f t="shared" ref="F59:N59" si="25">-(F46-F49+F50+F57)</f>
        <v>114029763.22560954</v>
      </c>
      <c r="G59" s="112">
        <f t="shared" si="25"/>
        <v>167668651.86376962</v>
      </c>
      <c r="H59" s="112">
        <f t="shared" si="25"/>
        <v>0</v>
      </c>
      <c r="I59" s="112">
        <f t="shared" si="25"/>
        <v>0</v>
      </c>
      <c r="J59" s="112">
        <f t="shared" si="25"/>
        <v>0</v>
      </c>
      <c r="K59" s="112">
        <f t="shared" si="25"/>
        <v>0</v>
      </c>
      <c r="L59" s="112">
        <f t="shared" si="25"/>
        <v>0</v>
      </c>
      <c r="M59" s="112">
        <f t="shared" si="25"/>
        <v>0</v>
      </c>
      <c r="N59" s="112">
        <f t="shared" si="25"/>
        <v>0</v>
      </c>
    </row>
    <row r="60" spans="2:19">
      <c r="B60" s="114" t="s">
        <v>420</v>
      </c>
      <c r="C60" s="114"/>
      <c r="D60" s="112">
        <f>-IF(OR(D$2=Phase1begin,D$2=(phase1stabilizationyear-1),AND(D$2&gt;Phase1begin,D$2&lt;(phase1stabilizationyear-1))),SUM($D59:D59)*$Q10,0)</f>
        <v>0</v>
      </c>
      <c r="E60" s="112">
        <f>-IF(OR(E$2=Phase1begin,E$2=(phase1stabilizationyear-1),AND(E$2&gt;Phase1begin,E$2&lt;(phase1stabilizationyear-1))),SUM($D59:E59)*$Q10,0)</f>
        <v>0</v>
      </c>
      <c r="F60" s="112">
        <f>-IF(OR(F$2=Phase1begin,F$2=(phase1stabilizationyear-1),AND(F$2&gt;Phase1begin,F$2&lt;(phase1stabilizationyear-1))),SUM($D59:F59)*$Q10,0)</f>
        <v>-5701488.1612804774</v>
      </c>
      <c r="G60" s="112">
        <f>-IF(OR(G$2=Phase1begin,G$2=(phase1stabilizationyear-1),AND(G$2&gt;Phase1begin,G$2&lt;(phase1stabilizationyear-1))),SUM($D59:G59)*$Q10,0)</f>
        <v>-14084920.754468961</v>
      </c>
      <c r="H60" s="112">
        <f>-IF(OR(H$2=Phase1begin,H$2=(phase1stabilizationyear-1),AND(H$2&gt;Phase1begin,H$2&lt;(phase1stabilizationyear-1))),SUM($D59:H59)*$Q10,0)</f>
        <v>-14084920.754468961</v>
      </c>
      <c r="I60" s="112">
        <f>-IF(OR(I$2=Phase1begin,I$2=(phase1stabilizationyear-1),AND(I$2&gt;Phase1begin,I$2&lt;(phase1stabilizationyear-1))),SUM($D59:I59)*$Q10,0)</f>
        <v>-14084920.754468961</v>
      </c>
      <c r="J60" s="112">
        <f>-IF(OR(J$2=Phase1begin,J$2=(phase1stabilizationyear-1),AND(J$2&gt;Phase1begin,J$2&lt;(phase1stabilizationyear-1))),SUM($D59:J59)*$Q10,0)</f>
        <v>0</v>
      </c>
      <c r="K60" s="112">
        <f>-IF(OR(K$2=Phase1begin,K$2=(phase1stabilizationyear-1),AND(K$2&gt;Phase1begin,K$2&lt;(phase1stabilizationyear-1))),SUM($D59:K59)*$Q10,0)</f>
        <v>0</v>
      </c>
      <c r="L60" s="112">
        <f>-IF(OR(L$2=Phase1begin,L$2=(phase1stabilizationyear-1),AND(L$2&gt;Phase1begin,L$2&lt;(phase1stabilizationyear-1))),SUM($D59:L59)*$Q10,0)</f>
        <v>0</v>
      </c>
      <c r="M60" s="112">
        <f>-IF(OR(M$2=Phase1begin,M$2=(phase1stabilizationyear-1),AND(M$2&gt;Phase1begin,M$2&lt;(phase1stabilizationyear-1))),SUM($D59:M59)*$Q10,0)</f>
        <v>0</v>
      </c>
      <c r="N60" s="334">
        <f>-IF(OR(N$2=Phase1begin,N$2=(phase1stabilizationyear-1),AND(N$2&gt;Phase1begin,N$2&lt;(phase1stabilizationyear-1))),SUM($D59:N59)*$Q10,0)</f>
        <v>0</v>
      </c>
      <c r="S60" s="117"/>
    </row>
    <row r="61" spans="2:19">
      <c r="B61" s="114" t="s">
        <v>421</v>
      </c>
      <c r="C61" s="114"/>
      <c r="D61" s="328">
        <f>-IF(D$2=phase1stabilizationyear,SUM($D59:D59),0)</f>
        <v>0</v>
      </c>
      <c r="E61" s="317">
        <f>-IF(E$2=phase1stabilizationyear,SUM($D59:E59),0)</f>
        <v>0</v>
      </c>
      <c r="F61" s="317">
        <f>-IF(F$2=phase1stabilizationyear,SUM($D59:F59),0)</f>
        <v>0</v>
      </c>
      <c r="G61" s="317">
        <f>-IF(G$2=phase1stabilizationyear,SUM($D59:G59),0)</f>
        <v>0</v>
      </c>
      <c r="H61" s="317">
        <f>-IF(H$2=phase1stabilizationyear,SUM($D59:H59),0)</f>
        <v>0</v>
      </c>
      <c r="I61" s="317">
        <f>-IF(I$2=phase1stabilizationyear,SUM($D59:I59),0)</f>
        <v>0</v>
      </c>
      <c r="J61" s="317">
        <f>-IF(J$2=phase1stabilizationyear,SUM($D59:J59),0)</f>
        <v>-281698415.08937919</v>
      </c>
      <c r="K61" s="317">
        <f>-IF(K$2=phase1stabilizationyear,SUM($D59:K59),0)</f>
        <v>0</v>
      </c>
      <c r="L61" s="317">
        <f>-IF(L$2=phase1stabilizationyear,SUM($D59:L59),0)</f>
        <v>0</v>
      </c>
      <c r="M61" s="317">
        <f>-IF(M$2=phase1stabilizationyear,SUM($D59:M59),0)</f>
        <v>0</v>
      </c>
      <c r="N61" s="317">
        <f>-IF(N$2=phase1stabilizationyear,SUM($D59:N59),0)</f>
        <v>0</v>
      </c>
    </row>
    <row r="63" spans="2:19">
      <c r="B63" s="120" t="s">
        <v>172</v>
      </c>
      <c r="C63" s="114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</row>
    <row r="64" spans="2:19">
      <c r="B64" s="114" t="s">
        <v>447</v>
      </c>
      <c r="C64" s="114"/>
      <c r="D64" s="112">
        <f t="shared" ref="D64:N64" si="26">-IF(D$2=phase1stabilizationyear,$Q31,0)</f>
        <v>0</v>
      </c>
      <c r="E64" s="112">
        <f t="shared" si="26"/>
        <v>0</v>
      </c>
      <c r="F64" s="112">
        <f t="shared" si="26"/>
        <v>0</v>
      </c>
      <c r="G64" s="112">
        <f t="shared" si="26"/>
        <v>0</v>
      </c>
      <c r="H64" s="112">
        <f t="shared" si="26"/>
        <v>0</v>
      </c>
      <c r="I64" s="112">
        <f t="shared" si="26"/>
        <v>0</v>
      </c>
      <c r="J64" s="112">
        <f t="shared" si="26"/>
        <v>-6819988.4260661555</v>
      </c>
      <c r="K64" s="112">
        <f t="shared" si="26"/>
        <v>0</v>
      </c>
      <c r="L64" s="112">
        <f t="shared" si="26"/>
        <v>0</v>
      </c>
      <c r="M64" s="112">
        <f t="shared" si="26"/>
        <v>0</v>
      </c>
      <c r="N64" s="112">
        <f t="shared" si="26"/>
        <v>0</v>
      </c>
    </row>
    <row r="65" spans="2:17">
      <c r="B65" s="114" t="s">
        <v>425</v>
      </c>
      <c r="C65" s="114"/>
      <c r="D65" s="112">
        <f t="shared" ref="D65:N65" si="27">IF(D$2=phase1stabilizationyear,$Q26,0)</f>
        <v>0</v>
      </c>
      <c r="E65" s="112">
        <f t="shared" si="27"/>
        <v>0</v>
      </c>
      <c r="F65" s="112">
        <f t="shared" si="27"/>
        <v>0</v>
      </c>
      <c r="G65" s="112">
        <f t="shared" si="27"/>
        <v>0</v>
      </c>
      <c r="H65" s="112">
        <f t="shared" si="27"/>
        <v>0</v>
      </c>
      <c r="I65" s="112">
        <f t="shared" si="27"/>
        <v>0</v>
      </c>
      <c r="J65" s="112">
        <f t="shared" si="27"/>
        <v>340999421.30330777</v>
      </c>
      <c r="K65" s="112">
        <f t="shared" si="27"/>
        <v>0</v>
      </c>
      <c r="L65" s="112">
        <f t="shared" si="27"/>
        <v>0</v>
      </c>
      <c r="M65" s="112">
        <f t="shared" si="27"/>
        <v>0</v>
      </c>
      <c r="N65" s="112">
        <f t="shared" si="27"/>
        <v>0</v>
      </c>
      <c r="O65" s="112"/>
    </row>
    <row r="66" spans="2:17">
      <c r="B66" s="114" t="s">
        <v>445</v>
      </c>
      <c r="C66" s="114"/>
      <c r="D66" s="112">
        <f t="shared" ref="D66:N66" si="28">-IF(D$2&gt;=phase1stabilizationyear,$Q30,0)</f>
        <v>0</v>
      </c>
      <c r="E66" s="112">
        <f t="shared" si="28"/>
        <v>0</v>
      </c>
      <c r="F66" s="112">
        <f t="shared" si="28"/>
        <v>0</v>
      </c>
      <c r="G66" s="112">
        <f t="shared" si="28"/>
        <v>0</v>
      </c>
      <c r="H66" s="112">
        <f t="shared" si="28"/>
        <v>0</v>
      </c>
      <c r="I66" s="112">
        <f t="shared" si="28"/>
        <v>0</v>
      </c>
      <c r="J66" s="112">
        <f t="shared" si="28"/>
        <v>-20130146.180893943</v>
      </c>
      <c r="K66" s="112">
        <f t="shared" si="28"/>
        <v>-20130146.180893943</v>
      </c>
      <c r="L66" s="112">
        <f t="shared" si="28"/>
        <v>-20130146.180893943</v>
      </c>
      <c r="M66" s="112">
        <f t="shared" si="28"/>
        <v>-20130146.180893943</v>
      </c>
      <c r="N66" s="112">
        <f t="shared" si="28"/>
        <v>-20130146.180893943</v>
      </c>
    </row>
    <row r="67" spans="2:17">
      <c r="B67" s="114" t="s">
        <v>421</v>
      </c>
      <c r="C67" s="114"/>
      <c r="D67" s="112">
        <f>-IF(D$2=dispositionyear,'p1'!$E$16,0)</f>
        <v>0</v>
      </c>
      <c r="E67" s="112">
        <f>-IF(E$2=dispositionyear,'p1'!$E$16,0)</f>
        <v>0</v>
      </c>
      <c r="F67" s="112">
        <f>-IF(F$2=dispositionyear,'p1'!$E$16,0)</f>
        <v>0</v>
      </c>
      <c r="G67" s="112">
        <f>-IF(G$2=dispositionyear,'p1'!$E$16,0)</f>
        <v>0</v>
      </c>
      <c r="H67" s="112">
        <f>-IF(H$2=dispositionyear,'p1'!$E$16,0)</f>
        <v>0</v>
      </c>
      <c r="I67" s="112">
        <f>-IF(I$2=dispositionyear,'p1'!$E$16,0)</f>
        <v>0</v>
      </c>
      <c r="J67" s="112">
        <f>-IF(J$2=dispositionyear,'p1'!$E$16,0)</f>
        <v>0</v>
      </c>
      <c r="K67" s="112">
        <f>-IF(K$2=dispositionyear,'p1'!$E$16,0)</f>
        <v>0</v>
      </c>
      <c r="L67" s="112">
        <f>-IF(L$2=dispositionyear,'p1'!$E$16,0)</f>
        <v>0</v>
      </c>
      <c r="M67" s="112">
        <f>-IF(M$2=dispositionyear,'p1'!$E$16,0)</f>
        <v>0</v>
      </c>
      <c r="N67" s="112">
        <f>-IF(N$2=dispositionyear,'p1'!$E$16,0)</f>
        <v>-309653719.888785</v>
      </c>
    </row>
    <row r="68" spans="2:17">
      <c r="C68" s="190"/>
    </row>
    <row r="69" spans="2:17">
      <c r="B69" s="107" t="s">
        <v>173</v>
      </c>
      <c r="C69" s="118">
        <f>IRR(D69:N69)</f>
        <v>0.16924263611614276</v>
      </c>
      <c r="D69" s="117">
        <f>SUM(D42,D50:D52,D57:D67)</f>
        <v>0</v>
      </c>
      <c r="E69" s="117">
        <f t="shared" ref="E69:N69" si="29">SUM(E42,E50:E52,E57:E67)</f>
        <v>-123162927.80454619</v>
      </c>
      <c r="F69" s="117">
        <f t="shared" si="29"/>
        <v>-11335456.463068062</v>
      </c>
      <c r="G69" s="117">
        <f t="shared" si="29"/>
        <v>-14084920.754468961</v>
      </c>
      <c r="H69" s="117">
        <f t="shared" si="29"/>
        <v>15230104.067313576</v>
      </c>
      <c r="I69" s="117">
        <f t="shared" si="29"/>
        <v>33070762.276629329</v>
      </c>
      <c r="J69" s="117">
        <f t="shared" si="29"/>
        <v>69470556.599173978</v>
      </c>
      <c r="K69" s="117">
        <f t="shared" si="29"/>
        <v>17752669.086786591</v>
      </c>
      <c r="L69" s="117">
        <f t="shared" si="29"/>
        <v>18531061.967771098</v>
      </c>
      <c r="M69" s="117">
        <f t="shared" si="29"/>
        <v>19325022.706375338</v>
      </c>
      <c r="N69" s="117">
        <f t="shared" si="29"/>
        <v>267402940.16433716</v>
      </c>
    </row>
    <row r="70" spans="2:17">
      <c r="E70" s="383"/>
      <c r="H70" s="106" t="s">
        <v>282</v>
      </c>
    </row>
    <row r="71" spans="2:17">
      <c r="B71" s="106" t="s">
        <v>691</v>
      </c>
      <c r="C71" s="363">
        <f>(ABS(SUMIF(D69:N69,"&gt;0",D69:N69))/C72)/COUNTIF(D69:N69,"&lt;&gt;0")</f>
        <v>0.2966572299646153</v>
      </c>
      <c r="H71" s="192"/>
      <c r="I71" s="192"/>
      <c r="J71" s="192"/>
      <c r="K71" s="192"/>
      <c r="L71" s="192"/>
      <c r="M71" s="192"/>
      <c r="N71" s="192"/>
    </row>
    <row r="72" spans="2:17">
      <c r="B72" s="106" t="s">
        <v>690</v>
      </c>
      <c r="C72" s="112">
        <f>ABS(SUMIF(D69:N69,"&lt;0",D69:N69))</f>
        <v>148583305.02208319</v>
      </c>
    </row>
    <row r="73" spans="2:17">
      <c r="B73" s="106" t="s">
        <v>693</v>
      </c>
      <c r="C73" s="112">
        <f>SUMIF(D69:N69,"&gt;0",D69:N69)</f>
        <v>440783116.8683871</v>
      </c>
    </row>
    <row r="74" spans="2:17">
      <c r="B74" s="106" t="s">
        <v>692</v>
      </c>
      <c r="C74" s="195">
        <f>C73/C72</f>
        <v>2.966572299646153</v>
      </c>
    </row>
    <row r="76" spans="2:17">
      <c r="B76" s="219" t="s">
        <v>220</v>
      </c>
      <c r="C76" s="219" t="s">
        <v>175</v>
      </c>
      <c r="D76" s="219">
        <v>0</v>
      </c>
      <c r="E76" s="219">
        <v>1</v>
      </c>
      <c r="F76" s="219">
        <v>2</v>
      </c>
      <c r="G76" s="219">
        <v>3</v>
      </c>
      <c r="H76" s="219">
        <v>4</v>
      </c>
      <c r="I76" s="219">
        <v>5</v>
      </c>
      <c r="J76" s="219">
        <v>6</v>
      </c>
      <c r="K76" s="219">
        <v>7</v>
      </c>
      <c r="L76" s="219">
        <v>8</v>
      </c>
      <c r="M76" s="219">
        <v>9</v>
      </c>
      <c r="N76" s="219">
        <v>10</v>
      </c>
      <c r="P76" s="870" t="s">
        <v>419</v>
      </c>
      <c r="Q76" s="217"/>
    </row>
    <row r="77" spans="2:17">
      <c r="B77" s="107" t="s">
        <v>270</v>
      </c>
    </row>
    <row r="78" spans="2:17">
      <c r="B78" s="108" t="s">
        <v>164</v>
      </c>
      <c r="C78" s="108"/>
      <c r="D78" s="112">
        <f>'res, market-rate'!E48</f>
        <v>0</v>
      </c>
      <c r="E78" s="112">
        <f>'res, market-rate'!F48</f>
        <v>0</v>
      </c>
      <c r="F78" s="112">
        <f>'res, market-rate'!G48</f>
        <v>0</v>
      </c>
      <c r="G78" s="112">
        <f>'res, market-rate'!H48</f>
        <v>0</v>
      </c>
      <c r="H78" s="112">
        <f>'res, market-rate'!I48</f>
        <v>0</v>
      </c>
      <c r="I78" s="112">
        <f>'res, market-rate'!J48</f>
        <v>0</v>
      </c>
      <c r="J78" s="112">
        <f>'res, market-rate'!K48</f>
        <v>2319191.9645044645</v>
      </c>
      <c r="K78" s="112">
        <f>'res, market-rate'!L48</f>
        <v>7567189.4673677366</v>
      </c>
      <c r="L78" s="112">
        <f>'res, market-rate'!M48</f>
        <v>7718533.25671509</v>
      </c>
      <c r="M78" s="112">
        <f>'res, market-rate'!N48</f>
        <v>7872903.9218493942</v>
      </c>
      <c r="N78" s="112">
        <f>'res, market-rate'!O48</f>
        <v>8030362.0002863798</v>
      </c>
      <c r="P78" s="292" t="s">
        <v>171</v>
      </c>
    </row>
    <row r="79" spans="2:17">
      <c r="B79" s="108" t="s">
        <v>156</v>
      </c>
      <c r="C79" s="108"/>
      <c r="D79" s="112">
        <f>'res, condo'!E46</f>
        <v>0</v>
      </c>
      <c r="E79" s="112">
        <f>'res, condo'!F46</f>
        <v>0</v>
      </c>
      <c r="F79" s="112">
        <f>'res, condo'!G46</f>
        <v>0</v>
      </c>
      <c r="G79" s="112">
        <f>'res, condo'!H46</f>
        <v>0</v>
      </c>
      <c r="H79" s="112">
        <f>'res, condo'!I46</f>
        <v>0</v>
      </c>
      <c r="I79" s="112">
        <f>'res, condo'!J46</f>
        <v>0</v>
      </c>
      <c r="J79" s="112">
        <f>'res, condo'!K46</f>
        <v>74742410.543164819</v>
      </c>
      <c r="K79" s="112">
        <f>'res, condo'!L46</f>
        <v>76237258.754028112</v>
      </c>
      <c r="L79" s="112">
        <f>'res, condo'!M46</f>
        <v>0</v>
      </c>
      <c r="M79" s="112">
        <f>'res, condo'!N46</f>
        <v>0</v>
      </c>
      <c r="N79" s="112">
        <f>'res, condo'!O46</f>
        <v>0</v>
      </c>
      <c r="P79" s="267" t="s">
        <v>275</v>
      </c>
      <c r="Q79" s="117">
        <f>ABS(SUMIF(D108:N108,"&lt;0",D108:N108)+SUMIF(D110:N110,"&lt;0",D110:N110))</f>
        <v>280132464.48646259</v>
      </c>
    </row>
    <row r="80" spans="2:17">
      <c r="B80" s="108" t="s">
        <v>140</v>
      </c>
      <c r="C80" s="108"/>
      <c r="D80" s="112">
        <f>'res, affordable'!E46</f>
        <v>0</v>
      </c>
      <c r="E80" s="112">
        <f>'res, affordable'!F46</f>
        <v>0</v>
      </c>
      <c r="F80" s="112">
        <f>'res, affordable'!G46</f>
        <v>0</v>
      </c>
      <c r="G80" s="112">
        <f>'res, affordable'!H46</f>
        <v>0</v>
      </c>
      <c r="H80" s="112">
        <f>'res, affordable'!I46</f>
        <v>0</v>
      </c>
      <c r="I80" s="112">
        <f>'res, affordable'!J46</f>
        <v>0</v>
      </c>
      <c r="J80" s="112">
        <f>'res, affordable'!K46</f>
        <v>1263060.3605835368</v>
      </c>
      <c r="K80" s="112">
        <f>'res, affordable'!L46</f>
        <v>1288321.5677952073</v>
      </c>
      <c r="L80" s="112">
        <f>'res, affordable'!M46</f>
        <v>1314087.9991511111</v>
      </c>
      <c r="M80" s="112">
        <f>'res, affordable'!N46</f>
        <v>1340369.7591341333</v>
      </c>
      <c r="N80" s="112">
        <f>'res, affordable'!O46</f>
        <v>1367177.1543168165</v>
      </c>
      <c r="P80" s="267" t="s">
        <v>415</v>
      </c>
      <c r="Q80" s="110">
        <f>Loantocost</f>
        <v>0.55000000000000004</v>
      </c>
    </row>
    <row r="81" spans="2:18">
      <c r="B81" s="108" t="s">
        <v>2</v>
      </c>
      <c r="C81" s="108"/>
      <c r="D81" s="112">
        <f>office!E46</f>
        <v>0</v>
      </c>
      <c r="E81" s="112">
        <f>office!F46</f>
        <v>0</v>
      </c>
      <c r="F81" s="112">
        <f>office!G46</f>
        <v>0</v>
      </c>
      <c r="G81" s="112">
        <f>office!H46</f>
        <v>0</v>
      </c>
      <c r="H81" s="112">
        <f>office!I46</f>
        <v>0</v>
      </c>
      <c r="I81" s="112">
        <f>office!J46</f>
        <v>0</v>
      </c>
      <c r="J81" s="112">
        <f>office!K46</f>
        <v>21413.923198264791</v>
      </c>
      <c r="K81" s="112">
        <f>office!L46</f>
        <v>480528.436569062</v>
      </c>
      <c r="L81" s="112">
        <f>office!M46</f>
        <v>957998.9649054117</v>
      </c>
      <c r="M81" s="112">
        <f>office!N46</f>
        <v>977158.94420352019</v>
      </c>
      <c r="N81" s="112">
        <f>office!O46</f>
        <v>996702.12308759056</v>
      </c>
      <c r="P81" s="267" t="s">
        <v>529</v>
      </c>
      <c r="Q81" s="117">
        <f>Q79*Q80</f>
        <v>154072855.46755445</v>
      </c>
    </row>
    <row r="82" spans="2:18">
      <c r="B82" s="108" t="s">
        <v>141</v>
      </c>
      <c r="C82" s="197"/>
      <c r="D82" s="112">
        <f>retail!E46</f>
        <v>0</v>
      </c>
      <c r="E82" s="112">
        <f>retail!F46</f>
        <v>0</v>
      </c>
      <c r="F82" s="112">
        <f>retail!G46</f>
        <v>0</v>
      </c>
      <c r="G82" s="112">
        <f>retail!H46</f>
        <v>0</v>
      </c>
      <c r="H82" s="112">
        <f>retail!I46</f>
        <v>0</v>
      </c>
      <c r="I82" s="112">
        <f>retail!J46</f>
        <v>0</v>
      </c>
      <c r="J82" s="112">
        <f>retail!K46</f>
        <v>633202.4294808933</v>
      </c>
      <c r="K82" s="112">
        <f>retail!L46</f>
        <v>2456410.2116780104</v>
      </c>
      <c r="L82" s="112">
        <f>retail!M46</f>
        <v>2505538.4159115702</v>
      </c>
      <c r="M82" s="112">
        <f>retail!N46</f>
        <v>2555649.1842298019</v>
      </c>
      <c r="N82" s="112">
        <f>retail!O46</f>
        <v>2606762.167914398</v>
      </c>
      <c r="P82" s="267" t="s">
        <v>410</v>
      </c>
      <c r="Q82" s="296" t="s">
        <v>99</v>
      </c>
    </row>
    <row r="83" spans="2:18">
      <c r="B83" s="108" t="s">
        <v>18</v>
      </c>
      <c r="C83" s="108"/>
      <c r="D83" s="112">
        <f>hotel!E48</f>
        <v>0</v>
      </c>
      <c r="E83" s="112">
        <f>hotel!F48</f>
        <v>0</v>
      </c>
      <c r="F83" s="112">
        <f>hotel!G48</f>
        <v>0</v>
      </c>
      <c r="G83" s="112">
        <f>hotel!H48</f>
        <v>0</v>
      </c>
      <c r="H83" s="112">
        <f>hotel!I48</f>
        <v>0</v>
      </c>
      <c r="I83" s="112">
        <f>hotel!J48</f>
        <v>0</v>
      </c>
      <c r="J83" s="112">
        <f>hotel!K48</f>
        <v>9528757.7972908448</v>
      </c>
      <c r="K83" s="112">
        <f>hotel!L48</f>
        <v>9719332.9532366619</v>
      </c>
      <c r="L83" s="112">
        <f>hotel!M48</f>
        <v>9913719.6123013925</v>
      </c>
      <c r="M83" s="112">
        <f>hotel!N48</f>
        <v>10111994.004547421</v>
      </c>
      <c r="N83" s="112">
        <f>hotel!O48</f>
        <v>10314233.884638367</v>
      </c>
      <c r="P83" s="267" t="s">
        <v>411</v>
      </c>
      <c r="Q83" s="122">
        <f>Constructioninterestrate</f>
        <v>0.05</v>
      </c>
    </row>
    <row r="84" spans="2:18">
      <c r="B84" s="108" t="s">
        <v>19</v>
      </c>
      <c r="C84" s="108"/>
      <c r="D84" s="112">
        <f>parking!E44</f>
        <v>0</v>
      </c>
      <c r="E84" s="112">
        <f>parking!F44</f>
        <v>0</v>
      </c>
      <c r="F84" s="112">
        <f>parking!G44</f>
        <v>0</v>
      </c>
      <c r="G84" s="112">
        <f>parking!H44</f>
        <v>0</v>
      </c>
      <c r="H84" s="112">
        <f>parking!I44</f>
        <v>0</v>
      </c>
      <c r="I84" s="112">
        <f>parking!J44</f>
        <v>0</v>
      </c>
      <c r="J84" s="112">
        <f>parking!K44</f>
        <v>201303.96445471328</v>
      </c>
      <c r="K84" s="112">
        <f>parking!L44</f>
        <v>410660.08748761495</v>
      </c>
      <c r="L84" s="112">
        <f>parking!M44</f>
        <v>418873.28923736722</v>
      </c>
      <c r="M84" s="112">
        <f>parking!N44</f>
        <v>427250.75502211461</v>
      </c>
      <c r="N84" s="112">
        <f>parking!O44</f>
        <v>435795.77012255695</v>
      </c>
      <c r="P84" s="267" t="s">
        <v>412</v>
      </c>
      <c r="Q84" s="316">
        <f>Q81*R84</f>
        <v>3081457.1093510892</v>
      </c>
      <c r="R84" s="858">
        <f>Constructionservicingfees</f>
        <v>0.02</v>
      </c>
    </row>
    <row r="85" spans="2:18">
      <c r="B85" s="108" t="s">
        <v>283</v>
      </c>
      <c r="C85" s="108"/>
      <c r="D85" s="113">
        <f>'public bldgs'!E37</f>
        <v>0</v>
      </c>
      <c r="E85" s="113">
        <f>'public bldgs'!F37</f>
        <v>0</v>
      </c>
      <c r="F85" s="113">
        <f>'public bldgs'!G37</f>
        <v>0</v>
      </c>
      <c r="G85" s="113">
        <f>'public bldgs'!H37</f>
        <v>0</v>
      </c>
      <c r="H85" s="113">
        <f>'public bldgs'!I37</f>
        <v>0</v>
      </c>
      <c r="I85" s="113">
        <f>'public bldgs'!J37</f>
        <v>0</v>
      </c>
      <c r="J85" s="113">
        <f>'public bldgs'!K37</f>
        <v>0</v>
      </c>
      <c r="K85" s="113">
        <f>'public bldgs'!L37</f>
        <v>0</v>
      </c>
      <c r="L85" s="113">
        <f>'public bldgs'!M37</f>
        <v>0</v>
      </c>
      <c r="M85" s="113">
        <f>'public bldgs'!N37</f>
        <v>0</v>
      </c>
      <c r="N85" s="113">
        <f>'public bldgs'!O37</f>
        <v>0</v>
      </c>
    </row>
    <row r="86" spans="2:18">
      <c r="B86" s="220" t="s">
        <v>323</v>
      </c>
      <c r="C86" s="108"/>
      <c r="D86" s="112">
        <f t="shared" ref="D86:N86" si="30">SUM(D78:D85)</f>
        <v>0</v>
      </c>
      <c r="E86" s="112">
        <f t="shared" si="30"/>
        <v>0</v>
      </c>
      <c r="F86" s="112">
        <f t="shared" si="30"/>
        <v>0</v>
      </c>
      <c r="G86" s="112">
        <f t="shared" si="30"/>
        <v>0</v>
      </c>
      <c r="H86" s="112">
        <f t="shared" si="30"/>
        <v>0</v>
      </c>
      <c r="I86" s="112">
        <f t="shared" si="30"/>
        <v>0</v>
      </c>
      <c r="J86" s="112">
        <f t="shared" si="30"/>
        <v>88709340.982677549</v>
      </c>
      <c r="K86" s="112">
        <f t="shared" si="30"/>
        <v>98159701.478162408</v>
      </c>
      <c r="L86" s="112">
        <f t="shared" si="30"/>
        <v>22828751.538221944</v>
      </c>
      <c r="M86" s="112">
        <f t="shared" si="30"/>
        <v>23285326.568986386</v>
      </c>
      <c r="N86" s="112">
        <f t="shared" si="30"/>
        <v>23751033.100366108</v>
      </c>
      <c r="P86" s="267" t="s">
        <v>672</v>
      </c>
      <c r="Q86" s="112">
        <f>MIN(tifphase2,ABS((SUMIF(D102:N102,"&lt;0",D102:N102)+SUM(D107:N107,D110:N110))))</f>
        <v>21927232.477436259</v>
      </c>
      <c r="R86" s="859">
        <f>tifphase2</f>
        <v>69765597.887437627</v>
      </c>
    </row>
    <row r="87" spans="2:18">
      <c r="B87" s="108"/>
      <c r="C87" s="108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P87" s="267" t="s">
        <v>668</v>
      </c>
      <c r="Q87" s="112">
        <f>Q86*tiforiginationfee</f>
        <v>219272.32477436261</v>
      </c>
    </row>
    <row r="88" spans="2:18">
      <c r="B88" s="107" t="s">
        <v>195</v>
      </c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P88" s="267" t="s">
        <v>669</v>
      </c>
      <c r="Q88" s="112">
        <f>Q86*tifrate</f>
        <v>1315633.9486461754</v>
      </c>
    </row>
    <row r="89" spans="2:18">
      <c r="B89" s="108" t="s">
        <v>164</v>
      </c>
      <c r="C89" s="108"/>
      <c r="D89" s="112">
        <f>'res, market-rate'!E52</f>
        <v>0</v>
      </c>
      <c r="E89" s="112">
        <f>'res, market-rate'!F52</f>
        <v>0</v>
      </c>
      <c r="F89" s="112">
        <f>'res, market-rate'!G52</f>
        <v>0</v>
      </c>
      <c r="G89" s="112">
        <f>'res, market-rate'!H52</f>
        <v>0</v>
      </c>
      <c r="H89" s="112">
        <f>'res, market-rate'!I52</f>
        <v>0</v>
      </c>
      <c r="I89" s="112">
        <f>'res, market-rate'!J52</f>
        <v>0</v>
      </c>
      <c r="J89" s="112">
        <f>'res, market-rate'!K52</f>
        <v>-98922.775501811237</v>
      </c>
      <c r="K89" s="112">
        <f>'res, market-rate'!L52</f>
        <v>-103408.53381812249</v>
      </c>
      <c r="L89" s="112">
        <f>'res, market-rate'!M52</f>
        <v>-103408.53381812249</v>
      </c>
      <c r="M89" s="112">
        <f>'res, market-rate'!N52</f>
        <v>-103408.53381812249</v>
      </c>
      <c r="N89" s="112">
        <f>'res, market-rate'!O52</f>
        <v>-103408.53381812249</v>
      </c>
    </row>
    <row r="90" spans="2:18">
      <c r="B90" s="108" t="s">
        <v>156</v>
      </c>
      <c r="C90" s="108"/>
      <c r="D90" s="112">
        <f>'res, condo'!E50</f>
        <v>0</v>
      </c>
      <c r="E90" s="112">
        <f>'res, condo'!F50</f>
        <v>0</v>
      </c>
      <c r="F90" s="112">
        <f>'res, condo'!G50</f>
        <v>0</v>
      </c>
      <c r="G90" s="112">
        <f>'res, condo'!H50</f>
        <v>0</v>
      </c>
      <c r="H90" s="112">
        <f>'res, condo'!I50</f>
        <v>0</v>
      </c>
      <c r="I90" s="112">
        <f>'res, condo'!J50</f>
        <v>0</v>
      </c>
      <c r="J90" s="112">
        <f>'res, condo'!K50</f>
        <v>0</v>
      </c>
      <c r="K90" s="112">
        <f>'res, condo'!L50</f>
        <v>0</v>
      </c>
      <c r="L90" s="112">
        <f>'res, condo'!M50</f>
        <v>0</v>
      </c>
      <c r="M90" s="112">
        <f>'res, condo'!N50</f>
        <v>0</v>
      </c>
      <c r="N90" s="112">
        <f>'res, condo'!O50</f>
        <v>0</v>
      </c>
      <c r="P90" s="267" t="s">
        <v>705</v>
      </c>
      <c r="Q90" s="205">
        <v>0</v>
      </c>
    </row>
    <row r="91" spans="2:18">
      <c r="B91" s="108" t="s">
        <v>140</v>
      </c>
      <c r="C91" s="108"/>
      <c r="D91" s="112">
        <f>'res, affordable'!E50</f>
        <v>0</v>
      </c>
      <c r="E91" s="112">
        <f>'res, affordable'!F50</f>
        <v>0</v>
      </c>
      <c r="F91" s="112">
        <f>'res, affordable'!G50</f>
        <v>0</v>
      </c>
      <c r="G91" s="112">
        <f>'res, affordable'!H50</f>
        <v>0</v>
      </c>
      <c r="H91" s="112">
        <f>'res, affordable'!I50</f>
        <v>0</v>
      </c>
      <c r="I91" s="112">
        <f>'res, affordable'!J50</f>
        <v>0</v>
      </c>
      <c r="J91" s="112">
        <f>'res, affordable'!K50</f>
        <v>-6069.5706879000008</v>
      </c>
      <c r="K91" s="112">
        <f>'res, affordable'!L50</f>
        <v>-6069.5706879000008</v>
      </c>
      <c r="L91" s="112">
        <f>'res, affordable'!M50</f>
        <v>-6069.5706879000008</v>
      </c>
      <c r="M91" s="112">
        <f>'res, affordable'!N50</f>
        <v>-6069.5706879000008</v>
      </c>
      <c r="N91" s="112">
        <f>'res, affordable'!O50</f>
        <v>-6069.5706879000008</v>
      </c>
      <c r="P91" s="106"/>
    </row>
    <row r="92" spans="2:18">
      <c r="B92" s="108" t="s">
        <v>2</v>
      </c>
      <c r="C92" s="108"/>
      <c r="D92" s="112">
        <f>office!E50</f>
        <v>0</v>
      </c>
      <c r="E92" s="112">
        <f>office!F50</f>
        <v>0</v>
      </c>
      <c r="F92" s="112">
        <f>office!G50</f>
        <v>0</v>
      </c>
      <c r="G92" s="112">
        <f>office!H50</f>
        <v>0</v>
      </c>
      <c r="H92" s="112">
        <f>office!I50</f>
        <v>0</v>
      </c>
      <c r="I92" s="112">
        <f>office!J50</f>
        <v>0</v>
      </c>
      <c r="J92" s="112">
        <f>office!K50</f>
        <v>-13576.674999999999</v>
      </c>
      <c r="K92" s="112">
        <f>office!L50</f>
        <v>-25213.825000000001</v>
      </c>
      <c r="L92" s="112">
        <f>office!M50</f>
        <v>-36850.974999999999</v>
      </c>
      <c r="M92" s="112">
        <f>office!N50</f>
        <v>-36850.974999999999</v>
      </c>
      <c r="N92" s="112">
        <f>office!O50</f>
        <v>-36850.974999999999</v>
      </c>
      <c r="P92" s="267" t="s">
        <v>409</v>
      </c>
      <c r="Q92" s="117">
        <f>Q79-Q81-Q86-Q90</f>
        <v>104132376.54147188</v>
      </c>
    </row>
    <row r="93" spans="2:18">
      <c r="B93" s="197" t="s">
        <v>141</v>
      </c>
      <c r="C93" s="197"/>
      <c r="D93" s="112">
        <f>retail!E50</f>
        <v>0</v>
      </c>
      <c r="E93" s="112">
        <f>retail!F50</f>
        <v>0</v>
      </c>
      <c r="F93" s="112">
        <f>retail!G50</f>
        <v>0</v>
      </c>
      <c r="G93" s="112">
        <f>retail!H50</f>
        <v>0</v>
      </c>
      <c r="H93" s="112">
        <f>retail!I50</f>
        <v>0</v>
      </c>
      <c r="I93" s="112">
        <f>retail!J50</f>
        <v>0</v>
      </c>
      <c r="J93" s="112">
        <f>retail!K50</f>
        <v>-49359.548909999998</v>
      </c>
      <c r="K93" s="112">
        <f>retail!L50</f>
        <v>-94018.188399999985</v>
      </c>
      <c r="L93" s="112">
        <f>retail!M50</f>
        <v>-94018.188399999985</v>
      </c>
      <c r="M93" s="112">
        <f>retail!N50</f>
        <v>-94018.188399999985</v>
      </c>
      <c r="N93" s="112">
        <f>retail!O50</f>
        <v>-94018.188399999985</v>
      </c>
    </row>
    <row r="94" spans="2:18">
      <c r="B94" s="108" t="s">
        <v>18</v>
      </c>
      <c r="C94" s="108"/>
      <c r="D94" s="112">
        <f>hotel!E52</f>
        <v>0</v>
      </c>
      <c r="E94" s="112">
        <f>hotel!F52</f>
        <v>0</v>
      </c>
      <c r="F94" s="112">
        <f>hotel!G52</f>
        <v>0</v>
      </c>
      <c r="G94" s="112">
        <f>hotel!H52</f>
        <v>0</v>
      </c>
      <c r="H94" s="112">
        <f>hotel!I52</f>
        <v>0</v>
      </c>
      <c r="I94" s="112">
        <f>hotel!J52</f>
        <v>0</v>
      </c>
      <c r="J94" s="112">
        <f>hotel!K52</f>
        <v>-7852.2795375000005</v>
      </c>
      <c r="K94" s="112">
        <f>hotel!L52</f>
        <v>-7852.2795375000005</v>
      </c>
      <c r="L94" s="112">
        <f>hotel!M52</f>
        <v>-7852.2795375000005</v>
      </c>
      <c r="M94" s="112">
        <f>hotel!N52</f>
        <v>-7852.2795375000005</v>
      </c>
      <c r="N94" s="112">
        <f>hotel!O52</f>
        <v>-7852.2795375000005</v>
      </c>
      <c r="P94" s="292" t="s">
        <v>172</v>
      </c>
    </row>
    <row r="95" spans="2:18">
      <c r="B95" s="108" t="s">
        <v>19</v>
      </c>
      <c r="C95" s="108"/>
      <c r="D95" s="112">
        <f>parking!E48</f>
        <v>0</v>
      </c>
      <c r="E95" s="112">
        <f>parking!F48</f>
        <v>0</v>
      </c>
      <c r="F95" s="112">
        <f>parking!G48</f>
        <v>0</v>
      </c>
      <c r="G95" s="112">
        <f>parking!H48</f>
        <v>0</v>
      </c>
      <c r="H95" s="112">
        <f>parking!I48</f>
        <v>0</v>
      </c>
      <c r="I95" s="112">
        <f>parking!J48</f>
        <v>0</v>
      </c>
      <c r="J95" s="112">
        <f>parking!K48</f>
        <v>-1974.5202810000003</v>
      </c>
      <c r="K95" s="112">
        <f>parking!L48</f>
        <v>-1974.5202810000003</v>
      </c>
      <c r="L95" s="112">
        <f>parking!M48</f>
        <v>-1974.5202810000003</v>
      </c>
      <c r="M95" s="112">
        <f>parking!N48</f>
        <v>-1974.5202810000003</v>
      </c>
      <c r="N95" s="112">
        <f>parking!O48</f>
        <v>-1974.5202810000003</v>
      </c>
      <c r="P95" s="267" t="s">
        <v>413</v>
      </c>
      <c r="Q95" s="112">
        <f>SUMIF(D$2:N$2,phase2stabilizationyear,$D86:$N86)-SUMIF(D$2:N$2,phase2stabilizationyear,$D79:$N79)</f>
        <v>22828751.538221944</v>
      </c>
    </row>
    <row r="96" spans="2:18">
      <c r="B96" s="108" t="s">
        <v>301</v>
      </c>
      <c r="C96" s="108"/>
      <c r="D96" s="113">
        <f>'public bldgs'!E40</f>
        <v>0</v>
      </c>
      <c r="E96" s="113">
        <f>'public bldgs'!F40</f>
        <v>0</v>
      </c>
      <c r="F96" s="113">
        <f>'public bldgs'!G40</f>
        <v>0</v>
      </c>
      <c r="G96" s="113">
        <f>'public bldgs'!H40</f>
        <v>0</v>
      </c>
      <c r="H96" s="113">
        <f>'public bldgs'!I40</f>
        <v>0</v>
      </c>
      <c r="I96" s="113">
        <f>'public bldgs'!J40</f>
        <v>0</v>
      </c>
      <c r="J96" s="113">
        <f>'public bldgs'!K40</f>
        <v>0</v>
      </c>
      <c r="K96" s="113">
        <f>'public bldgs'!L40</f>
        <v>0</v>
      </c>
      <c r="L96" s="113">
        <f>'public bldgs'!M40</f>
        <v>0</v>
      </c>
      <c r="M96" s="113">
        <f>'public bldgs'!N40</f>
        <v>0</v>
      </c>
      <c r="N96" s="113">
        <f>'public bldgs'!O40</f>
        <v>0</v>
      </c>
      <c r="P96" s="267" t="s">
        <v>414</v>
      </c>
      <c r="Q96" s="122">
        <f>blendedcaprate+R96</f>
        <v>7.2732481064471194E-2</v>
      </c>
      <c r="R96" s="860">
        <v>0</v>
      </c>
    </row>
    <row r="97" spans="2:18">
      <c r="B97" s="220" t="s">
        <v>324</v>
      </c>
      <c r="C97" s="108"/>
      <c r="D97" s="112">
        <f t="shared" ref="D97:N97" si="31">SUM(D89:D96)</f>
        <v>0</v>
      </c>
      <c r="E97" s="112">
        <f t="shared" si="31"/>
        <v>0</v>
      </c>
      <c r="F97" s="112">
        <f t="shared" si="31"/>
        <v>0</v>
      </c>
      <c r="G97" s="112">
        <f t="shared" si="31"/>
        <v>0</v>
      </c>
      <c r="H97" s="112">
        <f t="shared" si="31"/>
        <v>0</v>
      </c>
      <c r="I97" s="112">
        <f t="shared" si="31"/>
        <v>0</v>
      </c>
      <c r="J97" s="112">
        <f t="shared" si="31"/>
        <v>-177755.36991821125</v>
      </c>
      <c r="K97" s="112">
        <f t="shared" si="31"/>
        <v>-238536.9177245225</v>
      </c>
      <c r="L97" s="112">
        <f t="shared" si="31"/>
        <v>-250174.06772452249</v>
      </c>
      <c r="M97" s="112">
        <f t="shared" si="31"/>
        <v>-250174.06772452249</v>
      </c>
      <c r="N97" s="112">
        <f t="shared" si="31"/>
        <v>-250174.06772452249</v>
      </c>
      <c r="P97" s="267" t="s">
        <v>237</v>
      </c>
      <c r="Q97" s="117">
        <f>Q95/Q96</f>
        <v>313872855.76008588</v>
      </c>
    </row>
    <row r="98" spans="2:18">
      <c r="B98" s="108"/>
      <c r="C98" s="108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P98" s="267" t="s">
        <v>416</v>
      </c>
      <c r="Q98" s="293">
        <f>loantovalue</f>
        <v>0.65</v>
      </c>
    </row>
    <row r="99" spans="2:18">
      <c r="B99" s="107" t="s">
        <v>196</v>
      </c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P99" s="267" t="s">
        <v>408</v>
      </c>
      <c r="Q99" s="117">
        <f>Q97*Q98</f>
        <v>204017356.24405584</v>
      </c>
    </row>
    <row r="100" spans="2:18">
      <c r="B100" s="108" t="s">
        <v>164</v>
      </c>
      <c r="C100" s="108"/>
      <c r="D100" s="112">
        <f>'res, market-rate'!E56</f>
        <v>0</v>
      </c>
      <c r="E100" s="112">
        <f>'res, market-rate'!F56</f>
        <v>0</v>
      </c>
      <c r="F100" s="112">
        <f>'res, market-rate'!G56</f>
        <v>0</v>
      </c>
      <c r="G100" s="112">
        <f>'res, market-rate'!H56</f>
        <v>0</v>
      </c>
      <c r="H100" s="112">
        <f>'res, market-rate'!I56</f>
        <v>-32845714.350793924</v>
      </c>
      <c r="I100" s="112">
        <f>'res, market-rate'!J56</f>
        <v>-33502628.637809802</v>
      </c>
      <c r="J100" s="112">
        <f>'res, market-rate'!K56</f>
        <v>0</v>
      </c>
      <c r="K100" s="112">
        <f>'res, market-rate'!L56</f>
        <v>0</v>
      </c>
      <c r="L100" s="112">
        <f>'res, market-rate'!M56</f>
        <v>0</v>
      </c>
      <c r="M100" s="112">
        <f>'res, market-rate'!N56</f>
        <v>0</v>
      </c>
      <c r="N100" s="112">
        <f>'res, market-rate'!O56</f>
        <v>129030802.57749303</v>
      </c>
      <c r="P100" s="267" t="s">
        <v>410</v>
      </c>
      <c r="Q100" s="296" t="s">
        <v>424</v>
      </c>
    </row>
    <row r="101" spans="2:18">
      <c r="B101" s="108" t="s">
        <v>156</v>
      </c>
      <c r="C101" s="108"/>
      <c r="D101" s="112">
        <f>'res, condo'!E54</f>
        <v>0</v>
      </c>
      <c r="E101" s="112">
        <f>'res, condo'!F54</f>
        <v>0</v>
      </c>
      <c r="F101" s="112">
        <f>'res, condo'!G54</f>
        <v>0</v>
      </c>
      <c r="G101" s="112">
        <f>'res, condo'!H54</f>
        <v>0</v>
      </c>
      <c r="H101" s="112">
        <f>'res, condo'!I54</f>
        <v>-44075420.065578155</v>
      </c>
      <c r="I101" s="112">
        <f>'res, condo'!J54</f>
        <v>-44956928.466889717</v>
      </c>
      <c r="J101" s="112">
        <f>'res, condo'!K54</f>
        <v>0</v>
      </c>
      <c r="K101" s="112">
        <f>'res, condo'!L54</f>
        <v>0</v>
      </c>
      <c r="L101" s="112">
        <f>'res, condo'!M54</f>
        <v>0</v>
      </c>
      <c r="M101" s="112">
        <f>'res, condo'!N54</f>
        <v>0</v>
      </c>
      <c r="N101" s="112">
        <f>'res, condo'!O54</f>
        <v>0</v>
      </c>
      <c r="P101" s="267" t="s">
        <v>411</v>
      </c>
      <c r="Q101" s="122">
        <f>permanentinterestrate</f>
        <v>4.2500000000000003E-2</v>
      </c>
    </row>
    <row r="102" spans="2:18">
      <c r="B102" s="108" t="s">
        <v>140</v>
      </c>
      <c r="C102" s="108"/>
      <c r="D102" s="112">
        <f>'res, affordable'!E54</f>
        <v>0</v>
      </c>
      <c r="E102" s="112">
        <f>'res, affordable'!F54</f>
        <v>0</v>
      </c>
      <c r="F102" s="112">
        <f>'res, affordable'!G54</f>
        <v>0</v>
      </c>
      <c r="G102" s="112">
        <f>'res, affordable'!H54</f>
        <v>0</v>
      </c>
      <c r="H102" s="112">
        <f>'res, affordable'!I54</f>
        <v>-9951463.9195229001</v>
      </c>
      <c r="I102" s="112">
        <f>'res, affordable'!J54</f>
        <v>-10150493.197913358</v>
      </c>
      <c r="J102" s="112">
        <f>'res, affordable'!K54</f>
        <v>0</v>
      </c>
      <c r="K102" s="112">
        <f>'res, affordable'!L54</f>
        <v>0</v>
      </c>
      <c r="L102" s="112">
        <f>'res, affordable'!M54</f>
        <v>0</v>
      </c>
      <c r="M102" s="112">
        <f>'res, affordable'!N54</f>
        <v>0</v>
      </c>
      <c r="N102" s="112">
        <f>'res, affordable'!O54</f>
        <v>20507657.314752247</v>
      </c>
      <c r="P102" s="267" t="s">
        <v>417</v>
      </c>
      <c r="Q102" s="268">
        <f>amortizationschedule</f>
        <v>30</v>
      </c>
    </row>
    <row r="103" spans="2:18">
      <c r="B103" s="108" t="s">
        <v>2</v>
      </c>
      <c r="C103" s="108"/>
      <c r="D103" s="112">
        <f>office!E55</f>
        <v>0</v>
      </c>
      <c r="E103" s="112">
        <f>office!F55</f>
        <v>0</v>
      </c>
      <c r="F103" s="112">
        <f>office!G55</f>
        <v>0</v>
      </c>
      <c r="G103" s="112">
        <f>office!H55</f>
        <v>0</v>
      </c>
      <c r="H103" s="112">
        <f>office!I55</f>
        <v>-3815975.9332547998</v>
      </c>
      <c r="I103" s="112">
        <f>office!J55</f>
        <v>-3892295.4519198956</v>
      </c>
      <c r="J103" s="112">
        <f>office!K55</f>
        <v>0</v>
      </c>
      <c r="K103" s="112">
        <f>office!L55</f>
        <v>0</v>
      </c>
      <c r="L103" s="112">
        <f>office!M55</f>
        <v>0</v>
      </c>
      <c r="M103" s="112">
        <f>office!N55</f>
        <v>0</v>
      </c>
      <c r="N103" s="112">
        <f>office!O55</f>
        <v>12957127.600138677</v>
      </c>
      <c r="P103" s="267" t="s">
        <v>446</v>
      </c>
      <c r="Q103" s="112">
        <f>'p2'!E66*12</f>
        <v>12043713.121083006</v>
      </c>
    </row>
    <row r="104" spans="2:18">
      <c r="B104" s="197" t="s">
        <v>141</v>
      </c>
      <c r="C104" s="197"/>
      <c r="D104" s="112">
        <f>retail!E55</f>
        <v>0</v>
      </c>
      <c r="E104" s="112">
        <f>retail!F55</f>
        <v>0</v>
      </c>
      <c r="F104" s="112">
        <f>retail!G55</f>
        <v>0</v>
      </c>
      <c r="G104" s="112">
        <f>retail!H55</f>
        <v>0</v>
      </c>
      <c r="H104" s="112">
        <f>retail!I55</f>
        <v>-9865539.7714420613</v>
      </c>
      <c r="I104" s="112">
        <f>retail!J55</f>
        <v>-10062850.566870904</v>
      </c>
      <c r="J104" s="112">
        <f>retail!K55</f>
        <v>0</v>
      </c>
      <c r="K104" s="112">
        <f>retail!L55</f>
        <v>0</v>
      </c>
      <c r="L104" s="112">
        <f>retail!M55</f>
        <v>0</v>
      </c>
      <c r="M104" s="112">
        <f>retail!N55</f>
        <v>0</v>
      </c>
      <c r="N104" s="112">
        <f>retail!O55</f>
        <v>33887908.182887182</v>
      </c>
      <c r="P104" s="267" t="s">
        <v>412</v>
      </c>
      <c r="Q104" s="117">
        <f>Q99*R104</f>
        <v>4080347.1248811167</v>
      </c>
      <c r="R104" s="858">
        <f>permanentservicingfees</f>
        <v>0.02</v>
      </c>
    </row>
    <row r="105" spans="2:18">
      <c r="B105" s="108" t="s">
        <v>18</v>
      </c>
      <c r="C105" s="108"/>
      <c r="D105" s="112">
        <f>hotel!E56</f>
        <v>0</v>
      </c>
      <c r="E105" s="112">
        <f>hotel!F56</f>
        <v>0</v>
      </c>
      <c r="F105" s="112">
        <f>hotel!G56</f>
        <v>0</v>
      </c>
      <c r="G105" s="112">
        <f>hotel!H56</f>
        <v>0</v>
      </c>
      <c r="H105" s="112">
        <f>hotel!I56</f>
        <v>-32185833.447503395</v>
      </c>
      <c r="I105" s="112">
        <f>hotel!J56</f>
        <v>-32829550.116453461</v>
      </c>
      <c r="J105" s="112">
        <f>hotel!K56</f>
        <v>0</v>
      </c>
      <c r="K105" s="112">
        <f>hotel!L56</f>
        <v>0</v>
      </c>
      <c r="L105" s="112">
        <f>hotel!M56</f>
        <v>0</v>
      </c>
      <c r="M105" s="112">
        <f>hotel!N56</f>
        <v>0</v>
      </c>
      <c r="N105" s="112">
        <f>hotel!O56</f>
        <v>138708662.58651593</v>
      </c>
      <c r="P105" s="267" t="s">
        <v>418</v>
      </c>
      <c r="Q105" s="117">
        <f>SUM(D79:N79)</f>
        <v>150979669.29719293</v>
      </c>
    </row>
    <row r="106" spans="2:18">
      <c r="B106" s="108" t="s">
        <v>19</v>
      </c>
      <c r="C106" s="108"/>
      <c r="D106" s="112">
        <f>parking!E52</f>
        <v>0</v>
      </c>
      <c r="E106" s="112">
        <f>parking!F52</f>
        <v>0</v>
      </c>
      <c r="F106" s="112">
        <f>parking!G52</f>
        <v>0</v>
      </c>
      <c r="G106" s="112">
        <f>parking!H52</f>
        <v>0</v>
      </c>
      <c r="H106" s="112">
        <f>parking!I52</f>
        <v>-5035888.7131238747</v>
      </c>
      <c r="I106" s="112">
        <f>parking!J52</f>
        <v>-5136606.4873863524</v>
      </c>
      <c r="J106" s="112">
        <f>parking!K52</f>
        <v>0</v>
      </c>
      <c r="K106" s="112">
        <f>parking!L52</f>
        <v>0</v>
      </c>
      <c r="L106" s="112">
        <f>parking!M52</f>
        <v>0</v>
      </c>
      <c r="M106" s="112">
        <f>parking!N52</f>
        <v>0</v>
      </c>
      <c r="N106" s="112">
        <f>parking!O52</f>
        <v>4721120.8429943668</v>
      </c>
    </row>
    <row r="107" spans="2:18">
      <c r="B107" s="108" t="s">
        <v>283</v>
      </c>
      <c r="C107" s="108"/>
      <c r="D107" s="113">
        <f>'public bldgs'!E43</f>
        <v>0</v>
      </c>
      <c r="E107" s="113">
        <f>'public bldgs'!F43</f>
        <v>0</v>
      </c>
      <c r="F107" s="113">
        <f>'public bldgs'!G43</f>
        <v>0</v>
      </c>
      <c r="G107" s="113">
        <f>'public bldgs'!H43</f>
        <v>0</v>
      </c>
      <c r="H107" s="113">
        <f>'public bldgs'!I43</f>
        <v>0</v>
      </c>
      <c r="I107" s="113">
        <f>'public bldgs'!J43</f>
        <v>0</v>
      </c>
      <c r="J107" s="113">
        <f>'public bldgs'!K43</f>
        <v>0</v>
      </c>
      <c r="K107" s="113">
        <f>'public bldgs'!L43</f>
        <v>0</v>
      </c>
      <c r="L107" s="113">
        <f>'public bldgs'!M43</f>
        <v>0</v>
      </c>
      <c r="M107" s="113">
        <f>'public bldgs'!N43</f>
        <v>0</v>
      </c>
      <c r="N107" s="113">
        <f>'public bldgs'!O43</f>
        <v>0</v>
      </c>
      <c r="O107" s="112"/>
    </row>
    <row r="108" spans="2:18">
      <c r="B108" s="220" t="s">
        <v>325</v>
      </c>
      <c r="C108" s="108"/>
      <c r="D108" s="112">
        <f t="shared" ref="D108:N108" si="32">SUM(D100:D107)</f>
        <v>0</v>
      </c>
      <c r="E108" s="112">
        <f t="shared" si="32"/>
        <v>0</v>
      </c>
      <c r="F108" s="112">
        <f t="shared" si="32"/>
        <v>0</v>
      </c>
      <c r="G108" s="112">
        <f t="shared" si="32"/>
        <v>0</v>
      </c>
      <c r="H108" s="112">
        <f t="shared" si="32"/>
        <v>-137775836.20121911</v>
      </c>
      <c r="I108" s="112">
        <f t="shared" si="32"/>
        <v>-140531352.9252435</v>
      </c>
      <c r="J108" s="112">
        <f t="shared" si="32"/>
        <v>0</v>
      </c>
      <c r="K108" s="112">
        <f t="shared" si="32"/>
        <v>0</v>
      </c>
      <c r="L108" s="112">
        <f t="shared" si="32"/>
        <v>0</v>
      </c>
      <c r="M108" s="112">
        <f t="shared" si="32"/>
        <v>0</v>
      </c>
      <c r="N108" s="112">
        <f t="shared" si="32"/>
        <v>339813279.10478145</v>
      </c>
    </row>
    <row r="109" spans="2:18">
      <c r="B109" s="108"/>
      <c r="C109" s="108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</row>
    <row r="110" spans="2:18">
      <c r="B110" s="107" t="s">
        <v>300</v>
      </c>
      <c r="D110" s="112">
        <f>-IF(OR(D$2=Phase2begin,D$2=Phase2end,AND(D$2&gt;Phase2begin,D$2&lt;Phase2end)),infstrc!$L$25/constructiontimephase2,0)</f>
        <v>0</v>
      </c>
      <c r="E110" s="112">
        <f>-IF(OR(E$2=Phase2begin,E$2=Phase2end,AND(E$2&gt;Phase2begin,E$2&lt;Phase2end)),infstrc!$L$25/constructiontimephase2,0)</f>
        <v>0</v>
      </c>
      <c r="F110" s="112">
        <f>-IF(OR(F$2=Phase2begin,F$2=Phase2end,AND(F$2&gt;Phase2begin,F$2&lt;Phase2end)),infstrc!$L$25/constructiontimephase2,0)</f>
        <v>0</v>
      </c>
      <c r="G110" s="112">
        <f>-IF(OR(G$2=Phase2begin,G$2=Phase2end,AND(G$2&gt;Phase2begin,G$2&lt;Phase2end)),infstrc!$L$25/constructiontimephase2,0)</f>
        <v>0</v>
      </c>
      <c r="H110" s="112">
        <f>-IF(OR(H$2=Phase2begin,H$2=Phase2end,AND(H$2&gt;Phase2begin,H$2&lt;Phase2end)),infstrc!$L$25/constructiontimephase2,0)</f>
        <v>-912637.68</v>
      </c>
      <c r="I110" s="112">
        <f>-IF(OR(I$2=Phase2begin,I$2=Phase2end,AND(I$2&gt;Phase2begin,I$2&lt;Phase2end)),infstrc!$L$25/constructiontimephase2,0)</f>
        <v>-912637.68</v>
      </c>
      <c r="J110" s="112">
        <f>-IF(OR(J$2=Phase2begin,J$2=Phase2end,AND(J$2&gt;Phase2begin,J$2&lt;Phase2end)),infstrc!$L$25/constructiontimephase2,0)</f>
        <v>0</v>
      </c>
      <c r="K110" s="112">
        <f>-IF(OR(K$2=Phase2begin,K$2=Phase2end,AND(K$2&gt;Phase2begin,K$2&lt;Phase2end)),infstrc!$L$25/constructiontimephase2,0)</f>
        <v>0</v>
      </c>
      <c r="L110" s="112">
        <f>-IF(OR(L$2=Phase2begin,L$2=Phase2end,AND(L$2&gt;Phase2begin,L$2&lt;Phase2end)),infstrc!$L$25/constructiontimephase2,0)</f>
        <v>0</v>
      </c>
      <c r="M110" s="112">
        <f>-IF(OR(M$2=Phase2begin,M$2=Phase2end,AND(M$2&gt;Phase2begin,M$2&lt;Phase2end)),infstrc!$L$25/constructiontimephase2,0)</f>
        <v>0</v>
      </c>
      <c r="N110" s="112">
        <f>-IF(OR(N$2=Phase2begin,N$2=Phase2end,AND(N$2&gt;Phase2begin,N$2&lt;Phase2end)),infstrc!$L$25/constructiontimephase2,0)</f>
        <v>0</v>
      </c>
    </row>
    <row r="111" spans="2:18">
      <c r="B111" s="107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</row>
    <row r="112" spans="2:18">
      <c r="B112" s="107" t="s">
        <v>698</v>
      </c>
      <c r="D112" s="112">
        <f t="shared" ref="D112:N112" si="33">-IF(D$2=Phase2begin,phase2landcontribution,0)</f>
        <v>0</v>
      </c>
      <c r="E112" s="112">
        <f t="shared" si="33"/>
        <v>0</v>
      </c>
      <c r="F112" s="112">
        <f t="shared" si="33"/>
        <v>0</v>
      </c>
      <c r="G112" s="112">
        <f t="shared" si="33"/>
        <v>0</v>
      </c>
      <c r="H112" s="112">
        <f t="shared" si="33"/>
        <v>-8216204.5472456096</v>
      </c>
      <c r="I112" s="112">
        <f t="shared" si="33"/>
        <v>0</v>
      </c>
      <c r="J112" s="112">
        <f t="shared" si="33"/>
        <v>0</v>
      </c>
      <c r="K112" s="112">
        <f t="shared" si="33"/>
        <v>0</v>
      </c>
      <c r="L112" s="112">
        <f t="shared" si="33"/>
        <v>0</v>
      </c>
      <c r="M112" s="112">
        <f t="shared" si="33"/>
        <v>0</v>
      </c>
      <c r="N112" s="112">
        <f t="shared" si="33"/>
        <v>0</v>
      </c>
    </row>
    <row r="113" spans="2:14">
      <c r="B113" s="107" t="s">
        <v>695</v>
      </c>
      <c r="D113" s="112">
        <f t="shared" ref="D113:N113" si="34">IF(D$2=Phase2begin,phase2landcontribution,0)</f>
        <v>0</v>
      </c>
      <c r="E113" s="112">
        <f t="shared" si="34"/>
        <v>0</v>
      </c>
      <c r="F113" s="112">
        <f t="shared" si="34"/>
        <v>0</v>
      </c>
      <c r="G113" s="112">
        <f t="shared" si="34"/>
        <v>0</v>
      </c>
      <c r="H113" s="112">
        <f t="shared" si="34"/>
        <v>8216204.5472456096</v>
      </c>
      <c r="I113" s="112">
        <f t="shared" si="34"/>
        <v>0</v>
      </c>
      <c r="J113" s="112">
        <f t="shared" si="34"/>
        <v>0</v>
      </c>
      <c r="K113" s="112">
        <f t="shared" si="34"/>
        <v>0</v>
      </c>
      <c r="L113" s="112">
        <f t="shared" si="34"/>
        <v>0</v>
      </c>
      <c r="M113" s="112">
        <f t="shared" si="34"/>
        <v>0</v>
      </c>
      <c r="N113" s="112">
        <f t="shared" si="34"/>
        <v>0</v>
      </c>
    </row>
    <row r="114" spans="2:14">
      <c r="B114" s="107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</row>
    <row r="115" spans="2:14">
      <c r="B115" s="107" t="s">
        <v>169</v>
      </c>
      <c r="C115" s="118">
        <f>IRR(D115:N115)</f>
        <v>0.20415656112833336</v>
      </c>
      <c r="D115" s="117">
        <f t="shared" ref="D115:M115" si="35">SUM(D86,D97,D108,D110:D113)</f>
        <v>0</v>
      </c>
      <c r="E115" s="117">
        <f t="shared" si="35"/>
        <v>0</v>
      </c>
      <c r="F115" s="117">
        <f t="shared" si="35"/>
        <v>0</v>
      </c>
      <c r="G115" s="117">
        <f t="shared" si="35"/>
        <v>0</v>
      </c>
      <c r="H115" s="117">
        <f t="shared" si="35"/>
        <v>-138688473.88121912</v>
      </c>
      <c r="I115" s="117">
        <f t="shared" si="35"/>
        <v>-141443990.6052435</v>
      </c>
      <c r="J115" s="117">
        <f t="shared" si="35"/>
        <v>88531585.612759337</v>
      </c>
      <c r="K115" s="117">
        <f t="shared" si="35"/>
        <v>97921164.560437888</v>
      </c>
      <c r="L115" s="117">
        <f t="shared" si="35"/>
        <v>22578577.470497422</v>
      </c>
      <c r="M115" s="117">
        <f t="shared" si="35"/>
        <v>23035152.501261864</v>
      </c>
      <c r="N115" s="117">
        <f t="shared" ref="N115" si="36">SUM(N86,N97,N108,N110:N113)</f>
        <v>363314138.13742304</v>
      </c>
    </row>
    <row r="116" spans="2:14">
      <c r="B116" s="107"/>
    </row>
    <row r="117" spans="2:14">
      <c r="B117" s="107" t="s">
        <v>450</v>
      </c>
    </row>
    <row r="119" spans="2:14">
      <c r="B119" s="106" t="s">
        <v>426</v>
      </c>
      <c r="D119" s="117">
        <f t="shared" ref="D119:N119" si="37">IF(D115&lt;0,D108+D110,0)</f>
        <v>0</v>
      </c>
      <c r="E119" s="117">
        <f t="shared" si="37"/>
        <v>0</v>
      </c>
      <c r="F119" s="117">
        <f t="shared" si="37"/>
        <v>0</v>
      </c>
      <c r="G119" s="117">
        <f t="shared" si="37"/>
        <v>0</v>
      </c>
      <c r="H119" s="117">
        <f t="shared" si="37"/>
        <v>-138688473.88121912</v>
      </c>
      <c r="I119" s="117">
        <f t="shared" si="37"/>
        <v>-141443990.6052435</v>
      </c>
      <c r="J119" s="117">
        <f t="shared" si="37"/>
        <v>0</v>
      </c>
      <c r="K119" s="117">
        <f t="shared" si="37"/>
        <v>0</v>
      </c>
      <c r="L119" s="117">
        <f t="shared" si="37"/>
        <v>0</v>
      </c>
      <c r="M119" s="117">
        <f t="shared" si="37"/>
        <v>0</v>
      </c>
      <c r="N119" s="117">
        <f t="shared" si="37"/>
        <v>0</v>
      </c>
    </row>
    <row r="120" spans="2:14"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</row>
    <row r="121" spans="2:14">
      <c r="B121" s="120" t="s">
        <v>171</v>
      </c>
      <c r="C121" s="114"/>
    </row>
    <row r="122" spans="2:14" ht="9" customHeight="1">
      <c r="B122" s="114" t="s">
        <v>409</v>
      </c>
      <c r="D122" s="112">
        <f t="shared" ref="D122:N122" si="38">-IF(D$2=Phase2begin,$Q92,0)</f>
        <v>0</v>
      </c>
      <c r="E122" s="112">
        <f t="shared" si="38"/>
        <v>0</v>
      </c>
      <c r="F122" s="112">
        <f t="shared" si="38"/>
        <v>0</v>
      </c>
      <c r="G122" s="112">
        <f t="shared" si="38"/>
        <v>0</v>
      </c>
      <c r="H122" s="112">
        <f t="shared" si="38"/>
        <v>-104132376.54147188</v>
      </c>
      <c r="I122" s="112">
        <f t="shared" si="38"/>
        <v>0</v>
      </c>
      <c r="J122" s="112">
        <f t="shared" si="38"/>
        <v>0</v>
      </c>
      <c r="K122" s="112">
        <f t="shared" si="38"/>
        <v>0</v>
      </c>
      <c r="L122" s="112">
        <f t="shared" si="38"/>
        <v>0</v>
      </c>
      <c r="M122" s="112">
        <f t="shared" si="38"/>
        <v>0</v>
      </c>
      <c r="N122" s="112">
        <f t="shared" si="38"/>
        <v>0</v>
      </c>
    </row>
    <row r="123" spans="2:14">
      <c r="B123" s="114" t="s">
        <v>704</v>
      </c>
      <c r="D123" s="112">
        <f t="shared" ref="D123:N123" si="39">IF(D$2=Phase2begin,$Q90,0)</f>
        <v>0</v>
      </c>
      <c r="E123" s="112">
        <f t="shared" si="39"/>
        <v>0</v>
      </c>
      <c r="F123" s="112">
        <f t="shared" si="39"/>
        <v>0</v>
      </c>
      <c r="G123" s="112">
        <f t="shared" si="39"/>
        <v>0</v>
      </c>
      <c r="H123" s="112">
        <f t="shared" si="39"/>
        <v>0</v>
      </c>
      <c r="I123" s="112">
        <f t="shared" si="39"/>
        <v>0</v>
      </c>
      <c r="J123" s="112">
        <f t="shared" si="39"/>
        <v>0</v>
      </c>
      <c r="K123" s="112">
        <f t="shared" si="39"/>
        <v>0</v>
      </c>
      <c r="L123" s="112">
        <f t="shared" si="39"/>
        <v>0</v>
      </c>
      <c r="M123" s="112">
        <f t="shared" si="39"/>
        <v>0</v>
      </c>
      <c r="N123" s="112">
        <f t="shared" si="39"/>
        <v>0</v>
      </c>
    </row>
    <row r="124" spans="2:14">
      <c r="B124" s="114" t="s">
        <v>670</v>
      </c>
      <c r="D124" s="112">
        <f t="shared" ref="D124:N124" si="40">-IF(D$2=Phase2begin,$Q87,0)</f>
        <v>0</v>
      </c>
      <c r="E124" s="112">
        <f t="shared" si="40"/>
        <v>0</v>
      </c>
      <c r="F124" s="112">
        <f t="shared" si="40"/>
        <v>0</v>
      </c>
      <c r="G124" s="112">
        <f t="shared" si="40"/>
        <v>0</v>
      </c>
      <c r="H124" s="112">
        <f t="shared" si="40"/>
        <v>-219272.32477436261</v>
      </c>
      <c r="I124" s="112">
        <f t="shared" si="40"/>
        <v>0</v>
      </c>
      <c r="J124" s="112">
        <f t="shared" si="40"/>
        <v>0</v>
      </c>
      <c r="K124" s="112">
        <f t="shared" si="40"/>
        <v>0</v>
      </c>
      <c r="L124" s="112">
        <f t="shared" si="40"/>
        <v>0</v>
      </c>
      <c r="M124" s="112">
        <f t="shared" si="40"/>
        <v>0</v>
      </c>
      <c r="N124" s="112">
        <f t="shared" si="40"/>
        <v>0</v>
      </c>
    </row>
    <row r="125" spans="2:14">
      <c r="B125" s="114" t="s">
        <v>671</v>
      </c>
      <c r="D125" s="112">
        <f t="shared" ref="D125:N125" si="41">-IF(D$2=Phase2begin,$Q88,0)</f>
        <v>0</v>
      </c>
      <c r="E125" s="112">
        <f t="shared" si="41"/>
        <v>0</v>
      </c>
      <c r="F125" s="112">
        <f t="shared" si="41"/>
        <v>0</v>
      </c>
      <c r="G125" s="112">
        <f t="shared" si="41"/>
        <v>0</v>
      </c>
      <c r="H125" s="112">
        <f t="shared" si="41"/>
        <v>-1315633.9486461754</v>
      </c>
      <c r="I125" s="112">
        <f t="shared" si="41"/>
        <v>0</v>
      </c>
      <c r="J125" s="112">
        <f t="shared" si="41"/>
        <v>0</v>
      </c>
      <c r="K125" s="112">
        <f t="shared" si="41"/>
        <v>0</v>
      </c>
      <c r="L125" s="112">
        <f t="shared" si="41"/>
        <v>0</v>
      </c>
      <c r="M125" s="112">
        <f t="shared" si="41"/>
        <v>0</v>
      </c>
      <c r="N125" s="112">
        <f t="shared" si="41"/>
        <v>0</v>
      </c>
    </row>
    <row r="126" spans="2:14">
      <c r="B126" s="114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</row>
    <row r="127" spans="2:14">
      <c r="B127" s="114" t="s">
        <v>762</v>
      </c>
      <c r="D127" s="112">
        <f>-D119+D122-D123</f>
        <v>0</v>
      </c>
      <c r="E127" s="112">
        <f t="shared" ref="E127:N127" si="42">-E119+E122-E123</f>
        <v>0</v>
      </c>
      <c r="F127" s="112">
        <f t="shared" si="42"/>
        <v>0</v>
      </c>
      <c r="G127" s="112">
        <f t="shared" si="42"/>
        <v>0</v>
      </c>
      <c r="H127" s="112">
        <f t="shared" si="42"/>
        <v>34556097.339747235</v>
      </c>
      <c r="I127" s="112">
        <f t="shared" si="42"/>
        <v>141443990.6052435</v>
      </c>
      <c r="J127" s="112">
        <f t="shared" si="42"/>
        <v>0</v>
      </c>
      <c r="K127" s="112">
        <f t="shared" si="42"/>
        <v>0</v>
      </c>
      <c r="L127" s="112">
        <f t="shared" si="42"/>
        <v>0</v>
      </c>
      <c r="M127" s="112">
        <f t="shared" si="42"/>
        <v>0</v>
      </c>
      <c r="N127" s="112">
        <f t="shared" si="42"/>
        <v>0</v>
      </c>
    </row>
    <row r="128" spans="2:14">
      <c r="B128" s="114" t="s">
        <v>763</v>
      </c>
      <c r="D128" s="112">
        <f>$Q86-SUM($C130:C130)</f>
        <v>21927232.477436259</v>
      </c>
      <c r="E128" s="112">
        <f>$Q86-SUM($C130:D130)</f>
        <v>21927232.477436259</v>
      </c>
      <c r="F128" s="112">
        <f>$Q86-SUM($C130:E130)</f>
        <v>21927232.477436259</v>
      </c>
      <c r="G128" s="112">
        <f>$Q86-SUM($C130:F130)</f>
        <v>21927232.477436259</v>
      </c>
      <c r="H128" s="112">
        <f>$Q86-SUM($C130:G130)</f>
        <v>21927232.477436259</v>
      </c>
      <c r="I128" s="112">
        <f>$Q86-SUM($C130:H130)</f>
        <v>0</v>
      </c>
      <c r="J128" s="112">
        <f>$Q86-SUM($C130:I130)</f>
        <v>0</v>
      </c>
      <c r="K128" s="112">
        <f>$Q86-SUM($C130:J130)</f>
        <v>0</v>
      </c>
      <c r="L128" s="112">
        <f>$Q86-SUM($C130:K130)</f>
        <v>0</v>
      </c>
      <c r="M128" s="112">
        <f>$Q86-SUM($C130:L130)</f>
        <v>0</v>
      </c>
      <c r="N128" s="112">
        <f>$Q86-SUM($C130:M130)</f>
        <v>0</v>
      </c>
    </row>
    <row r="129" spans="2:19">
      <c r="B129" s="114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334"/>
    </row>
    <row r="130" spans="2:19">
      <c r="B130" s="114" t="s">
        <v>673</v>
      </c>
      <c r="D130" s="112">
        <f t="shared" ref="D130:N130" si="43">IF(D$2&gt;=Phase1begin,MIN(D127,D128),0)</f>
        <v>0</v>
      </c>
      <c r="E130" s="112">
        <f t="shared" si="43"/>
        <v>0</v>
      </c>
      <c r="F130" s="112">
        <f t="shared" si="43"/>
        <v>0</v>
      </c>
      <c r="G130" s="112">
        <f t="shared" si="43"/>
        <v>0</v>
      </c>
      <c r="H130" s="112">
        <f t="shared" si="43"/>
        <v>21927232.477436259</v>
      </c>
      <c r="I130" s="112">
        <f t="shared" si="43"/>
        <v>0</v>
      </c>
      <c r="J130" s="112">
        <f t="shared" si="43"/>
        <v>0</v>
      </c>
      <c r="K130" s="112">
        <f t="shared" si="43"/>
        <v>0</v>
      </c>
      <c r="L130" s="112">
        <f t="shared" si="43"/>
        <v>0</v>
      </c>
      <c r="M130" s="112">
        <f t="shared" si="43"/>
        <v>0</v>
      </c>
      <c r="N130" s="112">
        <f t="shared" si="43"/>
        <v>0</v>
      </c>
    </row>
    <row r="131" spans="2:19" ht="9" customHeight="1">
      <c r="B131" s="114" t="s">
        <v>667</v>
      </c>
      <c r="D131" s="112">
        <f t="shared" ref="D131:N131" si="44">-IF(AND(C132=0,D132&gt;0),$Q84,0)</f>
        <v>0</v>
      </c>
      <c r="E131" s="112">
        <f t="shared" si="44"/>
        <v>0</v>
      </c>
      <c r="F131" s="112">
        <f t="shared" si="44"/>
        <v>0</v>
      </c>
      <c r="G131" s="112">
        <f t="shared" si="44"/>
        <v>0</v>
      </c>
      <c r="H131" s="112">
        <f t="shared" si="44"/>
        <v>-3081457.1093510892</v>
      </c>
      <c r="I131" s="112">
        <f t="shared" si="44"/>
        <v>0</v>
      </c>
      <c r="J131" s="112">
        <f t="shared" si="44"/>
        <v>0</v>
      </c>
      <c r="K131" s="112">
        <f t="shared" si="44"/>
        <v>0</v>
      </c>
      <c r="L131" s="112">
        <f t="shared" si="44"/>
        <v>0</v>
      </c>
      <c r="M131" s="112">
        <f t="shared" si="44"/>
        <v>0</v>
      </c>
      <c r="N131" s="112">
        <f t="shared" si="44"/>
        <v>0</v>
      </c>
    </row>
    <row r="132" spans="2:19">
      <c r="B132" s="114" t="s">
        <v>425</v>
      </c>
      <c r="D132" s="112">
        <f t="shared" ref="D132:N132" si="45">-(D119-D122+D123+D130)</f>
        <v>0</v>
      </c>
      <c r="E132" s="112">
        <f t="shared" si="45"/>
        <v>0</v>
      </c>
      <c r="F132" s="112">
        <f t="shared" si="45"/>
        <v>0</v>
      </c>
      <c r="G132" s="112">
        <f t="shared" si="45"/>
        <v>0</v>
      </c>
      <c r="H132" s="112">
        <f t="shared" si="45"/>
        <v>12628864.862310976</v>
      </c>
      <c r="I132" s="112">
        <f t="shared" si="45"/>
        <v>141443990.6052435</v>
      </c>
      <c r="J132" s="112">
        <f t="shared" si="45"/>
        <v>0</v>
      </c>
      <c r="K132" s="112">
        <f t="shared" si="45"/>
        <v>0</v>
      </c>
      <c r="L132" s="112">
        <f t="shared" si="45"/>
        <v>0</v>
      </c>
      <c r="M132" s="112">
        <f t="shared" si="45"/>
        <v>0</v>
      </c>
      <c r="N132" s="112">
        <f t="shared" si="45"/>
        <v>0</v>
      </c>
    </row>
    <row r="133" spans="2:19">
      <c r="B133" s="114" t="s">
        <v>420</v>
      </c>
      <c r="C133" s="114"/>
      <c r="D133" s="112">
        <f>-IF(OR(D$2=Phase2begin,D$2=(phase2stabilizationyear-1),AND(D$2&gt;Phase2begin,D$2&lt;(phase2stabilizationyear-1))),SUM($D132:D132)*$Q83,0)</f>
        <v>0</v>
      </c>
      <c r="E133" s="112">
        <f>-IF(OR(E$2=Phase2begin,E$2=(phase2stabilizationyear-1),AND(E$2&gt;Phase2begin,E$2&lt;(phase2stabilizationyear-1))),SUM($D132:E132)*$Q83,0)</f>
        <v>0</v>
      </c>
      <c r="F133" s="112">
        <f>-IF(OR(F$2=Phase2begin,F$2=(phase2stabilizationyear-1),AND(F$2&gt;Phase2begin,F$2&lt;(phase2stabilizationyear-1))),SUM($D132:F132)*$Q83,0)</f>
        <v>0</v>
      </c>
      <c r="G133" s="112">
        <f>-IF(OR(G$2=Phase2begin,G$2=(phase2stabilizationyear-1),AND(G$2&gt;Phase2begin,G$2&lt;(phase2stabilizationyear-1))),SUM($D132:G132)*$Q83,0)</f>
        <v>0</v>
      </c>
      <c r="H133" s="112">
        <f>-IF(OR(H$2=Phase2begin,H$2=(phase2stabilizationyear-1),AND(H$2&gt;Phase2begin,H$2&lt;(phase2stabilizationyear-1))),SUM($D132:H132)*$Q83,0)</f>
        <v>-631443.24311554886</v>
      </c>
      <c r="I133" s="112">
        <f>-IF(OR(I$2=Phase2begin,I$2=(phase2stabilizationyear-1),AND(I$2&gt;Phase2begin,I$2&lt;(phase2stabilizationyear-1))),SUM($D132:I132)*$Q83,0)</f>
        <v>-7703642.773377724</v>
      </c>
      <c r="J133" s="112">
        <f>-IF(OR(J$2=Phase2begin,J$2=(phase2stabilizationyear-1),AND(J$2&gt;Phase2begin,J$2&lt;(phase2stabilizationyear-1))),SUM($D132:J132)*$Q83,0)</f>
        <v>-7703642.773377724</v>
      </c>
      <c r="K133" s="112">
        <f>-IF(OR(K$2=Phase2begin,K$2=(phase2stabilizationyear-1),AND(K$2&gt;Phase2begin,K$2&lt;(phase2stabilizationyear-1))),SUM($D132:K132)*$Q83,0)</f>
        <v>-7703642.773377724</v>
      </c>
      <c r="L133" s="112">
        <f>-IF(OR(L$2=Phase2begin,L$2=(phase2stabilizationyear-1),AND(L$2&gt;Phase2begin,L$2&lt;(phase2stabilizationyear-1))),SUM($D132:L132)*$Q83,0)</f>
        <v>0</v>
      </c>
      <c r="M133" s="112">
        <f>-IF(OR(M$2=Phase2begin,M$2=(phase2stabilizationyear-1),AND(M$2&gt;Phase2begin,M$2&lt;(phase2stabilizationyear-1))),SUM($D132:M132)*$Q83,0)</f>
        <v>0</v>
      </c>
      <c r="N133" s="112">
        <f>-IF(OR(N$2=Phase2begin,N$2=(phase2stabilizationyear-1),AND(N$2&gt;Phase2begin,N$2&lt;(phase2stabilizationyear-1))),SUM($D132:N132)*$Q83,0)</f>
        <v>0</v>
      </c>
      <c r="S133" s="117"/>
    </row>
    <row r="134" spans="2:19">
      <c r="B134" s="114" t="s">
        <v>421</v>
      </c>
      <c r="C134" s="114"/>
      <c r="D134" s="328">
        <f>-IF(D$2=phase2stabilizationyear,SUM($D132:D132),0)</f>
        <v>0</v>
      </c>
      <c r="E134" s="328">
        <f>-IF(E$2=phase2stabilizationyear,SUM($D132:E132),0)</f>
        <v>0</v>
      </c>
      <c r="F134" s="328">
        <f>-IF(F$2=phase2stabilizationyear,SUM($D132:F132),0)</f>
        <v>0</v>
      </c>
      <c r="G134" s="328">
        <f>-IF(G$2=phase2stabilizationyear,SUM($D132:G132),0)</f>
        <v>0</v>
      </c>
      <c r="H134" s="328">
        <f>-IF(H$2=phase2stabilizationyear,SUM($D132:H132),0)</f>
        <v>0</v>
      </c>
      <c r="I134" s="328">
        <f>-IF(I$2=phase2stabilizationyear,SUM($D132:I132),0)</f>
        <v>0</v>
      </c>
      <c r="J134" s="328">
        <f>-IF(J$2=phase2stabilizationyear,SUM($D132:J132),0)</f>
        <v>0</v>
      </c>
      <c r="K134" s="328">
        <f>-IF(K$2=phase2stabilizationyear,SUM($D132:K132),0)</f>
        <v>0</v>
      </c>
      <c r="L134" s="328">
        <f>-IF(L$2=phase2stabilizationyear,SUM($D132:L132),0)</f>
        <v>-154072855.46755448</v>
      </c>
      <c r="M134" s="328">
        <f>-IF(M$2=phase2stabilizationyear,SUM($D132:M132),0)</f>
        <v>0</v>
      </c>
      <c r="N134" s="328">
        <f>-IF(N$2=phase2stabilizationyear,SUM($D132:N132),0)</f>
        <v>0</v>
      </c>
    </row>
    <row r="136" spans="2:19">
      <c r="B136" s="120" t="s">
        <v>172</v>
      </c>
      <c r="C136" s="114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</row>
    <row r="137" spans="2:19">
      <c r="B137" s="114" t="s">
        <v>447</v>
      </c>
      <c r="C137" s="114"/>
      <c r="D137" s="112">
        <f t="shared" ref="D137:N137" si="46">-IF(D$2=phase2stabilizationyear,$Q104,0)</f>
        <v>0</v>
      </c>
      <c r="E137" s="112">
        <f t="shared" si="46"/>
        <v>0</v>
      </c>
      <c r="F137" s="112">
        <f t="shared" si="46"/>
        <v>0</v>
      </c>
      <c r="G137" s="112">
        <f t="shared" si="46"/>
        <v>0</v>
      </c>
      <c r="H137" s="112">
        <f t="shared" si="46"/>
        <v>0</v>
      </c>
      <c r="I137" s="112">
        <f t="shared" si="46"/>
        <v>0</v>
      </c>
      <c r="J137" s="112">
        <f t="shared" si="46"/>
        <v>0</v>
      </c>
      <c r="K137" s="112">
        <f t="shared" si="46"/>
        <v>0</v>
      </c>
      <c r="L137" s="112">
        <f t="shared" si="46"/>
        <v>-4080347.1248811167</v>
      </c>
      <c r="M137" s="112">
        <f t="shared" si="46"/>
        <v>0</v>
      </c>
      <c r="N137" s="112">
        <f t="shared" si="46"/>
        <v>0</v>
      </c>
    </row>
    <row r="138" spans="2:19">
      <c r="B138" s="114" t="s">
        <v>425</v>
      </c>
      <c r="C138" s="114"/>
      <c r="D138" s="112">
        <f t="shared" ref="D138:N138" si="47">IF(D$2=phase2stabilizationyear,$Q99,0)</f>
        <v>0</v>
      </c>
      <c r="E138" s="112">
        <f t="shared" si="47"/>
        <v>0</v>
      </c>
      <c r="F138" s="112">
        <f t="shared" si="47"/>
        <v>0</v>
      </c>
      <c r="G138" s="112">
        <f t="shared" si="47"/>
        <v>0</v>
      </c>
      <c r="H138" s="112">
        <f t="shared" si="47"/>
        <v>0</v>
      </c>
      <c r="I138" s="112">
        <f t="shared" si="47"/>
        <v>0</v>
      </c>
      <c r="J138" s="112">
        <f t="shared" si="47"/>
        <v>0</v>
      </c>
      <c r="K138" s="112">
        <f t="shared" si="47"/>
        <v>0</v>
      </c>
      <c r="L138" s="112">
        <f t="shared" si="47"/>
        <v>204017356.24405584</v>
      </c>
      <c r="M138" s="112">
        <f t="shared" si="47"/>
        <v>0</v>
      </c>
      <c r="N138" s="112">
        <f t="shared" si="47"/>
        <v>0</v>
      </c>
    </row>
    <row r="139" spans="2:19">
      <c r="B139" s="114" t="s">
        <v>445</v>
      </c>
      <c r="C139" s="114"/>
      <c r="D139" s="112">
        <f t="shared" ref="D139:N139" si="48">-IF(D$2&gt;=phase2stabilizationyear,$Q103,0)</f>
        <v>0</v>
      </c>
      <c r="E139" s="112">
        <f t="shared" si="48"/>
        <v>0</v>
      </c>
      <c r="F139" s="112">
        <f t="shared" si="48"/>
        <v>0</v>
      </c>
      <c r="G139" s="112">
        <f t="shared" si="48"/>
        <v>0</v>
      </c>
      <c r="H139" s="112">
        <f t="shared" si="48"/>
        <v>0</v>
      </c>
      <c r="I139" s="112">
        <f t="shared" si="48"/>
        <v>0</v>
      </c>
      <c r="J139" s="112">
        <f t="shared" si="48"/>
        <v>0</v>
      </c>
      <c r="K139" s="112">
        <f t="shared" si="48"/>
        <v>0</v>
      </c>
      <c r="L139" s="112">
        <f t="shared" si="48"/>
        <v>-12043713.121083006</v>
      </c>
      <c r="M139" s="112">
        <f t="shared" si="48"/>
        <v>-12043713.121083006</v>
      </c>
      <c r="N139" s="112">
        <f t="shared" si="48"/>
        <v>-12043713.121083006</v>
      </c>
    </row>
    <row r="140" spans="2:19">
      <c r="B140" s="114" t="s">
        <v>421</v>
      </c>
      <c r="C140" s="114"/>
      <c r="D140" s="112">
        <f>-IF(D$2=dispositionyear,'p1'!$E$16,0)</f>
        <v>0</v>
      </c>
      <c r="E140" s="112">
        <f>-IF(E$2=dispositionyear,'p1'!$E$16,0)</f>
        <v>0</v>
      </c>
      <c r="F140" s="112">
        <f>-IF(F$2=dispositionyear,'p1'!$E$16,0)</f>
        <v>0</v>
      </c>
      <c r="G140" s="112">
        <f>-IF(G$2=dispositionyear,'p1'!$E$16,0)</f>
        <v>0</v>
      </c>
      <c r="H140" s="112">
        <f>-IF(H$2=dispositionyear,'p1'!$E$16,0)</f>
        <v>0</v>
      </c>
      <c r="I140" s="112">
        <f>-IF(I$2=dispositionyear,'p1'!$E$16,0)</f>
        <v>0</v>
      </c>
      <c r="J140" s="112">
        <f>-IF(J$2=dispositionyear,'p1'!$E$16,0)</f>
        <v>0</v>
      </c>
      <c r="K140" s="112">
        <f>-IF(K$2=dispositionyear,'p1'!$E$16,0)</f>
        <v>0</v>
      </c>
      <c r="L140" s="112">
        <f>-IF(L$2=dispositionyear,'p1'!$E$16,0)</f>
        <v>0</v>
      </c>
      <c r="M140" s="112">
        <f>-IF(M$2=dispositionyear,'p1'!$E$16,0)</f>
        <v>0</v>
      </c>
      <c r="N140" s="112">
        <f>-IF(N$2=dispositionyear,'p2'!$E$16,0)</f>
        <v>-196989377.68585208</v>
      </c>
    </row>
    <row r="141" spans="2:19">
      <c r="C141" s="190"/>
    </row>
    <row r="142" spans="2:19">
      <c r="B142" s="107" t="s">
        <v>173</v>
      </c>
      <c r="C142" s="118">
        <f>IRR(D142:N142)</f>
        <v>0.3867916820276005</v>
      </c>
      <c r="D142" s="117">
        <f>SUM(D115,D123:D125,D130:D140)</f>
        <v>0</v>
      </c>
      <c r="E142" s="117">
        <f t="shared" ref="E142:N142" si="49">SUM(E115,E123:E125,E130:E140)</f>
        <v>0</v>
      </c>
      <c r="F142" s="117">
        <f t="shared" si="49"/>
        <v>0</v>
      </c>
      <c r="G142" s="117">
        <f t="shared" si="49"/>
        <v>0</v>
      </c>
      <c r="H142" s="117">
        <f t="shared" si="49"/>
        <v>-109380183.16735905</v>
      </c>
      <c r="I142" s="117">
        <f t="shared" si="49"/>
        <v>-7703642.773377724</v>
      </c>
      <c r="J142" s="117">
        <f t="shared" si="49"/>
        <v>80827942.839381605</v>
      </c>
      <c r="K142" s="117">
        <f t="shared" si="49"/>
        <v>90217521.787060171</v>
      </c>
      <c r="L142" s="117">
        <f t="shared" si="49"/>
        <v>56399018.001034662</v>
      </c>
      <c r="M142" s="117">
        <f t="shared" si="49"/>
        <v>10991439.380178858</v>
      </c>
      <c r="N142" s="117">
        <f t="shared" si="49"/>
        <v>154281047.33048794</v>
      </c>
    </row>
    <row r="143" spans="2:19">
      <c r="B143" s="107"/>
      <c r="C143" s="118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</row>
    <row r="144" spans="2:19">
      <c r="B144" s="106" t="s">
        <v>691</v>
      </c>
      <c r="C144" s="363">
        <f>(ABS(SUMIF(D142:N142,"&gt;0",D142:N142))/C145)/COUNTIF(D142:N142,"&lt;&gt;0")</f>
        <v>0.47916459630863245</v>
      </c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</row>
    <row r="145" spans="2:18">
      <c r="B145" s="106" t="s">
        <v>690</v>
      </c>
      <c r="C145" s="112">
        <f>ABS(SUMIF(D142:N142,"&lt;0",D142:N142))</f>
        <v>117083825.94073677</v>
      </c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</row>
    <row r="146" spans="2:18">
      <c r="B146" s="106" t="s">
        <v>693</v>
      </c>
      <c r="C146" s="112">
        <f>SUMIF(D142:N142,"&gt;0",D142:N142)</f>
        <v>392716969.33814323</v>
      </c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</row>
    <row r="147" spans="2:18">
      <c r="B147" s="106" t="s">
        <v>692</v>
      </c>
      <c r="C147" s="195">
        <f>C146/C145</f>
        <v>3.354152174160427</v>
      </c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</row>
    <row r="149" spans="2:18">
      <c r="B149" s="219" t="s">
        <v>321</v>
      </c>
      <c r="C149" s="219" t="s">
        <v>175</v>
      </c>
      <c r="D149" s="219">
        <v>0</v>
      </c>
      <c r="E149" s="219">
        <v>1</v>
      </c>
      <c r="F149" s="219">
        <v>2</v>
      </c>
      <c r="G149" s="219">
        <v>3</v>
      </c>
      <c r="H149" s="219">
        <v>4</v>
      </c>
      <c r="I149" s="219">
        <v>5</v>
      </c>
      <c r="J149" s="219">
        <v>6</v>
      </c>
      <c r="K149" s="219">
        <v>7</v>
      </c>
      <c r="L149" s="219">
        <v>8</v>
      </c>
      <c r="M149" s="219">
        <v>9</v>
      </c>
      <c r="N149" s="219">
        <v>10</v>
      </c>
      <c r="P149" s="870" t="s">
        <v>419</v>
      </c>
      <c r="Q149" s="217"/>
    </row>
    <row r="150" spans="2:18">
      <c r="B150" s="107" t="s">
        <v>270</v>
      </c>
    </row>
    <row r="151" spans="2:18">
      <c r="B151" s="108" t="s">
        <v>164</v>
      </c>
      <c r="C151" s="108"/>
      <c r="D151" s="112">
        <f>'res, market-rate'!E75</f>
        <v>0</v>
      </c>
      <c r="E151" s="112">
        <f>'res, market-rate'!F75</f>
        <v>0</v>
      </c>
      <c r="F151" s="112">
        <f>'res, market-rate'!G75</f>
        <v>0</v>
      </c>
      <c r="G151" s="112">
        <f>'res, market-rate'!H75</f>
        <v>0</v>
      </c>
      <c r="H151" s="112">
        <f>'res, market-rate'!I75</f>
        <v>0</v>
      </c>
      <c r="I151" s="112">
        <f>'res, market-rate'!J75</f>
        <v>0</v>
      </c>
      <c r="J151" s="112">
        <f>'res, market-rate'!K75</f>
        <v>0</v>
      </c>
      <c r="K151" s="112">
        <f>'res, market-rate'!L75</f>
        <v>0</v>
      </c>
      <c r="L151" s="112">
        <f>'res, market-rate'!M75</f>
        <v>1392028.1811556583</v>
      </c>
      <c r="M151" s="112">
        <f>'res, market-rate'!N75</f>
        <v>4786861.0378674157</v>
      </c>
      <c r="N151" s="112">
        <f>'res, market-rate'!O75</f>
        <v>4882598.258624766</v>
      </c>
      <c r="P151" s="292" t="s">
        <v>171</v>
      </c>
    </row>
    <row r="152" spans="2:18">
      <c r="B152" s="108" t="s">
        <v>156</v>
      </c>
      <c r="C152" s="108"/>
      <c r="D152" s="112">
        <f>'res, condo'!E73</f>
        <v>0</v>
      </c>
      <c r="E152" s="112">
        <f>'res, condo'!F73</f>
        <v>0</v>
      </c>
      <c r="F152" s="112">
        <f>'res, condo'!G73</f>
        <v>0</v>
      </c>
      <c r="G152" s="112">
        <f>'res, condo'!H73</f>
        <v>0</v>
      </c>
      <c r="H152" s="112">
        <f>'res, condo'!I73</f>
        <v>0</v>
      </c>
      <c r="I152" s="112">
        <f>'res, condo'!J73</f>
        <v>0</v>
      </c>
      <c r="J152" s="112">
        <f>'res, condo'!K73</f>
        <v>0</v>
      </c>
      <c r="K152" s="112">
        <f>'res, condo'!L73</f>
        <v>0</v>
      </c>
      <c r="L152" s="112">
        <f>'res, condo'!M73</f>
        <v>0</v>
      </c>
      <c r="M152" s="112">
        <f>'res, condo'!N73</f>
        <v>0</v>
      </c>
      <c r="N152" s="112">
        <f>'res, condo'!O73</f>
        <v>0</v>
      </c>
      <c r="P152" s="267" t="s">
        <v>275</v>
      </c>
      <c r="Q152" s="117">
        <f>ABS(SUMIF(D181:N181,"&lt;0",D181:N181)+SUMIF(D183:N183,"&lt;0",D183:N183))</f>
        <v>189833973.9967238</v>
      </c>
    </row>
    <row r="153" spans="2:18">
      <c r="B153" s="108" t="s">
        <v>140</v>
      </c>
      <c r="C153" s="108"/>
      <c r="D153" s="112">
        <f>'res, affordable'!E73</f>
        <v>0</v>
      </c>
      <c r="E153" s="112">
        <f>'res, affordable'!F73</f>
        <v>0</v>
      </c>
      <c r="F153" s="112">
        <f>'res, affordable'!G73</f>
        <v>0</v>
      </c>
      <c r="G153" s="112">
        <f>'res, affordable'!H73</f>
        <v>0</v>
      </c>
      <c r="H153" s="112">
        <f>'res, affordable'!I73</f>
        <v>0</v>
      </c>
      <c r="I153" s="112">
        <f>'res, affordable'!J73</f>
        <v>0</v>
      </c>
      <c r="J153" s="112">
        <f>'res, affordable'!K73</f>
        <v>0</v>
      </c>
      <c r="K153" s="112">
        <f>'res, affordable'!L73</f>
        <v>0</v>
      </c>
      <c r="L153" s="112">
        <f>'res, affordable'!M73</f>
        <v>674621.04114971461</v>
      </c>
      <c r="M153" s="112">
        <f>'res, affordable'!N73</f>
        <v>688113.4619727087</v>
      </c>
      <c r="N153" s="112">
        <f>'res, affordable'!O73</f>
        <v>701875.73121216334</v>
      </c>
      <c r="P153" s="267" t="s">
        <v>415</v>
      </c>
      <c r="Q153" s="110">
        <f>Loantocost</f>
        <v>0.55000000000000004</v>
      </c>
    </row>
    <row r="154" spans="2:18">
      <c r="B154" s="108" t="s">
        <v>2</v>
      </c>
      <c r="C154" s="108"/>
      <c r="D154" s="112">
        <f>office!E72</f>
        <v>0</v>
      </c>
      <c r="E154" s="112">
        <f>office!F72</f>
        <v>0</v>
      </c>
      <c r="F154" s="112">
        <f>office!G72</f>
        <v>0</v>
      </c>
      <c r="G154" s="112">
        <f>office!H72</f>
        <v>0</v>
      </c>
      <c r="H154" s="112">
        <f>office!I72</f>
        <v>0</v>
      </c>
      <c r="I154" s="112">
        <f>office!J72</f>
        <v>0</v>
      </c>
      <c r="J154" s="112">
        <f>office!K72</f>
        <v>0</v>
      </c>
      <c r="K154" s="112">
        <f>office!L72</f>
        <v>0</v>
      </c>
      <c r="L154" s="112">
        <f>office!M72</f>
        <v>293707.33694665786</v>
      </c>
      <c r="M154" s="112">
        <f>office!N72</f>
        <v>6590792.6410830179</v>
      </c>
      <c r="N154" s="112">
        <f>office!O72</f>
        <v>13139643.874450054</v>
      </c>
      <c r="P154" s="267" t="s">
        <v>529</v>
      </c>
      <c r="Q154" s="117">
        <f>Q152*Q153</f>
        <v>104408685.69819809</v>
      </c>
    </row>
    <row r="155" spans="2:18">
      <c r="B155" s="108" t="s">
        <v>141</v>
      </c>
      <c r="C155" s="197"/>
      <c r="D155" s="112">
        <f>retail!E72</f>
        <v>0</v>
      </c>
      <c r="E155" s="112">
        <f>retail!F72</f>
        <v>0</v>
      </c>
      <c r="F155" s="112">
        <f>retail!G72</f>
        <v>0</v>
      </c>
      <c r="G155" s="112">
        <f>retail!H72</f>
        <v>0</v>
      </c>
      <c r="H155" s="112">
        <f>retail!I72</f>
        <v>0</v>
      </c>
      <c r="I155" s="112">
        <f>retail!J72</f>
        <v>0</v>
      </c>
      <c r="J155" s="112">
        <f>retail!K72</f>
        <v>0</v>
      </c>
      <c r="K155" s="112">
        <f>retail!L72</f>
        <v>0</v>
      </c>
      <c r="L155" s="112">
        <f>retail!M72</f>
        <v>108347.63721639456</v>
      </c>
      <c r="M155" s="112">
        <f>retail!N72</f>
        <v>420317.78476864938</v>
      </c>
      <c r="N155" s="112">
        <f>retail!O72</f>
        <v>428724.14046402229</v>
      </c>
      <c r="P155" s="267" t="s">
        <v>410</v>
      </c>
      <c r="Q155" s="296" t="s">
        <v>99</v>
      </c>
    </row>
    <row r="156" spans="2:18">
      <c r="B156" s="108" t="s">
        <v>18</v>
      </c>
      <c r="C156" s="108"/>
      <c r="D156" s="112">
        <f>hotel!E76</f>
        <v>0</v>
      </c>
      <c r="E156" s="112">
        <f>hotel!F76</f>
        <v>0</v>
      </c>
      <c r="F156" s="112">
        <f>hotel!G76</f>
        <v>0</v>
      </c>
      <c r="G156" s="112">
        <f>hotel!H76</f>
        <v>0</v>
      </c>
      <c r="H156" s="112">
        <f>hotel!I76</f>
        <v>0</v>
      </c>
      <c r="I156" s="112">
        <f>hotel!J76</f>
        <v>0</v>
      </c>
      <c r="J156" s="112">
        <f>hotel!K76</f>
        <v>0</v>
      </c>
      <c r="K156" s="112">
        <f>hotel!L76</f>
        <v>0</v>
      </c>
      <c r="L156" s="112">
        <f>hotel!M76</f>
        <v>0</v>
      </c>
      <c r="M156" s="112">
        <f>hotel!N76</f>
        <v>0</v>
      </c>
      <c r="N156" s="112">
        <f>hotel!O76</f>
        <v>0</v>
      </c>
      <c r="P156" s="267" t="s">
        <v>411</v>
      </c>
      <c r="Q156" s="122">
        <f>Constructioninterestrate</f>
        <v>0.05</v>
      </c>
    </row>
    <row r="157" spans="2:18">
      <c r="B157" s="108" t="s">
        <v>19</v>
      </c>
      <c r="C157" s="108"/>
      <c r="D157" s="112">
        <f>parking!E70</f>
        <v>0</v>
      </c>
      <c r="E157" s="112">
        <f>parking!F70</f>
        <v>0</v>
      </c>
      <c r="F157" s="112">
        <f>parking!G70</f>
        <v>0</v>
      </c>
      <c r="G157" s="112">
        <f>parking!H70</f>
        <v>0</v>
      </c>
      <c r="H157" s="112">
        <f>parking!I70</f>
        <v>0</v>
      </c>
      <c r="I157" s="112">
        <f>parking!J70</f>
        <v>0</v>
      </c>
      <c r="J157" s="112">
        <f>parking!K70</f>
        <v>0</v>
      </c>
      <c r="K157" s="112">
        <f>parking!L70</f>
        <v>0</v>
      </c>
      <c r="L157" s="112">
        <f>parking!M70</f>
        <v>522573.34528248431</v>
      </c>
      <c r="M157" s="112">
        <f>parking!N70</f>
        <v>1066049.6243762681</v>
      </c>
      <c r="N157" s="112">
        <f>parking!O70</f>
        <v>1087370.6168637937</v>
      </c>
      <c r="P157" s="267" t="s">
        <v>412</v>
      </c>
      <c r="Q157" s="316">
        <f>Q154*R157</f>
        <v>2088173.7139639619</v>
      </c>
      <c r="R157" s="858">
        <f>Constructionservicingfees</f>
        <v>0.02</v>
      </c>
    </row>
    <row r="158" spans="2:18">
      <c r="B158" s="108" t="s">
        <v>283</v>
      </c>
      <c r="C158" s="108"/>
      <c r="D158" s="113">
        <f>'public bldgs'!E57</f>
        <v>0</v>
      </c>
      <c r="E158" s="113">
        <f>'public bldgs'!F57</f>
        <v>0</v>
      </c>
      <c r="F158" s="113">
        <f>'public bldgs'!G57</f>
        <v>0</v>
      </c>
      <c r="G158" s="113">
        <f>'public bldgs'!H57</f>
        <v>0</v>
      </c>
      <c r="H158" s="113">
        <f>'public bldgs'!I57</f>
        <v>0</v>
      </c>
      <c r="I158" s="113">
        <f>'public bldgs'!J57</f>
        <v>0</v>
      </c>
      <c r="J158" s="113">
        <f>'public bldgs'!K57</f>
        <v>0</v>
      </c>
      <c r="K158" s="113">
        <f>'public bldgs'!L57</f>
        <v>0</v>
      </c>
      <c r="L158" s="113">
        <f>'public bldgs'!M57</f>
        <v>0</v>
      </c>
      <c r="M158" s="113">
        <f>'public bldgs'!N57</f>
        <v>0</v>
      </c>
      <c r="N158" s="113">
        <f>'public bldgs'!O57</f>
        <v>0</v>
      </c>
      <c r="P158" s="106"/>
    </row>
    <row r="159" spans="2:18">
      <c r="B159" s="220" t="s">
        <v>323</v>
      </c>
      <c r="C159" s="108"/>
      <c r="D159" s="112">
        <f t="shared" ref="D159:N159" si="50">SUM(D151:D158)</f>
        <v>0</v>
      </c>
      <c r="E159" s="112">
        <f t="shared" si="50"/>
        <v>0</v>
      </c>
      <c r="F159" s="112">
        <f t="shared" si="50"/>
        <v>0</v>
      </c>
      <c r="G159" s="112">
        <f t="shared" si="50"/>
        <v>0</v>
      </c>
      <c r="H159" s="112">
        <f t="shared" si="50"/>
        <v>0</v>
      </c>
      <c r="I159" s="112">
        <f t="shared" si="50"/>
        <v>0</v>
      </c>
      <c r="J159" s="112">
        <f t="shared" si="50"/>
        <v>0</v>
      </c>
      <c r="K159" s="112">
        <f t="shared" si="50"/>
        <v>0</v>
      </c>
      <c r="L159" s="112">
        <f t="shared" si="50"/>
        <v>2991277.5417509098</v>
      </c>
      <c r="M159" s="112">
        <f t="shared" si="50"/>
        <v>13552134.550068058</v>
      </c>
      <c r="N159" s="112">
        <f t="shared" si="50"/>
        <v>20240212.621614799</v>
      </c>
      <c r="P159" s="267" t="s">
        <v>672</v>
      </c>
      <c r="Q159" s="112">
        <f>MIN(tifphase3,ABS((SUMIF(D175:N175,"&lt;0",D175:N175)+SUM(D180:N180,D183:N183))))</f>
        <v>11345206.720403055</v>
      </c>
      <c r="R159" s="109">
        <f>tifphase3</f>
        <v>50232399.824600339</v>
      </c>
    </row>
    <row r="160" spans="2:18">
      <c r="B160" s="108"/>
      <c r="C160" s="108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P160" s="267" t="s">
        <v>668</v>
      </c>
      <c r="Q160" s="112">
        <f>Q159*tiforiginationfee</f>
        <v>113452.06720403055</v>
      </c>
    </row>
    <row r="161" spans="2:18">
      <c r="B161" s="107" t="s">
        <v>195</v>
      </c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P161" s="267" t="s">
        <v>669</v>
      </c>
      <c r="Q161" s="112">
        <f>Q159*tifrate</f>
        <v>680712.40322418325</v>
      </c>
    </row>
    <row r="162" spans="2:18">
      <c r="B162" s="108" t="s">
        <v>164</v>
      </c>
      <c r="C162" s="108"/>
      <c r="D162" s="112">
        <f>'res, market-rate'!E79</f>
        <v>0</v>
      </c>
      <c r="E162" s="112">
        <f>'res, market-rate'!F79</f>
        <v>0</v>
      </c>
      <c r="F162" s="112">
        <f>'res, market-rate'!G79</f>
        <v>0</v>
      </c>
      <c r="G162" s="112">
        <f>'res, market-rate'!H79</f>
        <v>0</v>
      </c>
      <c r="H162" s="112">
        <f>'res, market-rate'!I79</f>
        <v>0</v>
      </c>
      <c r="I162" s="112">
        <f>'res, market-rate'!J79</f>
        <v>0</v>
      </c>
      <c r="J162" s="112">
        <f>'res, market-rate'!K79</f>
        <v>0</v>
      </c>
      <c r="K162" s="112">
        <f>'res, market-rate'!L79</f>
        <v>0</v>
      </c>
      <c r="L162" s="112">
        <f>'res, market-rate'!M79</f>
        <v>-65279.592450000004</v>
      </c>
      <c r="M162" s="112">
        <f>'res, market-rate'!N79</f>
        <v>-68239.764900000009</v>
      </c>
      <c r="N162" s="112">
        <f>'res, market-rate'!O79</f>
        <v>-68239.764900000009</v>
      </c>
    </row>
    <row r="163" spans="2:18">
      <c r="B163" s="108" t="s">
        <v>156</v>
      </c>
      <c r="C163" s="108"/>
      <c r="D163" s="112">
        <f>'res, condo'!E77</f>
        <v>0</v>
      </c>
      <c r="E163" s="112">
        <f>'res, condo'!F77</f>
        <v>0</v>
      </c>
      <c r="F163" s="112">
        <f>'res, condo'!G77</f>
        <v>0</v>
      </c>
      <c r="G163" s="112">
        <f>'res, condo'!H77</f>
        <v>0</v>
      </c>
      <c r="H163" s="112">
        <f>'res, condo'!I77</f>
        <v>0</v>
      </c>
      <c r="I163" s="112">
        <f>'res, condo'!J77</f>
        <v>0</v>
      </c>
      <c r="J163" s="112">
        <f>'res, condo'!K77</f>
        <v>0</v>
      </c>
      <c r="K163" s="112">
        <f>'res, condo'!L77</f>
        <v>0</v>
      </c>
      <c r="L163" s="112">
        <f>'res, condo'!M77</f>
        <v>0</v>
      </c>
      <c r="M163" s="112">
        <f>'res, condo'!N77</f>
        <v>0</v>
      </c>
      <c r="N163" s="112">
        <f>'res, condo'!O77</f>
        <v>0</v>
      </c>
      <c r="P163" s="267" t="s">
        <v>705</v>
      </c>
      <c r="Q163" s="205">
        <v>0</v>
      </c>
    </row>
    <row r="164" spans="2:18">
      <c r="B164" s="108" t="s">
        <v>140</v>
      </c>
      <c r="C164" s="108"/>
      <c r="D164" s="112">
        <f>'res, affordable'!E77</f>
        <v>0</v>
      </c>
      <c r="E164" s="112">
        <f>'res, affordable'!F77</f>
        <v>0</v>
      </c>
      <c r="F164" s="112">
        <f>'res, affordable'!G77</f>
        <v>0</v>
      </c>
      <c r="G164" s="112">
        <f>'res, affordable'!H77</f>
        <v>0</v>
      </c>
      <c r="H164" s="112">
        <f>'res, affordable'!I77</f>
        <v>0</v>
      </c>
      <c r="I164" s="112">
        <f>'res, affordable'!J77</f>
        <v>0</v>
      </c>
      <c r="J164" s="112">
        <f>'res, affordable'!K77</f>
        <v>0</v>
      </c>
      <c r="K164" s="112">
        <f>'res, affordable'!L77</f>
        <v>0</v>
      </c>
      <c r="L164" s="112">
        <f>'res, affordable'!M77</f>
        <v>-3115.9710000000005</v>
      </c>
      <c r="M164" s="112">
        <f>'res, affordable'!N77</f>
        <v>-3115.9710000000005</v>
      </c>
      <c r="N164" s="112">
        <f>'res, affordable'!O77</f>
        <v>-3115.9710000000005</v>
      </c>
    </row>
    <row r="165" spans="2:18">
      <c r="B165" s="108" t="s">
        <v>2</v>
      </c>
      <c r="C165" s="108"/>
      <c r="D165" s="112">
        <f>office!E76</f>
        <v>0</v>
      </c>
      <c r="E165" s="112">
        <f>office!F76</f>
        <v>0</v>
      </c>
      <c r="F165" s="112">
        <f>office!G76</f>
        <v>0</v>
      </c>
      <c r="G165" s="112">
        <f>office!H76</f>
        <v>0</v>
      </c>
      <c r="H165" s="112">
        <f>office!I76</f>
        <v>0</v>
      </c>
      <c r="I165" s="112">
        <f>office!J76</f>
        <v>0</v>
      </c>
      <c r="J165" s="112">
        <f>office!K76</f>
        <v>0</v>
      </c>
      <c r="K165" s="112">
        <f>office!L76</f>
        <v>0</v>
      </c>
      <c r="L165" s="112">
        <f>office!M76</f>
        <v>-178982.93819875002</v>
      </c>
      <c r="M165" s="112">
        <f>office!N76</f>
        <v>-332396.88522625004</v>
      </c>
      <c r="N165" s="112">
        <f>office!O76</f>
        <v>-485810.83225375006</v>
      </c>
      <c r="P165" s="267" t="s">
        <v>409</v>
      </c>
      <c r="Q165" s="117">
        <f>Q152-Q154-Q159-Q163</f>
        <v>74080081.578122646</v>
      </c>
    </row>
    <row r="166" spans="2:18">
      <c r="B166" s="197" t="s">
        <v>141</v>
      </c>
      <c r="C166" s="197"/>
      <c r="D166" s="112">
        <f>retail!E76</f>
        <v>0</v>
      </c>
      <c r="E166" s="112">
        <f>retail!F76</f>
        <v>0</v>
      </c>
      <c r="F166" s="112">
        <f>retail!G76</f>
        <v>0</v>
      </c>
      <c r="G166" s="112">
        <f>retail!H76</f>
        <v>0</v>
      </c>
      <c r="H166" s="112">
        <f>retail!I76</f>
        <v>0</v>
      </c>
      <c r="I166" s="112">
        <f>retail!J76</f>
        <v>0</v>
      </c>
      <c r="J166" s="112">
        <f>retail!K76</f>
        <v>0</v>
      </c>
      <c r="K166" s="112">
        <f>retail!L76</f>
        <v>0</v>
      </c>
      <c r="L166" s="112">
        <f>retail!M76</f>
        <v>-8117.9750268749995</v>
      </c>
      <c r="M166" s="112">
        <f>retail!N76</f>
        <v>-15462.809574999997</v>
      </c>
      <c r="N166" s="112">
        <f>retail!O76</f>
        <v>-15462.809574999997</v>
      </c>
    </row>
    <row r="167" spans="2:18">
      <c r="B167" s="108" t="s">
        <v>18</v>
      </c>
      <c r="C167" s="108"/>
      <c r="D167" s="112">
        <f>hotel!E80</f>
        <v>0</v>
      </c>
      <c r="E167" s="112">
        <f>hotel!F80</f>
        <v>0</v>
      </c>
      <c r="F167" s="112">
        <f>hotel!G80</f>
        <v>0</v>
      </c>
      <c r="G167" s="112">
        <f>hotel!H80</f>
        <v>0</v>
      </c>
      <c r="H167" s="112">
        <f>hotel!I80</f>
        <v>0</v>
      </c>
      <c r="I167" s="112">
        <f>hotel!J80</f>
        <v>0</v>
      </c>
      <c r="J167" s="112">
        <f>hotel!K80</f>
        <v>0</v>
      </c>
      <c r="K167" s="112">
        <f>hotel!L80</f>
        <v>0</v>
      </c>
      <c r="L167" s="112">
        <f>hotel!M80</f>
        <v>0</v>
      </c>
      <c r="M167" s="112">
        <f>hotel!N80</f>
        <v>0</v>
      </c>
      <c r="N167" s="112">
        <f>hotel!O80</f>
        <v>0</v>
      </c>
      <c r="P167" s="292" t="s">
        <v>172</v>
      </c>
    </row>
    <row r="168" spans="2:18">
      <c r="B168" s="108" t="s">
        <v>19</v>
      </c>
      <c r="C168" s="108"/>
      <c r="D168" s="112">
        <f>parking!E74</f>
        <v>0</v>
      </c>
      <c r="E168" s="112">
        <f>parking!F74</f>
        <v>0</v>
      </c>
      <c r="F168" s="112">
        <f>parking!G74</f>
        <v>0</v>
      </c>
      <c r="G168" s="112">
        <f>parking!H74</f>
        <v>0</v>
      </c>
      <c r="H168" s="112">
        <f>parking!I74</f>
        <v>0</v>
      </c>
      <c r="I168" s="112">
        <f>parking!J74</f>
        <v>0</v>
      </c>
      <c r="J168" s="112">
        <f>parking!K74</f>
        <v>0</v>
      </c>
      <c r="K168" s="112">
        <f>parking!L74</f>
        <v>0</v>
      </c>
      <c r="L168" s="112">
        <f>parking!M74</f>
        <v>-4926.700723500001</v>
      </c>
      <c r="M168" s="112">
        <f>parking!N74</f>
        <v>-4926.700723500001</v>
      </c>
      <c r="N168" s="112">
        <f>parking!O74</f>
        <v>-4926.700723500001</v>
      </c>
      <c r="P168" s="267" t="s">
        <v>413</v>
      </c>
      <c r="Q168" s="112">
        <f>SUMIF(D$2:N$2,phase3stabilizationyear,$D159:$N159)-SUMIF(D$2:N$2,phase3stabilizationyear,$D152:$N152)</f>
        <v>20240212.621614799</v>
      </c>
    </row>
    <row r="169" spans="2:18">
      <c r="B169" s="108" t="s">
        <v>301</v>
      </c>
      <c r="C169" s="108"/>
      <c r="D169" s="113">
        <f>'public bldgs'!E60</f>
        <v>0</v>
      </c>
      <c r="E169" s="113">
        <f>'public bldgs'!F60</f>
        <v>0</v>
      </c>
      <c r="F169" s="113">
        <f>'public bldgs'!G60</f>
        <v>0</v>
      </c>
      <c r="G169" s="113">
        <f>'public bldgs'!H60</f>
        <v>0</v>
      </c>
      <c r="H169" s="113">
        <f>'public bldgs'!I60</f>
        <v>0</v>
      </c>
      <c r="I169" s="113">
        <f>'public bldgs'!J60</f>
        <v>0</v>
      </c>
      <c r="J169" s="113">
        <f>'public bldgs'!K60</f>
        <v>0</v>
      </c>
      <c r="K169" s="113">
        <f>'public bldgs'!L60</f>
        <v>0</v>
      </c>
      <c r="L169" s="113">
        <f>'public bldgs'!M60</f>
        <v>0</v>
      </c>
      <c r="M169" s="113">
        <f>'public bldgs'!N60</f>
        <v>0</v>
      </c>
      <c r="N169" s="113">
        <f>'public bldgs'!O60</f>
        <v>0</v>
      </c>
      <c r="P169" s="267" t="s">
        <v>414</v>
      </c>
      <c r="Q169" s="122">
        <f>blendedcaprate+R169</f>
        <v>7.2732481064471194E-2</v>
      </c>
      <c r="R169" s="860">
        <v>0</v>
      </c>
    </row>
    <row r="170" spans="2:18">
      <c r="B170" s="220" t="s">
        <v>324</v>
      </c>
      <c r="C170" s="108"/>
      <c r="D170" s="112">
        <f t="shared" ref="D170:N170" si="51">SUM(D162:D169)</f>
        <v>0</v>
      </c>
      <c r="E170" s="112">
        <f t="shared" si="51"/>
        <v>0</v>
      </c>
      <c r="F170" s="112">
        <f t="shared" si="51"/>
        <v>0</v>
      </c>
      <c r="G170" s="112">
        <f t="shared" si="51"/>
        <v>0</v>
      </c>
      <c r="H170" s="112">
        <f t="shared" si="51"/>
        <v>0</v>
      </c>
      <c r="I170" s="112">
        <f t="shared" si="51"/>
        <v>0</v>
      </c>
      <c r="J170" s="112">
        <f t="shared" si="51"/>
        <v>0</v>
      </c>
      <c r="K170" s="112">
        <f t="shared" si="51"/>
        <v>0</v>
      </c>
      <c r="L170" s="112">
        <f t="shared" si="51"/>
        <v>-260423.17739912504</v>
      </c>
      <c r="M170" s="112">
        <f t="shared" si="51"/>
        <v>-424142.13142475008</v>
      </c>
      <c r="N170" s="112">
        <f t="shared" si="51"/>
        <v>-577556.07845224999</v>
      </c>
      <c r="P170" s="267" t="s">
        <v>237</v>
      </c>
      <c r="Q170" s="117">
        <f>Q168/Q169</f>
        <v>278282994.41172045</v>
      </c>
    </row>
    <row r="171" spans="2:18">
      <c r="B171" s="108"/>
      <c r="C171" s="108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P171" s="267" t="s">
        <v>416</v>
      </c>
      <c r="Q171" s="293">
        <f>loantovalue</f>
        <v>0.65</v>
      </c>
    </row>
    <row r="172" spans="2:18">
      <c r="B172" s="107" t="s">
        <v>196</v>
      </c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P172" s="267" t="s">
        <v>408</v>
      </c>
      <c r="Q172" s="117">
        <f>Q170*Q171</f>
        <v>180883946.36761829</v>
      </c>
    </row>
    <row r="173" spans="2:18">
      <c r="B173" s="108" t="s">
        <v>164</v>
      </c>
      <c r="C173" s="108"/>
      <c r="D173" s="112">
        <f>'res, market-rate'!E83</f>
        <v>0</v>
      </c>
      <c r="E173" s="112">
        <f>'res, market-rate'!F83</f>
        <v>0</v>
      </c>
      <c r="F173" s="112">
        <f>'res, market-rate'!G83</f>
        <v>0</v>
      </c>
      <c r="G173" s="112">
        <f>'res, market-rate'!H83</f>
        <v>0</v>
      </c>
      <c r="H173" s="112">
        <f>'res, market-rate'!I83</f>
        <v>0</v>
      </c>
      <c r="I173" s="112">
        <f>'res, market-rate'!J83</f>
        <v>0</v>
      </c>
      <c r="J173" s="112">
        <f>'res, market-rate'!K83</f>
        <v>-21260953.664164465</v>
      </c>
      <c r="K173" s="112">
        <f>'res, market-rate'!L83</f>
        <v>-21686172.737447757</v>
      </c>
      <c r="L173" s="112">
        <f>'res, market-rate'!M83</f>
        <v>0</v>
      </c>
      <c r="M173" s="112">
        <f>'res, market-rate'!N83</f>
        <v>0</v>
      </c>
      <c r="N173" s="112">
        <f>'res, market-rate'!O83</f>
        <v>76168532.834546342</v>
      </c>
      <c r="P173" s="267" t="s">
        <v>410</v>
      </c>
      <c r="Q173" s="296" t="s">
        <v>424</v>
      </c>
    </row>
    <row r="174" spans="2:18">
      <c r="B174" s="108" t="s">
        <v>156</v>
      </c>
      <c r="C174" s="108"/>
      <c r="D174" s="112">
        <f>'res, condo'!E81</f>
        <v>0</v>
      </c>
      <c r="E174" s="112">
        <f>'res, condo'!F81</f>
        <v>0</v>
      </c>
      <c r="F174" s="112">
        <f>'res, condo'!G81</f>
        <v>0</v>
      </c>
      <c r="G174" s="112">
        <f>'res, condo'!H81</f>
        <v>0</v>
      </c>
      <c r="H174" s="112">
        <f>'res, condo'!I81</f>
        <v>0</v>
      </c>
      <c r="I174" s="112">
        <f>'res, condo'!J81</f>
        <v>0</v>
      </c>
      <c r="J174" s="112">
        <f>'res, condo'!K81</f>
        <v>0</v>
      </c>
      <c r="K174" s="112">
        <f>'res, condo'!L81</f>
        <v>0</v>
      </c>
      <c r="L174" s="112">
        <f>'res, condo'!M81</f>
        <v>0</v>
      </c>
      <c r="M174" s="112">
        <f>'res, condo'!N81</f>
        <v>0</v>
      </c>
      <c r="N174" s="112">
        <f>'res, condo'!O81</f>
        <v>0</v>
      </c>
      <c r="P174" s="267" t="s">
        <v>411</v>
      </c>
      <c r="Q174" s="122">
        <f>permanentinterestrate</f>
        <v>4.2500000000000003E-2</v>
      </c>
    </row>
    <row r="175" spans="2:18">
      <c r="B175" s="108" t="s">
        <v>140</v>
      </c>
      <c r="C175" s="108"/>
      <c r="D175" s="112">
        <f>'res, affordable'!E81</f>
        <v>0</v>
      </c>
      <c r="E175" s="112">
        <f>'res, affordable'!F81</f>
        <v>0</v>
      </c>
      <c r="F175" s="112">
        <f>'res, affordable'!G81</f>
        <v>0</v>
      </c>
      <c r="G175" s="112">
        <f>'res, affordable'!H81</f>
        <v>0</v>
      </c>
      <c r="H175" s="112">
        <f>'res, affordable'!I81</f>
        <v>0</v>
      </c>
      <c r="I175" s="112">
        <f>'res, affordable'!J81</f>
        <v>0</v>
      </c>
      <c r="J175" s="112">
        <f>'res, affordable'!K81</f>
        <v>-5315238.4160411162</v>
      </c>
      <c r="K175" s="112">
        <f>'res, affordable'!L81</f>
        <v>-5421543.1843619393</v>
      </c>
      <c r="L175" s="112">
        <f>'res, affordable'!M81</f>
        <v>0</v>
      </c>
      <c r="M175" s="112">
        <f>'res, affordable'!N81</f>
        <v>0</v>
      </c>
      <c r="N175" s="112">
        <f>'res, affordable'!O81</f>
        <v>10528135.968182448</v>
      </c>
      <c r="P175" s="267" t="s">
        <v>417</v>
      </c>
      <c r="Q175" s="268">
        <f>amortizationschedule</f>
        <v>30</v>
      </c>
    </row>
    <row r="176" spans="2:18">
      <c r="B176" s="108" t="s">
        <v>2</v>
      </c>
      <c r="C176" s="108"/>
      <c r="D176" s="112">
        <f>office!E81</f>
        <v>0</v>
      </c>
      <c r="E176" s="112">
        <f>office!F81</f>
        <v>0</v>
      </c>
      <c r="F176" s="112">
        <f>office!G81</f>
        <v>0</v>
      </c>
      <c r="G176" s="112">
        <f>office!H81</f>
        <v>0</v>
      </c>
      <c r="H176" s="112">
        <f>office!I81</f>
        <v>0</v>
      </c>
      <c r="I176" s="112">
        <f>office!J81</f>
        <v>0</v>
      </c>
      <c r="J176" s="112">
        <f>office!K81</f>
        <v>-52338850.70156718</v>
      </c>
      <c r="K176" s="112">
        <f>office!L81</f>
        <v>-53385627.715598539</v>
      </c>
      <c r="L176" s="112">
        <f>office!M81</f>
        <v>0</v>
      </c>
      <c r="M176" s="112">
        <f>office!N81</f>
        <v>0</v>
      </c>
      <c r="N176" s="112">
        <f>office!O81</f>
        <v>170815370.36785072</v>
      </c>
      <c r="P176" s="267" t="s">
        <v>446</v>
      </c>
      <c r="Q176" s="112">
        <f>'p3'!E122*12</f>
        <v>10678083.464893596</v>
      </c>
      <c r="R176" s="858">
        <f>permanentservicingfees</f>
        <v>0.02</v>
      </c>
    </row>
    <row r="177" spans="2:17">
      <c r="B177" s="197" t="s">
        <v>141</v>
      </c>
      <c r="C177" s="197"/>
      <c r="D177" s="112">
        <f>retail!E81</f>
        <v>0</v>
      </c>
      <c r="E177" s="112">
        <f>retail!F81</f>
        <v>0</v>
      </c>
      <c r="F177" s="112">
        <f>retail!G81</f>
        <v>0</v>
      </c>
      <c r="G177" s="112">
        <f>retail!H81</f>
        <v>0</v>
      </c>
      <c r="H177" s="112">
        <f>retail!I81</f>
        <v>0</v>
      </c>
      <c r="I177" s="112">
        <f>retail!J81</f>
        <v>0</v>
      </c>
      <c r="J177" s="112">
        <f>retail!K81</f>
        <v>-1688098.267368335</v>
      </c>
      <c r="K177" s="112">
        <f>retail!L81</f>
        <v>-1721860.2327157017</v>
      </c>
      <c r="L177" s="112">
        <f>retail!M81</f>
        <v>0</v>
      </c>
      <c r="M177" s="112">
        <f>retail!N81</f>
        <v>0</v>
      </c>
      <c r="N177" s="112">
        <f>retail!O81</f>
        <v>5573413.8260322902</v>
      </c>
      <c r="O177" s="112"/>
      <c r="P177" s="267" t="s">
        <v>412</v>
      </c>
      <c r="Q177" s="117">
        <f>Q172*R176</f>
        <v>3617678.927352366</v>
      </c>
    </row>
    <row r="178" spans="2:17">
      <c r="B178" s="108" t="s">
        <v>18</v>
      </c>
      <c r="C178" s="108"/>
      <c r="D178" s="112">
        <f>hotel!E84</f>
        <v>0</v>
      </c>
      <c r="E178" s="112">
        <f>hotel!F84</f>
        <v>0</v>
      </c>
      <c r="F178" s="112">
        <f>hotel!G84</f>
        <v>0</v>
      </c>
      <c r="G178" s="112">
        <f>hotel!H84</f>
        <v>0</v>
      </c>
      <c r="H178" s="112">
        <f>hotel!I84</f>
        <v>0</v>
      </c>
      <c r="I178" s="112">
        <f>hotel!J84</f>
        <v>0</v>
      </c>
      <c r="J178" s="112">
        <f>hotel!K84</f>
        <v>0</v>
      </c>
      <c r="K178" s="112">
        <f>hotel!L84</f>
        <v>0</v>
      </c>
      <c r="L178" s="112">
        <f>hotel!M84</f>
        <v>0</v>
      </c>
      <c r="M178" s="112">
        <f>hotel!N84</f>
        <v>0</v>
      </c>
      <c r="N178" s="112">
        <f>hotel!O84</f>
        <v>0</v>
      </c>
      <c r="P178" s="267" t="s">
        <v>418</v>
      </c>
      <c r="Q178" s="117">
        <f>SUM(D152:N152)</f>
        <v>0</v>
      </c>
    </row>
    <row r="179" spans="2:17">
      <c r="B179" s="108" t="s">
        <v>19</v>
      </c>
      <c r="C179" s="108"/>
      <c r="D179" s="112">
        <f>parking!E78</f>
        <v>0</v>
      </c>
      <c r="E179" s="112">
        <f>parking!F78</f>
        <v>0</v>
      </c>
      <c r="F179" s="112">
        <f>parking!G78</f>
        <v>0</v>
      </c>
      <c r="G179" s="112">
        <f>parking!H78</f>
        <v>0</v>
      </c>
      <c r="H179" s="112">
        <f>parking!I78</f>
        <v>0</v>
      </c>
      <c r="I179" s="112">
        <f>parking!J78</f>
        <v>0</v>
      </c>
      <c r="J179" s="112">
        <f>parking!K78</f>
        <v>-13072873.246266725</v>
      </c>
      <c r="K179" s="112">
        <f>parking!L78</f>
        <v>-13334330.71119206</v>
      </c>
      <c r="L179" s="112">
        <f>parking!M78</f>
        <v>0</v>
      </c>
      <c r="M179" s="112">
        <f>parking!N78</f>
        <v>0</v>
      </c>
      <c r="N179" s="112">
        <f>parking!O78</f>
        <v>11779848.349357765</v>
      </c>
    </row>
    <row r="180" spans="2:17">
      <c r="B180" s="108" t="s">
        <v>283</v>
      </c>
      <c r="C180" s="108"/>
      <c r="D180" s="113">
        <f>'public bldgs'!E63</f>
        <v>0</v>
      </c>
      <c r="E180" s="113">
        <f>'public bldgs'!F63</f>
        <v>0</v>
      </c>
      <c r="F180" s="113">
        <f>'public bldgs'!G63</f>
        <v>0</v>
      </c>
      <c r="G180" s="113">
        <f>'public bldgs'!H63</f>
        <v>0</v>
      </c>
      <c r="H180" s="113">
        <f>'public bldgs'!I63</f>
        <v>0</v>
      </c>
      <c r="I180" s="113">
        <f>'public bldgs'!J63</f>
        <v>0</v>
      </c>
      <c r="J180" s="113">
        <f>'public bldgs'!K63</f>
        <v>0</v>
      </c>
      <c r="K180" s="113">
        <f>'public bldgs'!L63</f>
        <v>0</v>
      </c>
      <c r="L180" s="113">
        <f>'public bldgs'!M63</f>
        <v>0</v>
      </c>
      <c r="M180" s="113">
        <f>'public bldgs'!N63</f>
        <v>0</v>
      </c>
      <c r="N180" s="113">
        <f>'public bldgs'!O63</f>
        <v>0</v>
      </c>
    </row>
    <row r="181" spans="2:17">
      <c r="B181" s="220" t="s">
        <v>325</v>
      </c>
      <c r="C181" s="108"/>
      <c r="D181" s="112">
        <f t="shared" ref="D181:N181" si="52">SUM(D173:D180)</f>
        <v>0</v>
      </c>
      <c r="E181" s="112">
        <f t="shared" si="52"/>
        <v>0</v>
      </c>
      <c r="F181" s="112">
        <f t="shared" si="52"/>
        <v>0</v>
      </c>
      <c r="G181" s="112">
        <f t="shared" si="52"/>
        <v>0</v>
      </c>
      <c r="H181" s="112">
        <f t="shared" si="52"/>
        <v>0</v>
      </c>
      <c r="I181" s="112">
        <f t="shared" si="52"/>
        <v>0</v>
      </c>
      <c r="J181" s="112">
        <f t="shared" si="52"/>
        <v>-93676014.295407817</v>
      </c>
      <c r="K181" s="112">
        <f t="shared" si="52"/>
        <v>-95549534.581315979</v>
      </c>
      <c r="L181" s="112">
        <f t="shared" si="52"/>
        <v>0</v>
      </c>
      <c r="M181" s="112">
        <f t="shared" si="52"/>
        <v>0</v>
      </c>
      <c r="N181" s="112">
        <f t="shared" si="52"/>
        <v>274865301.34596956</v>
      </c>
    </row>
    <row r="182" spans="2:17">
      <c r="B182" s="108"/>
      <c r="C182" s="108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</row>
    <row r="183" spans="2:17">
      <c r="B183" s="107" t="s">
        <v>300</v>
      </c>
      <c r="D183" s="112">
        <f>-IF(OR(D$2=Phase3begin,D$2=Phase3end,AND(D$2&gt;Phase3begin,D$2&lt;Phase3end)),infstrc!$M$25/constructiontimephase3,0)</f>
        <v>0</v>
      </c>
      <c r="E183" s="112">
        <f>-IF(OR(E$2=Phase3begin,E$2=Phase3end,AND(E$2&gt;Phase3begin,E$2&lt;Phase3end)),infstrc!$M$25/constructiontimephase3,0)</f>
        <v>0</v>
      </c>
      <c r="F183" s="112">
        <f>-IF(OR(F$2=Phase3begin,F$2=Phase3end,AND(F$2&gt;Phase3begin,F$2&lt;Phase3end)),infstrc!$M$25/constructiontimephase3,0)</f>
        <v>0</v>
      </c>
      <c r="G183" s="112">
        <f>-IF(OR(G$2=Phase3begin,G$2=Phase3end,AND(G$2&gt;Phase3begin,G$2&lt;Phase3end)),infstrc!$M$25/constructiontimephase3,0)</f>
        <v>0</v>
      </c>
      <c r="H183" s="112">
        <f>-IF(OR(H$2=Phase3begin,H$2=Phase3end,AND(H$2&gt;Phase3begin,H$2&lt;Phase3end)),infstrc!$M$25/constructiontimephase3,0)</f>
        <v>0</v>
      </c>
      <c r="I183" s="112">
        <f>-IF(OR(I$2=Phase3begin,I$2=Phase3end,AND(I$2&gt;Phase3begin,I$2&lt;Phase3end)),infstrc!$M$25/constructiontimephase3,0)</f>
        <v>0</v>
      </c>
      <c r="J183" s="112">
        <f>-IF(OR(J$2=Phase3begin,J$2=Phase3end,AND(J$2&gt;Phase3begin,J$2&lt;Phase3end)),infstrc!$M$25/constructiontimephase3,0)</f>
        <v>-304212.56</v>
      </c>
      <c r="K183" s="112">
        <f>-IF(OR(K$2=Phase3begin,K$2=Phase3end,AND(K$2&gt;Phase3begin,K$2&lt;Phase3end)),infstrc!$M$25/constructiontimephase3,0)</f>
        <v>-304212.56</v>
      </c>
      <c r="L183" s="112">
        <f>-IF(OR(L$2=Phase3begin,L$2=Phase3end,AND(L$2&gt;Phase3begin,L$2&lt;Phase3end)),infstrc!$M$25/constructiontimephase3,0)</f>
        <v>0</v>
      </c>
      <c r="M183" s="112">
        <f>-IF(OR(M$2=Phase3begin,M$2=Phase3end,AND(M$2&gt;Phase3begin,M$2&lt;Phase3end)),infstrc!$M$25/constructiontimephase3,0)</f>
        <v>0</v>
      </c>
      <c r="N183" s="112">
        <f>-IF(OR(N$2=Phase3begin,N$2=Phase3end,AND(N$2&gt;Phase3begin,N$2&lt;Phase3end)),infstrc!$M$25/constructiontimephase3,0)</f>
        <v>0</v>
      </c>
    </row>
    <row r="184" spans="2:17">
      <c r="B184" s="107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</row>
    <row r="185" spans="2:17">
      <c r="B185" s="107" t="s">
        <v>698</v>
      </c>
      <c r="D185" s="112">
        <f t="shared" ref="D185:N185" si="53">-IF(D$2=Phase3begin,phase3landcontribution,0)</f>
        <v>0</v>
      </c>
      <c r="E185" s="112">
        <f t="shared" si="53"/>
        <v>0</v>
      </c>
      <c r="F185" s="112">
        <f t="shared" si="53"/>
        <v>0</v>
      </c>
      <c r="G185" s="112">
        <f t="shared" si="53"/>
        <v>0</v>
      </c>
      <c r="H185" s="112">
        <f t="shared" si="53"/>
        <v>0</v>
      </c>
      <c r="I185" s="112">
        <f t="shared" si="53"/>
        <v>0</v>
      </c>
      <c r="J185" s="112">
        <f t="shared" si="53"/>
        <v>-4269188</v>
      </c>
      <c r="K185" s="112">
        <f t="shared" si="53"/>
        <v>0</v>
      </c>
      <c r="L185" s="112">
        <f t="shared" si="53"/>
        <v>0</v>
      </c>
      <c r="M185" s="112">
        <f t="shared" si="53"/>
        <v>0</v>
      </c>
      <c r="N185" s="112">
        <f t="shared" si="53"/>
        <v>0</v>
      </c>
    </row>
    <row r="186" spans="2:17">
      <c r="B186" s="107" t="s">
        <v>695</v>
      </c>
      <c r="D186" s="112">
        <f t="shared" ref="D186:N186" si="54">IF(D$2=Phase3begin,phase3landcontribution,0)</f>
        <v>0</v>
      </c>
      <c r="E186" s="112">
        <f t="shared" si="54"/>
        <v>0</v>
      </c>
      <c r="F186" s="112">
        <f t="shared" si="54"/>
        <v>0</v>
      </c>
      <c r="G186" s="112">
        <f t="shared" si="54"/>
        <v>0</v>
      </c>
      <c r="H186" s="112">
        <f t="shared" si="54"/>
        <v>0</v>
      </c>
      <c r="I186" s="112">
        <f t="shared" si="54"/>
        <v>0</v>
      </c>
      <c r="J186" s="112">
        <f t="shared" si="54"/>
        <v>4269188</v>
      </c>
      <c r="K186" s="112">
        <f t="shared" si="54"/>
        <v>0</v>
      </c>
      <c r="L186" s="112">
        <f t="shared" si="54"/>
        <v>0</v>
      </c>
      <c r="M186" s="112">
        <f t="shared" si="54"/>
        <v>0</v>
      </c>
      <c r="N186" s="112">
        <f t="shared" si="54"/>
        <v>0</v>
      </c>
    </row>
    <row r="187" spans="2:17">
      <c r="B187" s="107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</row>
    <row r="188" spans="2:17">
      <c r="B188" s="107" t="s">
        <v>169</v>
      </c>
      <c r="C188" s="118">
        <f>IRR(D188:N188)</f>
        <v>0.15329337709114088</v>
      </c>
      <c r="D188" s="117">
        <f>SUM(D159,D170,D181,D183:D186)</f>
        <v>0</v>
      </c>
      <c r="E188" s="117">
        <f t="shared" ref="E188:N188" si="55">SUM(E159,E170,E181,E183:E186)</f>
        <v>0</v>
      </c>
      <c r="F188" s="117">
        <f t="shared" si="55"/>
        <v>0</v>
      </c>
      <c r="G188" s="117">
        <f t="shared" si="55"/>
        <v>0</v>
      </c>
      <c r="H188" s="117">
        <f t="shared" si="55"/>
        <v>0</v>
      </c>
      <c r="I188" s="117">
        <f t="shared" si="55"/>
        <v>0</v>
      </c>
      <c r="J188" s="117">
        <f t="shared" si="55"/>
        <v>-93980226.855407819</v>
      </c>
      <c r="K188" s="117">
        <f t="shared" si="55"/>
        <v>-95853747.141315982</v>
      </c>
      <c r="L188" s="117">
        <f t="shared" si="55"/>
        <v>2730854.3643517848</v>
      </c>
      <c r="M188" s="117">
        <f t="shared" si="55"/>
        <v>13127992.418643309</v>
      </c>
      <c r="N188" s="117">
        <f t="shared" si="55"/>
        <v>294527957.88913208</v>
      </c>
    </row>
    <row r="189" spans="2:17">
      <c r="B189" s="107"/>
    </row>
    <row r="190" spans="2:17">
      <c r="B190" s="107" t="s">
        <v>450</v>
      </c>
    </row>
    <row r="192" spans="2:17">
      <c r="B192" s="106" t="s">
        <v>426</v>
      </c>
      <c r="D192" s="117">
        <f>IF(D188&lt;0,D181+D183,0)</f>
        <v>0</v>
      </c>
      <c r="E192" s="117">
        <f t="shared" ref="E192:N192" si="56">IF(E188&lt;0,E181+E183,0)</f>
        <v>0</v>
      </c>
      <c r="F192" s="117">
        <f t="shared" si="56"/>
        <v>0</v>
      </c>
      <c r="G192" s="117">
        <f t="shared" si="56"/>
        <v>0</v>
      </c>
      <c r="H192" s="117">
        <f t="shared" si="56"/>
        <v>0</v>
      </c>
      <c r="I192" s="117">
        <f t="shared" si="56"/>
        <v>0</v>
      </c>
      <c r="J192" s="117">
        <f t="shared" si="56"/>
        <v>-93980226.855407819</v>
      </c>
      <c r="K192" s="117">
        <f t="shared" si="56"/>
        <v>-95853747.141315982</v>
      </c>
      <c r="L192" s="117">
        <f t="shared" si="56"/>
        <v>0</v>
      </c>
      <c r="M192" s="117">
        <f t="shared" si="56"/>
        <v>0</v>
      </c>
      <c r="N192" s="117">
        <f t="shared" si="56"/>
        <v>0</v>
      </c>
    </row>
    <row r="193" spans="2:19"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</row>
    <row r="194" spans="2:19">
      <c r="B194" s="120" t="s">
        <v>171</v>
      </c>
      <c r="C194" s="114"/>
    </row>
    <row r="195" spans="2:19">
      <c r="B195" s="114" t="s">
        <v>409</v>
      </c>
      <c r="D195" s="112">
        <f t="shared" ref="D195:N195" si="57">-IF(D$2=Phase3begin,$Q165,0)</f>
        <v>0</v>
      </c>
      <c r="E195" s="112">
        <f t="shared" si="57"/>
        <v>0</v>
      </c>
      <c r="F195" s="112">
        <f t="shared" si="57"/>
        <v>0</v>
      </c>
      <c r="G195" s="112">
        <f t="shared" si="57"/>
        <v>0</v>
      </c>
      <c r="H195" s="112">
        <f t="shared" si="57"/>
        <v>0</v>
      </c>
      <c r="I195" s="112">
        <f t="shared" si="57"/>
        <v>0</v>
      </c>
      <c r="J195" s="112">
        <f t="shared" si="57"/>
        <v>-74080081.578122646</v>
      </c>
      <c r="K195" s="112">
        <f t="shared" si="57"/>
        <v>0</v>
      </c>
      <c r="L195" s="112">
        <f t="shared" si="57"/>
        <v>0</v>
      </c>
      <c r="M195" s="112">
        <f t="shared" si="57"/>
        <v>0</v>
      </c>
      <c r="N195" s="112">
        <f t="shared" si="57"/>
        <v>0</v>
      </c>
      <c r="O195" s="112"/>
    </row>
    <row r="196" spans="2:19">
      <c r="B196" s="114" t="s">
        <v>704</v>
      </c>
      <c r="D196" s="112">
        <f t="shared" ref="D196:N196" si="58">IF(D$2=Phase3begin,$Q163,0)</f>
        <v>0</v>
      </c>
      <c r="E196" s="112">
        <f t="shared" si="58"/>
        <v>0</v>
      </c>
      <c r="F196" s="112">
        <f t="shared" si="58"/>
        <v>0</v>
      </c>
      <c r="G196" s="112">
        <f t="shared" si="58"/>
        <v>0</v>
      </c>
      <c r="H196" s="112">
        <f t="shared" si="58"/>
        <v>0</v>
      </c>
      <c r="I196" s="112">
        <f t="shared" si="58"/>
        <v>0</v>
      </c>
      <c r="J196" s="112">
        <f t="shared" si="58"/>
        <v>0</v>
      </c>
      <c r="K196" s="112">
        <f t="shared" si="58"/>
        <v>0</v>
      </c>
      <c r="L196" s="112">
        <f t="shared" si="58"/>
        <v>0</v>
      </c>
      <c r="M196" s="112">
        <f t="shared" si="58"/>
        <v>0</v>
      </c>
      <c r="N196" s="112">
        <f t="shared" si="58"/>
        <v>0</v>
      </c>
    </row>
    <row r="197" spans="2:19">
      <c r="B197" s="114" t="s">
        <v>670</v>
      </c>
      <c r="D197" s="112">
        <f t="shared" ref="D197:N197" si="59">-IF(D$2=Phase3begin,$Q160,0)</f>
        <v>0</v>
      </c>
      <c r="E197" s="112">
        <f t="shared" si="59"/>
        <v>0</v>
      </c>
      <c r="F197" s="112">
        <f t="shared" si="59"/>
        <v>0</v>
      </c>
      <c r="G197" s="112">
        <f t="shared" si="59"/>
        <v>0</v>
      </c>
      <c r="H197" s="112">
        <f t="shared" si="59"/>
        <v>0</v>
      </c>
      <c r="I197" s="112">
        <f t="shared" si="59"/>
        <v>0</v>
      </c>
      <c r="J197" s="112">
        <f t="shared" si="59"/>
        <v>-113452.06720403055</v>
      </c>
      <c r="K197" s="112">
        <f t="shared" si="59"/>
        <v>0</v>
      </c>
      <c r="L197" s="112">
        <f t="shared" si="59"/>
        <v>0</v>
      </c>
      <c r="M197" s="112">
        <f t="shared" si="59"/>
        <v>0</v>
      </c>
      <c r="N197" s="112">
        <f t="shared" si="59"/>
        <v>0</v>
      </c>
    </row>
    <row r="198" spans="2:19">
      <c r="B198" s="114" t="s">
        <v>671</v>
      </c>
      <c r="D198" s="112">
        <f t="shared" ref="D198:N198" si="60">-IF(D$2=Phase3begin,$Q161,0)</f>
        <v>0</v>
      </c>
      <c r="E198" s="112">
        <f t="shared" si="60"/>
        <v>0</v>
      </c>
      <c r="F198" s="112">
        <f t="shared" si="60"/>
        <v>0</v>
      </c>
      <c r="G198" s="112">
        <f t="shared" si="60"/>
        <v>0</v>
      </c>
      <c r="H198" s="112">
        <f t="shared" si="60"/>
        <v>0</v>
      </c>
      <c r="I198" s="112">
        <f t="shared" si="60"/>
        <v>0</v>
      </c>
      <c r="J198" s="112">
        <f t="shared" si="60"/>
        <v>-680712.40322418325</v>
      </c>
      <c r="K198" s="112">
        <f t="shared" si="60"/>
        <v>0</v>
      </c>
      <c r="L198" s="112">
        <f t="shared" si="60"/>
        <v>0</v>
      </c>
      <c r="M198" s="112">
        <f t="shared" si="60"/>
        <v>0</v>
      </c>
      <c r="N198" s="112">
        <f t="shared" si="60"/>
        <v>0</v>
      </c>
    </row>
    <row r="199" spans="2:19">
      <c r="B199" s="114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</row>
    <row r="200" spans="2:19">
      <c r="B200" s="114" t="s">
        <v>762</v>
      </c>
      <c r="D200" s="112">
        <f>-D192+D195-D196</f>
        <v>0</v>
      </c>
      <c r="E200" s="112">
        <f t="shared" ref="E200:N200" si="61">-E192+E195-E196</f>
        <v>0</v>
      </c>
      <c r="F200" s="112">
        <f t="shared" si="61"/>
        <v>0</v>
      </c>
      <c r="G200" s="112">
        <f t="shared" si="61"/>
        <v>0</v>
      </c>
      <c r="H200" s="112">
        <f t="shared" si="61"/>
        <v>0</v>
      </c>
      <c r="I200" s="112">
        <f t="shared" si="61"/>
        <v>0</v>
      </c>
      <c r="J200" s="112">
        <f t="shared" si="61"/>
        <v>19900145.277285174</v>
      </c>
      <c r="K200" s="112">
        <f t="shared" si="61"/>
        <v>95853747.141315982</v>
      </c>
      <c r="L200" s="112">
        <f t="shared" si="61"/>
        <v>0</v>
      </c>
      <c r="M200" s="112">
        <f t="shared" si="61"/>
        <v>0</v>
      </c>
      <c r="N200" s="112">
        <f t="shared" si="61"/>
        <v>0</v>
      </c>
    </row>
    <row r="201" spans="2:19">
      <c r="B201" s="114" t="s">
        <v>763</v>
      </c>
      <c r="D201" s="112">
        <f>$Q159-SUM($C203:C203)</f>
        <v>11345206.720403055</v>
      </c>
      <c r="E201" s="112">
        <f>$Q159-SUM($C203:D203)</f>
        <v>11345206.720403055</v>
      </c>
      <c r="F201" s="112">
        <f>$Q159-SUM($C203:E203)</f>
        <v>11345206.720403055</v>
      </c>
      <c r="G201" s="112">
        <f>$Q159-SUM($C203:F203)</f>
        <v>11345206.720403055</v>
      </c>
      <c r="H201" s="112">
        <f>$Q159-SUM($C203:G203)</f>
        <v>11345206.720403055</v>
      </c>
      <c r="I201" s="112">
        <f>$Q159-SUM($C203:H203)</f>
        <v>11345206.720403055</v>
      </c>
      <c r="J201" s="112">
        <f>$Q159-SUM($C203:I203)</f>
        <v>11345206.720403055</v>
      </c>
      <c r="K201" s="112">
        <f>$Q159-SUM($C203:J203)</f>
        <v>0</v>
      </c>
      <c r="L201" s="112">
        <f>$Q159-SUM($C203:K203)</f>
        <v>0</v>
      </c>
      <c r="M201" s="112">
        <f>$Q159-SUM($C203:L203)</f>
        <v>0</v>
      </c>
      <c r="N201" s="112">
        <f>$Q159-SUM($C203:M203)</f>
        <v>0</v>
      </c>
    </row>
    <row r="202" spans="2:19">
      <c r="B202" s="114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334"/>
    </row>
    <row r="203" spans="2:19">
      <c r="B203" s="114" t="s">
        <v>673</v>
      </c>
      <c r="D203" s="112">
        <f t="shared" ref="D203:N203" si="62">IF(D$2&gt;=Phase3begin,MIN(D200,D201),0)</f>
        <v>0</v>
      </c>
      <c r="E203" s="112">
        <f t="shared" si="62"/>
        <v>0</v>
      </c>
      <c r="F203" s="112">
        <f t="shared" si="62"/>
        <v>0</v>
      </c>
      <c r="G203" s="112">
        <f t="shared" si="62"/>
        <v>0</v>
      </c>
      <c r="H203" s="112">
        <f t="shared" si="62"/>
        <v>0</v>
      </c>
      <c r="I203" s="112">
        <f t="shared" si="62"/>
        <v>0</v>
      </c>
      <c r="J203" s="112">
        <f t="shared" si="62"/>
        <v>11345206.720403055</v>
      </c>
      <c r="K203" s="112">
        <f t="shared" si="62"/>
        <v>0</v>
      </c>
      <c r="L203" s="112">
        <f t="shared" si="62"/>
        <v>0</v>
      </c>
      <c r="M203" s="112">
        <f t="shared" si="62"/>
        <v>0</v>
      </c>
      <c r="N203" s="112">
        <f t="shared" si="62"/>
        <v>0</v>
      </c>
    </row>
    <row r="204" spans="2:19">
      <c r="B204" s="114" t="s">
        <v>667</v>
      </c>
      <c r="D204" s="112">
        <f t="shared" ref="D204:N204" si="63">-IF(AND(C205=0,D205&gt;0),$Q157,0)</f>
        <v>0</v>
      </c>
      <c r="E204" s="112">
        <f t="shared" si="63"/>
        <v>0</v>
      </c>
      <c r="F204" s="112">
        <f t="shared" si="63"/>
        <v>0</v>
      </c>
      <c r="G204" s="112">
        <f t="shared" si="63"/>
        <v>0</v>
      </c>
      <c r="H204" s="112">
        <f t="shared" si="63"/>
        <v>0</v>
      </c>
      <c r="I204" s="112">
        <f t="shared" si="63"/>
        <v>0</v>
      </c>
      <c r="J204" s="112">
        <f t="shared" si="63"/>
        <v>-2088173.7139639619</v>
      </c>
      <c r="K204" s="112">
        <f t="shared" si="63"/>
        <v>0</v>
      </c>
      <c r="L204" s="112">
        <f t="shared" si="63"/>
        <v>0</v>
      </c>
      <c r="M204" s="112">
        <f t="shared" si="63"/>
        <v>0</v>
      </c>
      <c r="N204" s="112">
        <f t="shared" si="63"/>
        <v>0</v>
      </c>
      <c r="O204" s="112"/>
    </row>
    <row r="205" spans="2:19">
      <c r="B205" s="114" t="s">
        <v>425</v>
      </c>
      <c r="D205" s="112">
        <f>-(D192-D195+D196+D203)</f>
        <v>0</v>
      </c>
      <c r="E205" s="112">
        <f t="shared" ref="E205:N205" si="64">-(E192-E195+E196+E203)</f>
        <v>0</v>
      </c>
      <c r="F205" s="112">
        <f t="shared" si="64"/>
        <v>0</v>
      </c>
      <c r="G205" s="112">
        <f t="shared" si="64"/>
        <v>0</v>
      </c>
      <c r="H205" s="112">
        <f t="shared" si="64"/>
        <v>0</v>
      </c>
      <c r="I205" s="112">
        <f t="shared" si="64"/>
        <v>0</v>
      </c>
      <c r="J205" s="112">
        <f t="shared" si="64"/>
        <v>8554938.5568821188</v>
      </c>
      <c r="K205" s="112">
        <f t="shared" si="64"/>
        <v>95853747.141315982</v>
      </c>
      <c r="L205" s="112">
        <f t="shared" si="64"/>
        <v>0</v>
      </c>
      <c r="M205" s="112">
        <f t="shared" si="64"/>
        <v>0</v>
      </c>
      <c r="N205" s="112">
        <f t="shared" si="64"/>
        <v>0</v>
      </c>
      <c r="O205" s="112"/>
    </row>
    <row r="206" spans="2:19">
      <c r="B206" s="114" t="s">
        <v>420</v>
      </c>
      <c r="C206" s="114"/>
      <c r="D206" s="112">
        <f>-IF(OR(D$2=Phase3begin,D$2=(phase3stabilizationyear-1),AND(D$2&gt;Phase3begin,D$2&lt;(phase3stabilizationyear-1))),SUM($D205:D205)*$Q156,0)</f>
        <v>0</v>
      </c>
      <c r="E206" s="112">
        <f>-IF(OR(E$2=Phase3begin,E$2=(phase3stabilizationyear-1),AND(E$2&gt;Phase3begin,E$2&lt;(phase3stabilizationyear-1))),SUM($D205:E205)*$Q156,0)</f>
        <v>0</v>
      </c>
      <c r="F206" s="112">
        <f>-IF(OR(F$2=Phase3begin,F$2=(phase3stabilizationyear-1),AND(F$2&gt;Phase3begin,F$2&lt;(phase3stabilizationyear-1))),SUM($D205:F205)*$Q156,0)</f>
        <v>0</v>
      </c>
      <c r="G206" s="112">
        <f>-IF(OR(G$2=Phase3begin,G$2=(phase3stabilizationyear-1),AND(G$2&gt;Phase3begin,G$2&lt;(phase3stabilizationyear-1))),SUM($D205:G205)*$Q156,0)</f>
        <v>0</v>
      </c>
      <c r="H206" s="112">
        <f>-IF(OR(H$2=Phase3begin,H$2=(phase3stabilizationyear-1),AND(H$2&gt;Phase3begin,H$2&lt;(phase3stabilizationyear-1))),SUM($D205:H205)*$Q156,0)</f>
        <v>0</v>
      </c>
      <c r="I206" s="112">
        <f>-IF(OR(I$2=Phase3begin,I$2=(phase3stabilizationyear-1),AND(I$2&gt;Phase3begin,I$2&lt;(phase3stabilizationyear-1))),SUM($D205:I205)*$Q156,0)</f>
        <v>0</v>
      </c>
      <c r="J206" s="112">
        <f>-IF(OR(J$2=Phase3begin,J$2=(phase3stabilizationyear-1),AND(J$2&gt;Phase3begin,J$2&lt;(phase3stabilizationyear-1))),SUM($D205:J205)*$Q156,0)</f>
        <v>-427746.92784410599</v>
      </c>
      <c r="K206" s="112">
        <f>-IF(OR(K$2=Phase3begin,K$2=(phase3stabilizationyear-1),AND(K$2&gt;Phase3begin,K$2&lt;(phase3stabilizationyear-1))),SUM($D205:K205)*$Q156,0)</f>
        <v>-5220434.2849099049</v>
      </c>
      <c r="L206" s="112">
        <f>-IF(OR(L$2=Phase3begin,L$2=(phase3stabilizationyear-1),AND(L$2&gt;Phase3begin,L$2&lt;(phase3stabilizationyear-1))),SUM($D205:L205)*$Q156,0)</f>
        <v>-5220434.2849099049</v>
      </c>
      <c r="M206" s="112">
        <f>-IF(OR(M$2=Phase3begin,M$2=(phase3stabilizationyear-1),AND(M$2&gt;Phase3begin,M$2&lt;(phase3stabilizationyear-1))),SUM($D205:M205)*$Q156,0)</f>
        <v>-5220434.2849099049</v>
      </c>
      <c r="N206" s="112">
        <f>-IF(OR(N$2=Phase3begin,N$2=(phase3stabilizationyear-1),AND(N$2&gt;Phase3begin,N$2&lt;(phase3stabilizationyear-1))),SUM($D205:N205)*$Q156,0)</f>
        <v>0</v>
      </c>
      <c r="O206" s="112"/>
      <c r="S206" s="117"/>
    </row>
    <row r="207" spans="2:19">
      <c r="B207" s="114" t="s">
        <v>421</v>
      </c>
      <c r="C207" s="114"/>
      <c r="D207" s="328">
        <f>-IF(D$2=phase3stabilizationyear,SUM($D205:D205),0)</f>
        <v>0</v>
      </c>
      <c r="E207" s="328">
        <f>-IF(E$2=phase3stabilizationyear,SUM($D205:E205),0)</f>
        <v>0</v>
      </c>
      <c r="F207" s="328">
        <f>-IF(F$2=phase3stabilizationyear,SUM($D205:F205),0)</f>
        <v>0</v>
      </c>
      <c r="G207" s="328">
        <f>-IF(G$2=phase3stabilizationyear,SUM($D205:G205),0)</f>
        <v>0</v>
      </c>
      <c r="H207" s="328">
        <f>-IF(H$2=phase3stabilizationyear,SUM($D205:H205),0)</f>
        <v>0</v>
      </c>
      <c r="I207" s="328">
        <f>-IF(I$2=phase3stabilizationyear,SUM($D205:I205),0)</f>
        <v>0</v>
      </c>
      <c r="J207" s="328">
        <f>-IF(J$2=phase3stabilizationyear,SUM($D205:J205),0)</f>
        <v>0</v>
      </c>
      <c r="K207" s="328">
        <f>-IF(K$2=phase3stabilizationyear,SUM($D205:K205),0)</f>
        <v>0</v>
      </c>
      <c r="L207" s="328">
        <f>-IF(L$2=phase3stabilizationyear,SUM($D205:L205),0)</f>
        <v>0</v>
      </c>
      <c r="M207" s="328">
        <f>-IF(M$2=phase3stabilizationyear,SUM($D205:M205),0)</f>
        <v>0</v>
      </c>
      <c r="N207" s="328">
        <f>-IF(N$2=phase3stabilizationyear,SUM($D205:N205),0)</f>
        <v>-104408685.69819809</v>
      </c>
      <c r="O207" s="328"/>
    </row>
    <row r="209" spans="2:15">
      <c r="B209" s="120" t="s">
        <v>172</v>
      </c>
      <c r="C209" s="114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</row>
    <row r="210" spans="2:15">
      <c r="B210" s="114" t="s">
        <v>447</v>
      </c>
      <c r="C210" s="114"/>
      <c r="D210" s="112">
        <f t="shared" ref="D210:N210" si="65">-IF(D$2=phase3stabilizationyear,$Q177,0)</f>
        <v>0</v>
      </c>
      <c r="E210" s="112">
        <f t="shared" si="65"/>
        <v>0</v>
      </c>
      <c r="F210" s="112">
        <f t="shared" si="65"/>
        <v>0</v>
      </c>
      <c r="G210" s="112">
        <f t="shared" si="65"/>
        <v>0</v>
      </c>
      <c r="H210" s="112">
        <f t="shared" si="65"/>
        <v>0</v>
      </c>
      <c r="I210" s="112">
        <f t="shared" si="65"/>
        <v>0</v>
      </c>
      <c r="J210" s="112">
        <f t="shared" si="65"/>
        <v>0</v>
      </c>
      <c r="K210" s="112">
        <f t="shared" si="65"/>
        <v>0</v>
      </c>
      <c r="L210" s="112">
        <f t="shared" si="65"/>
        <v>0</v>
      </c>
      <c r="M210" s="112">
        <f t="shared" si="65"/>
        <v>0</v>
      </c>
      <c r="N210" s="112">
        <f t="shared" si="65"/>
        <v>-3617678.927352366</v>
      </c>
      <c r="O210" s="112"/>
    </row>
    <row r="211" spans="2:15">
      <c r="B211" s="114" t="s">
        <v>425</v>
      </c>
      <c r="C211" s="114"/>
      <c r="D211" s="112">
        <f t="shared" ref="D211:N211" si="66">IF(D$2=phase3stabilizationyear,$Q172,0)</f>
        <v>0</v>
      </c>
      <c r="E211" s="112">
        <f t="shared" si="66"/>
        <v>0</v>
      </c>
      <c r="F211" s="112">
        <f t="shared" si="66"/>
        <v>0</v>
      </c>
      <c r="G211" s="112">
        <f t="shared" si="66"/>
        <v>0</v>
      </c>
      <c r="H211" s="112">
        <f t="shared" si="66"/>
        <v>0</v>
      </c>
      <c r="I211" s="112">
        <f t="shared" si="66"/>
        <v>0</v>
      </c>
      <c r="J211" s="112">
        <f t="shared" si="66"/>
        <v>0</v>
      </c>
      <c r="K211" s="112">
        <f t="shared" si="66"/>
        <v>0</v>
      </c>
      <c r="L211" s="112">
        <f t="shared" si="66"/>
        <v>0</v>
      </c>
      <c r="M211" s="112">
        <f t="shared" si="66"/>
        <v>0</v>
      </c>
      <c r="N211" s="112">
        <f t="shared" si="66"/>
        <v>180883946.36761829</v>
      </c>
      <c r="O211" s="112"/>
    </row>
    <row r="212" spans="2:15">
      <c r="B212" s="114" t="s">
        <v>445</v>
      </c>
      <c r="C212" s="114"/>
      <c r="D212" s="112">
        <f t="shared" ref="D212:N212" si="67">-IF(D$2&gt;=phase3stabilizationyear,$Q176,0)</f>
        <v>0</v>
      </c>
      <c r="E212" s="112">
        <f t="shared" si="67"/>
        <v>0</v>
      </c>
      <c r="F212" s="112">
        <f t="shared" si="67"/>
        <v>0</v>
      </c>
      <c r="G212" s="112">
        <f t="shared" si="67"/>
        <v>0</v>
      </c>
      <c r="H212" s="112">
        <f t="shared" si="67"/>
        <v>0</v>
      </c>
      <c r="I212" s="112">
        <f t="shared" si="67"/>
        <v>0</v>
      </c>
      <c r="J212" s="112">
        <f t="shared" si="67"/>
        <v>0</v>
      </c>
      <c r="K212" s="112">
        <f t="shared" si="67"/>
        <v>0</v>
      </c>
      <c r="L212" s="112">
        <f t="shared" si="67"/>
        <v>0</v>
      </c>
      <c r="M212" s="112">
        <f t="shared" si="67"/>
        <v>0</v>
      </c>
      <c r="N212" s="112">
        <f t="shared" si="67"/>
        <v>-10678083.464893596</v>
      </c>
      <c r="O212" s="112"/>
    </row>
    <row r="213" spans="2:15">
      <c r="B213" s="114" t="s">
        <v>421</v>
      </c>
      <c r="C213" s="114"/>
      <c r="D213" s="112">
        <f>-IF(D$2=dispositionyear,'p1'!$E$16,0)</f>
        <v>0</v>
      </c>
      <c r="E213" s="112">
        <f>-IF(E$2=dispositionyear,'p1'!$E$16,0)</f>
        <v>0</v>
      </c>
      <c r="F213" s="112">
        <f>-IF(F$2=dispositionyear,'p1'!$E$16,0)</f>
        <v>0</v>
      </c>
      <c r="G213" s="112">
        <f>-IF(G$2=dispositionyear,'p1'!$E$16,0)</f>
        <v>0</v>
      </c>
      <c r="H213" s="112">
        <f>-IF(H$2=dispositionyear,'p1'!$E$16,0)</f>
        <v>0</v>
      </c>
      <c r="I213" s="112">
        <f>-IF(I$2=dispositionyear,'p1'!$E$16,0)</f>
        <v>0</v>
      </c>
      <c r="J213" s="112">
        <f>-IF(J$2=dispositionyear,'p1'!$E$16,0)</f>
        <v>0</v>
      </c>
      <c r="K213" s="112">
        <f>-IF(K$2=dispositionyear,'p1'!$E$16,0)</f>
        <v>0</v>
      </c>
      <c r="L213" s="112">
        <f>-IF(L$2=dispositionyear,'p1'!$E$16,0)</f>
        <v>0</v>
      </c>
      <c r="M213" s="112">
        <f>-IF(M$2=dispositionyear,'p1'!$E$16,0)</f>
        <v>0</v>
      </c>
      <c r="N213" s="112">
        <f>IFERROR(-IF(N$2=dispositionyear,'p3'!$E$16,0),0)</f>
        <v>-177834484.65127456</v>
      </c>
      <c r="O213" s="112"/>
    </row>
    <row r="214" spans="2:15">
      <c r="C214" s="190"/>
    </row>
    <row r="215" spans="2:15">
      <c r="B215" s="107" t="s">
        <v>173</v>
      </c>
      <c r="C215" s="118">
        <f>IRR(D215:N215)</f>
        <v>0.2266121561644534</v>
      </c>
      <c r="D215" s="117">
        <f t="shared" ref="D215:M215" si="68">SUM(D188,D196:D198,D203:D213)</f>
        <v>0</v>
      </c>
      <c r="E215" s="117">
        <f t="shared" si="68"/>
        <v>0</v>
      </c>
      <c r="F215" s="117">
        <f t="shared" si="68"/>
        <v>0</v>
      </c>
      <c r="G215" s="117">
        <f t="shared" si="68"/>
        <v>0</v>
      </c>
      <c r="H215" s="117">
        <f t="shared" si="68"/>
        <v>0</v>
      </c>
      <c r="I215" s="117">
        <f t="shared" si="68"/>
        <v>0</v>
      </c>
      <c r="J215" s="117">
        <f t="shared" si="68"/>
        <v>-77390166.690358922</v>
      </c>
      <c r="K215" s="117">
        <f t="shared" si="68"/>
        <v>-5220434.2849099049</v>
      </c>
      <c r="L215" s="117">
        <f t="shared" si="68"/>
        <v>-2489579.9205581201</v>
      </c>
      <c r="M215" s="117">
        <f t="shared" si="68"/>
        <v>7907558.1337334039</v>
      </c>
      <c r="N215" s="117">
        <f t="shared" ref="N215" si="69">SUM(N188,N196:N198,N203:N213)</f>
        <v>178872971.51503181</v>
      </c>
    </row>
    <row r="216" spans="2:15">
      <c r="B216" s="107"/>
      <c r="C216" s="118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</row>
    <row r="217" spans="2:15">
      <c r="B217" s="106" t="s">
        <v>694</v>
      </c>
      <c r="C217" s="363">
        <f>(ABS(SUMIF(D215:N215,"&gt;0",D215:N215))/C218)/COUNTIF(D215:N215,"&lt;&gt;0")</f>
        <v>0.43896623410802726</v>
      </c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</row>
    <row r="218" spans="2:15">
      <c r="B218" s="106" t="s">
        <v>690</v>
      </c>
      <c r="C218" s="112">
        <f>ABS(SUMIF(D215:N215,"&lt;0",D215:N215))</f>
        <v>85100180.895826951</v>
      </c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</row>
    <row r="219" spans="2:15">
      <c r="B219" s="106" t="s">
        <v>693</v>
      </c>
      <c r="C219" s="112">
        <f>SUMIF(D215:N215,"&gt;0",D215:N215)</f>
        <v>186780529.64876521</v>
      </c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</row>
    <row r="220" spans="2:15">
      <c r="B220" s="106" t="s">
        <v>692</v>
      </c>
      <c r="C220" s="195">
        <f>C219/C218</f>
        <v>2.1948311705401364</v>
      </c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</row>
    <row r="222" spans="2:15">
      <c r="B222" s="218" t="s">
        <v>451</v>
      </c>
      <c r="C222" s="218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</row>
    <row r="224" spans="2:15">
      <c r="B224" s="106" t="s">
        <v>452</v>
      </c>
      <c r="C224" s="118">
        <f>IRR(D224:N224)</f>
        <v>0.10734502105564903</v>
      </c>
      <c r="D224" s="117">
        <f t="shared" ref="D224:N224" si="70">SUM(D42,D115,D188)</f>
        <v>0</v>
      </c>
      <c r="E224" s="117">
        <f t="shared" si="70"/>
        <v>-161670915.41755977</v>
      </c>
      <c r="F224" s="117">
        <f t="shared" si="70"/>
        <v>-182839369.24481449</v>
      </c>
      <c r="G224" s="117">
        <f t="shared" si="70"/>
        <v>-167668651.86376962</v>
      </c>
      <c r="H224" s="117">
        <f t="shared" si="70"/>
        <v>-109373449.05943659</v>
      </c>
      <c r="I224" s="117">
        <f t="shared" si="70"/>
        <v>-94288307.574145213</v>
      </c>
      <c r="J224" s="117">
        <f t="shared" si="70"/>
        <v>31671043.749557003</v>
      </c>
      <c r="K224" s="117">
        <f t="shared" si="70"/>
        <v>39950232.686802432</v>
      </c>
      <c r="L224" s="117">
        <f t="shared" si="70"/>
        <v>63970639.983514249</v>
      </c>
      <c r="M224" s="117">
        <f t="shared" si="70"/>
        <v>75618313.807174459</v>
      </c>
      <c r="N224" s="117">
        <f t="shared" si="70"/>
        <v>1255028902.2605712</v>
      </c>
    </row>
    <row r="225" spans="2:17">
      <c r="B225" s="106" t="s">
        <v>453</v>
      </c>
      <c r="C225" s="118">
        <f>IRR(D225:N225)</f>
        <v>0.22185238677214558</v>
      </c>
      <c r="D225" s="117">
        <f t="shared" ref="D225:N225" si="71">SUM(D69,D142,D215)</f>
        <v>0</v>
      </c>
      <c r="E225" s="117">
        <f t="shared" si="71"/>
        <v>-123162927.80454619</v>
      </c>
      <c r="F225" s="117">
        <f t="shared" si="71"/>
        <v>-11335456.463068062</v>
      </c>
      <c r="G225" s="117">
        <f t="shared" si="71"/>
        <v>-14084920.754468961</v>
      </c>
      <c r="H225" s="117">
        <f t="shared" si="71"/>
        <v>-94150079.100045472</v>
      </c>
      <c r="I225" s="117">
        <f t="shared" si="71"/>
        <v>25367119.503251605</v>
      </c>
      <c r="J225" s="117">
        <f t="shared" si="71"/>
        <v>72908332.748196676</v>
      </c>
      <c r="K225" s="117">
        <f t="shared" si="71"/>
        <v>102749756.58893687</v>
      </c>
      <c r="L225" s="117">
        <f t="shared" si="71"/>
        <v>72440500.048247635</v>
      </c>
      <c r="M225" s="117">
        <f t="shared" si="71"/>
        <v>38224020.220287599</v>
      </c>
      <c r="N225" s="117">
        <f t="shared" si="71"/>
        <v>600556959.00985694</v>
      </c>
    </row>
    <row r="226" spans="2:17">
      <c r="Q226" s="117"/>
    </row>
    <row r="227" spans="2:17">
      <c r="B227" s="106" t="s">
        <v>691</v>
      </c>
      <c r="C227" s="363">
        <f>(ABS(SUMIF(D225:N225,"&gt;0",D225:N225))/C228)/Investmenthorizon</f>
        <v>0.26007175049606579</v>
      </c>
    </row>
    <row r="228" spans="2:17">
      <c r="B228" s="106" t="s">
        <v>690</v>
      </c>
      <c r="C228" s="112">
        <f>SUM(C72,C145,C218)</f>
        <v>350767311.85864693</v>
      </c>
    </row>
    <row r="229" spans="2:17">
      <c r="B229" s="106" t="s">
        <v>693</v>
      </c>
      <c r="C229" s="112">
        <f>SUM(C73,C146,C219)</f>
        <v>1020280615.8552955</v>
      </c>
    </row>
    <row r="230" spans="2:17">
      <c r="B230" s="106" t="s">
        <v>692</v>
      </c>
      <c r="C230" s="364">
        <f>C229/C228</f>
        <v>2.908710650513668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9BB2-078D-4F05-88B6-0E75B0E135A4}">
  <sheetPr>
    <tabColor theme="9" tint="0.59999389629810485"/>
  </sheetPr>
  <dimension ref="B2:V92"/>
  <sheetViews>
    <sheetView showGridLines="0" topLeftCell="N13" zoomScale="85" zoomScaleNormal="85" workbookViewId="0">
      <selection activeCell="S30" sqref="S30"/>
    </sheetView>
  </sheetViews>
  <sheetFormatPr defaultRowHeight="9.5"/>
  <cols>
    <col min="1" max="1" width="8.7265625" style="106"/>
    <col min="2" max="2" width="24.1796875" style="106" bestFit="1" customWidth="1"/>
    <col min="3" max="3" width="1.1796875" style="106" customWidth="1"/>
    <col min="4" max="4" width="8.7265625" style="106"/>
    <col min="5" max="5" width="9" style="106" bestFit="1" customWidth="1"/>
    <col min="6" max="7" width="11.453125" style="106" bestFit="1" customWidth="1"/>
    <col min="8" max="8" width="10.36328125" style="106" bestFit="1" customWidth="1"/>
    <col min="9" max="14" width="11.08984375" style="106" bestFit="1" customWidth="1"/>
    <col min="15" max="15" width="11.7265625" style="106" bestFit="1" customWidth="1"/>
    <col min="16" max="18" width="8.7265625" style="106"/>
    <col min="19" max="19" width="24.54296875" style="106" bestFit="1" customWidth="1"/>
    <col min="20" max="16384" width="8.7265625" style="106"/>
  </cols>
  <sheetData>
    <row r="2" spans="2:22" ht="10" thickBot="1">
      <c r="B2" s="129" t="s">
        <v>175</v>
      </c>
      <c r="C2" s="12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22" ht="10" thickBot="1"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22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22">
      <c r="B5" s="126" t="s">
        <v>89</v>
      </c>
      <c r="D5" s="133">
        <f>Phase1</f>
        <v>1</v>
      </c>
      <c r="G5" s="107" t="s">
        <v>204</v>
      </c>
      <c r="H5" s="133">
        <f>Phase1begin</f>
        <v>1</v>
      </c>
      <c r="J5" s="107" t="s">
        <v>201</v>
      </c>
      <c r="K5" s="136">
        <f>summary!AF12</f>
        <v>3.6238231162130881E-2</v>
      </c>
    </row>
    <row r="6" spans="2:22">
      <c r="B6" s="126" t="s">
        <v>93</v>
      </c>
      <c r="D6" s="130" t="s">
        <v>164</v>
      </c>
      <c r="G6" s="107" t="s">
        <v>205</v>
      </c>
      <c r="H6" s="133">
        <f>Phase1end</f>
        <v>3</v>
      </c>
      <c r="K6" s="127"/>
    </row>
    <row r="7" spans="2:22" ht="10" thickBot="1">
      <c r="B7" s="137"/>
      <c r="C7" s="138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</row>
    <row r="8" spans="2:22">
      <c r="C8" s="120"/>
      <c r="H8" s="196"/>
    </row>
    <row r="9" spans="2:22">
      <c r="B9" s="108" t="s">
        <v>182</v>
      </c>
      <c r="C9" s="108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349354.79999999993</v>
      </c>
      <c r="J9" s="109">
        <f>IF(OR(J$2=$H7,J$2&gt;$H7),INDEX(summary!$A$2:$D$24,MATCH($D6,summary!$A$2:$A$24,0),MATCH($D5,summary!$A$2:$D$2,0)),0)</f>
        <v>349354.79999999993</v>
      </c>
      <c r="K9" s="109">
        <f>IF(OR(K$2=$H7,K$2&gt;$H7),INDEX(summary!$A$2:$D$24,MATCH($D6,summary!$A$2:$A$24,0),MATCH($D5,summary!$A$2:$D$2,0)),0)</f>
        <v>349354.79999999993</v>
      </c>
      <c r="L9" s="109">
        <f>IF(OR(L$2=$H7,L$2&gt;$H7),INDEX(summary!$A$2:$D$24,MATCH($D6,summary!$A$2:$A$24,0),MATCH($D5,summary!$A$2:$D$2,0)),0)</f>
        <v>349354.79999999993</v>
      </c>
      <c r="M9" s="109">
        <f>IF(OR(M$2=$H7,M$2&gt;$H7),INDEX(summary!$A$2:$D$24,MATCH($D6,summary!$A$2:$A$24,0),MATCH($D5,summary!$A$2:$D$2,0)),0)</f>
        <v>349354.79999999993</v>
      </c>
      <c r="N9" s="109">
        <f>IF(OR(N$2=$H7,N$2&gt;$H7),INDEX(summary!$A$2:$D$24,MATCH($D6,summary!$A$2:$A$24,0),MATCH($D5,summary!$A$2:$D$2,0)),0)</f>
        <v>349354.79999999993</v>
      </c>
      <c r="O9" s="109">
        <f>IF(OR(O$2=$H7,O$2&gt;$H7),INDEX(summary!$A$2:$D$24,MATCH($D6,summary!$A$2:$A$24,0),MATCH($D5,summary!$A$2:$D$2,0)),0)</f>
        <v>349354.79999999993</v>
      </c>
    </row>
    <row r="10" spans="2:22">
      <c r="B10" s="108" t="s">
        <v>194</v>
      </c>
      <c r="C10" s="121" t="s">
        <v>191</v>
      </c>
      <c r="D10" s="110">
        <f>INDEX(cockpit!$J$6:$Y$16,MATCH($D6,cockpit!$J$6:$J$16,0),MATCH($C$10,cockpit!$J$6:$Y$6,0))</f>
        <v>0.1</v>
      </c>
      <c r="E10" s="109">
        <f>E9*(1-$D10)</f>
        <v>0</v>
      </c>
      <c r="F10" s="109">
        <f t="shared" ref="F10:O10" si="0">F9*(1-$D10)</f>
        <v>0</v>
      </c>
      <c r="G10" s="109">
        <f t="shared" si="0"/>
        <v>0</v>
      </c>
      <c r="H10" s="109">
        <f t="shared" si="0"/>
        <v>0</v>
      </c>
      <c r="I10" s="109">
        <f t="shared" si="0"/>
        <v>314419.31999999995</v>
      </c>
      <c r="J10" s="109">
        <f t="shared" si="0"/>
        <v>314419.31999999995</v>
      </c>
      <c r="K10" s="109">
        <f t="shared" si="0"/>
        <v>314419.31999999995</v>
      </c>
      <c r="L10" s="109">
        <f t="shared" si="0"/>
        <v>314419.31999999995</v>
      </c>
      <c r="M10" s="109">
        <f t="shared" si="0"/>
        <v>314419.31999999995</v>
      </c>
      <c r="N10" s="109">
        <f t="shared" si="0"/>
        <v>314419.31999999995</v>
      </c>
      <c r="O10" s="109">
        <f t="shared" si="0"/>
        <v>314419.31999999995</v>
      </c>
      <c r="Q10" s="120"/>
    </row>
    <row r="11" spans="2:22">
      <c r="B11" s="108" t="s">
        <v>759</v>
      </c>
      <c r="C11" s="121"/>
      <c r="D11" s="110"/>
      <c r="E11" s="109">
        <f t="shared" ref="E11:O11" si="1">E10/Residentialmarketrateaveragesize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471.04017977528082</v>
      </c>
      <c r="J11" s="109">
        <f t="shared" si="1"/>
        <v>471.04017977528082</v>
      </c>
      <c r="K11" s="109">
        <f t="shared" si="1"/>
        <v>471.04017977528082</v>
      </c>
      <c r="L11" s="109">
        <f t="shared" si="1"/>
        <v>471.04017977528082</v>
      </c>
      <c r="M11" s="109">
        <f t="shared" si="1"/>
        <v>471.04017977528082</v>
      </c>
      <c r="N11" s="109">
        <f t="shared" si="1"/>
        <v>471.04017977528082</v>
      </c>
      <c r="O11" s="109">
        <f t="shared" si="1"/>
        <v>471.04017977528082</v>
      </c>
      <c r="Q11" s="120" t="s">
        <v>219</v>
      </c>
      <c r="R11" s="199">
        <f>O11</f>
        <v>471.04017977528082</v>
      </c>
    </row>
    <row r="12" spans="2:22">
      <c r="B12" s="108" t="s">
        <v>674</v>
      </c>
      <c r="C12" s="121" t="s">
        <v>152</v>
      </c>
      <c r="D12" s="122">
        <f>Residentialmarketraterampup</f>
        <v>0.47499999999999998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149349.17699999997</v>
      </c>
      <c r="J12" s="109">
        <f>IF(OR(J$2=$H7,AND(J$2&gt;$H7,J$2&lt;(SUM($H7,INDEX(cockpit!$J$6:$Y$16,MATCH($D6,cockpit!$J$6:$J$16,0),MATCH($C$12,cockpit!$J$6:$Y$6,0)))))),J10*$D12,0)</f>
        <v>149349.17699999997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  <c r="Q12" s="106" t="s">
        <v>220</v>
      </c>
      <c r="R12" s="199">
        <f>O40</f>
        <v>565.91470972584261</v>
      </c>
    </row>
    <row r="13" spans="2:22">
      <c r="B13" s="108" t="s">
        <v>675</v>
      </c>
      <c r="C13" s="121"/>
      <c r="D13" s="122"/>
      <c r="E13" s="109">
        <f t="shared" ref="E13:O13" si="2">E12/Residentialmarketrateaveragesize</f>
        <v>0</v>
      </c>
      <c r="F13" s="109">
        <f t="shared" si="2"/>
        <v>0</v>
      </c>
      <c r="G13" s="109">
        <f t="shared" si="2"/>
        <v>0</v>
      </c>
      <c r="H13" s="109">
        <f t="shared" si="2"/>
        <v>0</v>
      </c>
      <c r="I13" s="109">
        <f t="shared" si="2"/>
        <v>223.74408539325839</v>
      </c>
      <c r="J13" s="109">
        <f t="shared" si="2"/>
        <v>223.74408539325839</v>
      </c>
      <c r="K13" s="109">
        <f t="shared" si="2"/>
        <v>0</v>
      </c>
      <c r="L13" s="109">
        <f t="shared" si="2"/>
        <v>0</v>
      </c>
      <c r="M13" s="109">
        <f t="shared" si="2"/>
        <v>0</v>
      </c>
      <c r="N13" s="109">
        <f t="shared" si="2"/>
        <v>0</v>
      </c>
      <c r="O13" s="109">
        <f t="shared" si="2"/>
        <v>0</v>
      </c>
      <c r="Q13" s="106" t="s">
        <v>321</v>
      </c>
      <c r="R13" s="199">
        <f>O67</f>
        <v>373.44970786516859</v>
      </c>
    </row>
    <row r="14" spans="2:22">
      <c r="B14" s="108" t="s">
        <v>676</v>
      </c>
      <c r="C14" s="121"/>
      <c r="D14" s="122"/>
      <c r="E14" s="109">
        <f t="shared" ref="E14:O14" si="3">E13/12</f>
        <v>0</v>
      </c>
      <c r="F14" s="109">
        <f t="shared" si="3"/>
        <v>0</v>
      </c>
      <c r="G14" s="109">
        <f t="shared" si="3"/>
        <v>0</v>
      </c>
      <c r="H14" s="109">
        <f t="shared" si="3"/>
        <v>0</v>
      </c>
      <c r="I14" s="109">
        <f t="shared" si="3"/>
        <v>18.645340449438198</v>
      </c>
      <c r="J14" s="109">
        <f t="shared" si="3"/>
        <v>18.645340449438198</v>
      </c>
      <c r="K14" s="109">
        <f t="shared" si="3"/>
        <v>0</v>
      </c>
      <c r="L14" s="109">
        <f t="shared" si="3"/>
        <v>0</v>
      </c>
      <c r="M14" s="109">
        <f t="shared" si="3"/>
        <v>0</v>
      </c>
      <c r="N14" s="109">
        <f t="shared" si="3"/>
        <v>0</v>
      </c>
      <c r="O14" s="109">
        <f t="shared" si="3"/>
        <v>0</v>
      </c>
      <c r="R14" s="199">
        <f>SUM(R11:R13)</f>
        <v>1410.4045973662921</v>
      </c>
      <c r="S14" s="196">
        <f>R14/6</f>
        <v>235.06743289438202</v>
      </c>
      <c r="T14" s="541" t="s">
        <v>843</v>
      </c>
    </row>
    <row r="15" spans="2:22" ht="10.5">
      <c r="B15" s="108" t="s">
        <v>181</v>
      </c>
      <c r="C15" s="121"/>
      <c r="E15" s="109">
        <f>SUM($E12:E12)</f>
        <v>0</v>
      </c>
      <c r="F15" s="109">
        <f>SUM($E12:F12)</f>
        <v>0</v>
      </c>
      <c r="G15" s="109">
        <f>SUM($E12:G12)</f>
        <v>0</v>
      </c>
      <c r="H15" s="109">
        <f>SUM($E12:H12)</f>
        <v>0</v>
      </c>
      <c r="I15" s="109">
        <f>SUM($E12:I12)</f>
        <v>149349.17699999997</v>
      </c>
      <c r="J15" s="109">
        <f>SUM($E12:J12)</f>
        <v>298698.35399999993</v>
      </c>
      <c r="K15" s="109">
        <f>SUM($E12:K12)</f>
        <v>298698.35399999993</v>
      </c>
      <c r="L15" s="109">
        <f>SUM($E12:L12)</f>
        <v>298698.35399999993</v>
      </c>
      <c r="M15" s="109">
        <f>SUM($E12:M12)</f>
        <v>298698.35399999993</v>
      </c>
      <c r="N15" s="109">
        <f>SUM($E12:N12)</f>
        <v>298698.35399999993</v>
      </c>
      <c r="O15" s="109">
        <f>SUM($E12:O12)</f>
        <v>298698.35399999993</v>
      </c>
      <c r="Q15" s="39"/>
      <c r="T15" s="106">
        <v>1</v>
      </c>
      <c r="U15" s="106">
        <v>2</v>
      </c>
      <c r="V15" s="106">
        <v>3</v>
      </c>
    </row>
    <row r="16" spans="2:22">
      <c r="C16" s="121"/>
      <c r="S16" s="106" t="s">
        <v>846</v>
      </c>
      <c r="T16" s="109">
        <v>125223</v>
      </c>
      <c r="U16" s="109">
        <f>T17</f>
        <v>2556</v>
      </c>
      <c r="V16" s="109">
        <f>T18</f>
        <v>235.06743289438202</v>
      </c>
    </row>
    <row r="17" spans="2:20">
      <c r="B17" s="108" t="s">
        <v>166</v>
      </c>
      <c r="C17" s="121"/>
      <c r="D17" s="111">
        <f>(ResidentialmarketratePSFrate*(1-$K5))+((ResidentialmarketratePSFrate*(1+premiumprices)*$K5))</f>
        <v>2.0407946112617519</v>
      </c>
      <c r="E17" s="112">
        <f t="shared" ref="E17:O17" si="4">E15*($D17*((1+Inflation)^(E$2-1)))*12</f>
        <v>0</v>
      </c>
      <c r="F17" s="112">
        <f t="shared" si="4"/>
        <v>0</v>
      </c>
      <c r="G17" s="112">
        <f t="shared" si="4"/>
        <v>0</v>
      </c>
      <c r="H17" s="112">
        <f t="shared" si="4"/>
        <v>0</v>
      </c>
      <c r="I17" s="112">
        <f t="shared" si="4"/>
        <v>3881359.7145331521</v>
      </c>
      <c r="J17" s="112">
        <f t="shared" si="4"/>
        <v>7917973.8176476294</v>
      </c>
      <c r="K17" s="112">
        <f t="shared" si="4"/>
        <v>8076333.2940005818</v>
      </c>
      <c r="L17" s="112">
        <f t="shared" si="4"/>
        <v>8237859.9598805951</v>
      </c>
      <c r="M17" s="112">
        <f t="shared" si="4"/>
        <v>8402617.159078205</v>
      </c>
      <c r="N17" s="112">
        <f t="shared" si="4"/>
        <v>8570669.5022597704</v>
      </c>
      <c r="O17" s="112">
        <f t="shared" si="4"/>
        <v>8742082.8923049644</v>
      </c>
      <c r="S17" s="106" t="s">
        <v>845</v>
      </c>
      <c r="T17" s="109">
        <v>2556</v>
      </c>
    </row>
    <row r="18" spans="2:20">
      <c r="B18" s="108" t="s">
        <v>123</v>
      </c>
      <c r="C18" s="121"/>
      <c r="D18" s="111">
        <f>INDEX(cockpit!$J$6:$Y$16,MATCH($D6,cockpit!$J$6:$J$16,0),MATCH($B18,cockpit!$J$6:$Y$6,0))</f>
        <v>6</v>
      </c>
      <c r="E18" s="113">
        <f t="shared" ref="E18:O18" si="5">-IF($D18&gt;1,E9*($D18*((1+Inflation)^(E$2-1))),E17*(1-$D18))</f>
        <v>0</v>
      </c>
      <c r="F18" s="113">
        <f t="shared" si="5"/>
        <v>0</v>
      </c>
      <c r="G18" s="113">
        <f t="shared" si="5"/>
        <v>0</v>
      </c>
      <c r="H18" s="113">
        <f t="shared" si="5"/>
        <v>0</v>
      </c>
      <c r="I18" s="113">
        <f t="shared" si="5"/>
        <v>-2224428.6515903994</v>
      </c>
      <c r="J18" s="113">
        <f t="shared" si="5"/>
        <v>-2268917.2246222077</v>
      </c>
      <c r="K18" s="113">
        <f t="shared" si="5"/>
        <v>-2314295.5691146515</v>
      </c>
      <c r="L18" s="113">
        <f t="shared" si="5"/>
        <v>-2360581.4804969449</v>
      </c>
      <c r="M18" s="113">
        <f t="shared" si="5"/>
        <v>-2407793.1101068831</v>
      </c>
      <c r="N18" s="113">
        <f t="shared" si="5"/>
        <v>-2455948.9723090213</v>
      </c>
      <c r="O18" s="113">
        <f t="shared" si="5"/>
        <v>-2505067.9517552014</v>
      </c>
      <c r="S18" s="106" t="s">
        <v>844</v>
      </c>
      <c r="T18" s="109">
        <f>S14</f>
        <v>235.06743289438202</v>
      </c>
    </row>
    <row r="19" spans="2:20">
      <c r="B19" s="114" t="s">
        <v>167</v>
      </c>
      <c r="C19" s="121"/>
      <c r="E19" s="112">
        <f>SUM(E17:E18)</f>
        <v>0</v>
      </c>
      <c r="F19" s="112">
        <f t="shared" ref="F19:O19" si="6">SUM(F17:F18)</f>
        <v>0</v>
      </c>
      <c r="G19" s="112">
        <f t="shared" si="6"/>
        <v>0</v>
      </c>
      <c r="H19" s="112">
        <f t="shared" si="6"/>
        <v>0</v>
      </c>
      <c r="I19" s="112">
        <f t="shared" si="6"/>
        <v>1656931.0629427526</v>
      </c>
      <c r="J19" s="112">
        <f t="shared" si="6"/>
        <v>5649056.5930254217</v>
      </c>
      <c r="K19" s="112">
        <f t="shared" si="6"/>
        <v>5762037.7248859303</v>
      </c>
      <c r="L19" s="112">
        <f t="shared" si="6"/>
        <v>5877278.4793836502</v>
      </c>
      <c r="M19" s="112">
        <f t="shared" si="6"/>
        <v>5994824.0489713214</v>
      </c>
      <c r="N19" s="112">
        <f t="shared" si="6"/>
        <v>6114720.5299507491</v>
      </c>
      <c r="O19" s="112">
        <f t="shared" si="6"/>
        <v>6237014.9405497629</v>
      </c>
    </row>
    <row r="20" spans="2:20">
      <c r="C20" s="121"/>
      <c r="E20" s="187">
        <f t="shared" ref="E20:O20" si="7">IFERROR(E19/SUM(E16:E17),0)</f>
        <v>0</v>
      </c>
      <c r="F20" s="187">
        <f t="shared" si="7"/>
        <v>0</v>
      </c>
      <c r="G20" s="187">
        <f t="shared" si="7"/>
        <v>0</v>
      </c>
      <c r="H20" s="187">
        <f t="shared" si="7"/>
        <v>0</v>
      </c>
      <c r="I20" s="187">
        <f t="shared" si="7"/>
        <v>0.42689448667657115</v>
      </c>
      <c r="J20" s="187">
        <f t="shared" si="7"/>
        <v>0.71344724333828546</v>
      </c>
      <c r="K20" s="187">
        <f t="shared" si="7"/>
        <v>0.71344724333828557</v>
      </c>
      <c r="L20" s="187">
        <f t="shared" si="7"/>
        <v>0.71344724333828557</v>
      </c>
      <c r="M20" s="187">
        <f t="shared" si="7"/>
        <v>0.71344724333828546</v>
      </c>
      <c r="N20" s="187">
        <f t="shared" si="7"/>
        <v>0.71344724333828557</v>
      </c>
      <c r="O20" s="187">
        <f t="shared" si="7"/>
        <v>0.71344724333828557</v>
      </c>
      <c r="T20" s="106" t="s">
        <v>850</v>
      </c>
    </row>
    <row r="21" spans="2:20">
      <c r="B21" s="108" t="s">
        <v>168</v>
      </c>
      <c r="C21" s="121"/>
      <c r="D21" s="115">
        <f>INDEX(cockpit!$J$6:$Y$16,MATCH($D6,cockpit!$J$6:$J$16,0),MATCH($B21,cockpit!$J$6:$Y$6,0))</f>
        <v>0.25</v>
      </c>
      <c r="E21" s="112">
        <f>-E10*$D21</f>
        <v>0</v>
      </c>
      <c r="F21" s="112">
        <f t="shared" ref="F21:O21" si="8">-F10*$D21</f>
        <v>0</v>
      </c>
      <c r="G21" s="112">
        <f t="shared" si="8"/>
        <v>0</v>
      </c>
      <c r="H21" s="112">
        <f t="shared" si="8"/>
        <v>0</v>
      </c>
      <c r="I21" s="112">
        <f t="shared" si="8"/>
        <v>-78604.829999999987</v>
      </c>
      <c r="J21" s="112">
        <f t="shared" si="8"/>
        <v>-78604.829999999987</v>
      </c>
      <c r="K21" s="112">
        <f t="shared" si="8"/>
        <v>-78604.829999999987</v>
      </c>
      <c r="L21" s="112">
        <f t="shared" si="8"/>
        <v>-78604.829999999987</v>
      </c>
      <c r="M21" s="112">
        <f t="shared" si="8"/>
        <v>-78604.829999999987</v>
      </c>
      <c r="N21" s="112">
        <f t="shared" si="8"/>
        <v>-78604.829999999987</v>
      </c>
      <c r="O21" s="112">
        <f t="shared" si="8"/>
        <v>-78604.829999999987</v>
      </c>
      <c r="S21" s="106" t="s">
        <v>847</v>
      </c>
      <c r="T21" s="109">
        <v>235</v>
      </c>
    </row>
    <row r="22" spans="2:20">
      <c r="B22" s="108" t="s">
        <v>162</v>
      </c>
      <c r="C22" s="121"/>
      <c r="D22" s="115">
        <f>INDEX(cockpit!$J$6:$Y$16,MATCH($D6,cockpit!$J$6:$J$16,0),MATCH($B22,cockpit!$J$6:$Y$6,0))</f>
        <v>2.5000000000000001E-2</v>
      </c>
      <c r="E22" s="113">
        <f>-E15*$D22</f>
        <v>0</v>
      </c>
      <c r="F22" s="113">
        <f t="shared" ref="F22:O22" si="9">-F15*$D22</f>
        <v>0</v>
      </c>
      <c r="G22" s="113">
        <f t="shared" si="9"/>
        <v>0</v>
      </c>
      <c r="H22" s="113">
        <f t="shared" si="9"/>
        <v>0</v>
      </c>
      <c r="I22" s="113">
        <f t="shared" si="9"/>
        <v>-3733.7294249999995</v>
      </c>
      <c r="J22" s="113">
        <f t="shared" si="9"/>
        <v>-7467.4588499999991</v>
      </c>
      <c r="K22" s="113">
        <f t="shared" si="9"/>
        <v>-7467.4588499999991</v>
      </c>
      <c r="L22" s="113">
        <f t="shared" si="9"/>
        <v>-7467.4588499999991</v>
      </c>
      <c r="M22" s="113">
        <f t="shared" si="9"/>
        <v>-7467.4588499999991</v>
      </c>
      <c r="N22" s="113">
        <f t="shared" si="9"/>
        <v>-7467.4588499999991</v>
      </c>
      <c r="O22" s="113">
        <f t="shared" si="9"/>
        <v>-7467.4588499999991</v>
      </c>
      <c r="S22" s="106" t="s">
        <v>848</v>
      </c>
      <c r="T22" s="109">
        <v>2556</v>
      </c>
    </row>
    <row r="23" spans="2:20">
      <c r="B23" s="114" t="s">
        <v>195</v>
      </c>
      <c r="C23" s="121"/>
      <c r="D23" s="115"/>
      <c r="E23" s="112">
        <f>SUM(E21:E22)</f>
        <v>0</v>
      </c>
      <c r="F23" s="112">
        <f t="shared" ref="F23:O23" si="10">SUM(F21:F22)</f>
        <v>0</v>
      </c>
      <c r="G23" s="112">
        <f t="shared" si="10"/>
        <v>0</v>
      </c>
      <c r="H23" s="112">
        <f t="shared" si="10"/>
        <v>0</v>
      </c>
      <c r="I23" s="112">
        <f t="shared" si="10"/>
        <v>-82338.559424999985</v>
      </c>
      <c r="J23" s="112">
        <f t="shared" si="10"/>
        <v>-86072.288849999983</v>
      </c>
      <c r="K23" s="112">
        <f t="shared" si="10"/>
        <v>-86072.288849999983</v>
      </c>
      <c r="L23" s="112">
        <f t="shared" si="10"/>
        <v>-86072.288849999983</v>
      </c>
      <c r="M23" s="112">
        <f t="shared" si="10"/>
        <v>-86072.288849999983</v>
      </c>
      <c r="N23" s="112">
        <f t="shared" si="10"/>
        <v>-86072.288849999983</v>
      </c>
      <c r="O23" s="112">
        <f t="shared" si="10"/>
        <v>-86072.288849999983</v>
      </c>
      <c r="S23" s="106" t="s">
        <v>849</v>
      </c>
      <c r="T23" s="109">
        <f>125223-T22-T21</f>
        <v>122432</v>
      </c>
    </row>
    <row r="24" spans="2:20">
      <c r="B24" s="108"/>
      <c r="C24" s="121"/>
    </row>
    <row r="25" spans="2:20">
      <c r="B25" s="108" t="s">
        <v>274</v>
      </c>
      <c r="C25" s="121"/>
      <c r="E25" s="206">
        <v>0</v>
      </c>
      <c r="F25" s="216">
        <f>-'acq-demo-repur'!U10</f>
        <v>-266630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</row>
    <row r="26" spans="2:20">
      <c r="B26" s="108" t="s">
        <v>277</v>
      </c>
      <c r="C26" s="121"/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</row>
    <row r="27" spans="2:20">
      <c r="B27" s="108" t="s">
        <v>170</v>
      </c>
      <c r="C27" s="121"/>
      <c r="D27" s="111">
        <f>(ResidentialmarketrateconstructionPSF*(1-$K5))+((ResidentialmarketrateconstructionPSF*(1+premiumprices)*$K5))</f>
        <v>136.22304030172191</v>
      </c>
      <c r="E27" s="112">
        <f>-IF(OR(E$2=$H5,E$2=$H6,AND(E$2&gt;$H5,E$2&lt;$H6)),(INDEX(summary!$A$2:$D$24,MATCH($D6,summary!$A$2:$A$24,0),MATCH($D5,summary!$A$2:$D$2,0)))/constructiontimephase1)*($D27*((1+Inflation)^(E$2-1)))*(1+Developerfee)</f>
        <v>0</v>
      </c>
      <c r="F27" s="112">
        <f>-IF(OR(F$2=$H5,F$2=$H6,AND(F$2&gt;$H5,F$2&lt;$H6)),(INDEX(summary!$A$2:$D$24,MATCH($D6,summary!$A$2:$A$24,0),MATCH($D5,summary!$A$2:$D$2,0)))/constructiontimephase1)*($D27*((1+Inflation)^(F$2-1)))*(1+Developerfee)</f>
        <v>-16339292.729999997</v>
      </c>
      <c r="G27" s="112">
        <f>-IF(OR(G$2=$H5,G$2=$H6,AND(G$2&gt;$H5,G$2&lt;$H6)),(INDEX(summary!$A$2:$D$24,MATCH($D6,summary!$A$2:$A$24,0),MATCH($D5,summary!$A$2:$D$2,0)))/constructiontimephase1)*($D27*((1+Inflation)^(G$2-1)))*(1+Developerfee)</f>
        <v>-16666078.584599996</v>
      </c>
      <c r="H27" s="112">
        <f>-IF(OR(H$2=$H5,H$2=$H6,AND(H$2&gt;$H5,H$2&lt;$H6)),(INDEX(summary!$A$2:$D$24,MATCH($D6,summary!$A$2:$A$24,0),MATCH($D5,summary!$A$2:$D$2,0)))/constructiontimephase1)*($D27*((1+Inflation)^(H$2-1)))*(1+Developerfee)</f>
        <v>-16999400.156291999</v>
      </c>
      <c r="I27" s="112">
        <f>-IF(OR(I$2=$H5,I$2=$H6,AND(I$2&gt;$H5,I$2&lt;$H6)),(INDEX(summary!$A$2:$D$24,MATCH($D6,summary!$A$2:$A$24,0),MATCH($D5,summary!$A$2:$D$2,0)))/constructiontimephase1)*($D27*((1+Inflation)^(I$2-1)))*(1+Developerfee)</f>
        <v>0</v>
      </c>
      <c r="J27" s="112">
        <f>-IF(OR(J$2=$H5,J$2=$H6,AND(J$2&gt;$H5,J$2&lt;$H6)),(INDEX(summary!$A$2:$D$24,MATCH($D6,summary!$A$2:$A$24,0),MATCH($D5,summary!$A$2:$D$2,0)))/constructiontimephase1)*($D27*((1+Inflation)^(J$2-1)))*(1+Developerfee)</f>
        <v>0</v>
      </c>
      <c r="K27" s="112">
        <f>-IF(OR(K$2=$H5,K$2=$H6,AND(K$2&gt;$H5,K$2&lt;$H6)),(INDEX(summary!$A$2:$D$24,MATCH($D6,summary!$A$2:$A$24,0),MATCH($D5,summary!$A$2:$D$2,0)))/constructiontimephase1)*($D27*((1+Inflation)^(K$2-1)))*(1+Developerfee)</f>
        <v>0</v>
      </c>
      <c r="L27" s="112">
        <f>-IF(OR(L$2=$H5,L$2=$H6,AND(L$2&gt;$H5,L$2&lt;$H6)),(INDEX(summary!$A$2:$D$24,MATCH($D6,summary!$A$2:$A$24,0),MATCH($D5,summary!$A$2:$D$2,0)))/constructiontimephase1)*($D27*((1+Inflation)^(L$2-1)))*(1+Developerfee)</f>
        <v>0</v>
      </c>
      <c r="M27" s="112">
        <f>-IF(OR(M$2=$H5,M$2=$H6,AND(M$2&gt;$H5,M$2&lt;$H6)),(INDEX(summary!$A$2:$D$24,MATCH($D6,summary!$A$2:$A$24,0),MATCH($D5,summary!$A$2:$D$2,0)))/constructiontimephase1)*($D27*((1+Inflation)^(M$2-1)))*(1+Developerfee)</f>
        <v>0</v>
      </c>
      <c r="N27" s="112">
        <f>-IF(OR(N$2=$H5,N$2=$H6,AND(N$2&gt;$H5,N$2&lt;$H6)),(INDEX(summary!$A$2:$D$24,MATCH($D6,summary!$A$2:$A$24,0),MATCH($D5,summary!$A$2:$D$2,0)))/constructiontimephase1)*($D27*((1+Inflation)^(N$2-1)))*(1+Developerfee)</f>
        <v>0</v>
      </c>
      <c r="O27" s="112">
        <f>-IF(OR(O$2=$H5,O$2=$H6,AND(O$2&gt;$H5,O$2&lt;$H6)),(INDEX(summary!$A$2:$D$24,MATCH($D6,summary!$A$2:$A$24,0),MATCH($D5,summary!$A$2:$D$2,0)))/constructiontimephase1)*($D27*((1+Inflation)^(O$2-1)))*(1+Developerfee)</f>
        <v>0</v>
      </c>
    </row>
    <row r="28" spans="2:20">
      <c r="B28" s="108" t="s">
        <v>197</v>
      </c>
      <c r="C28" s="121" t="s">
        <v>189</v>
      </c>
      <c r="D28" s="122">
        <f>(INDEX(cockpit!$J$6:$Y$16,MATCH($D6,cockpit!$J$6:$J$16,0),MATCH($C28,cockpit!$J$6:$Y$6,0))*(1-$K5))+((INDEX(cockpit!$J$6:$Y$16,MATCH($D6,cockpit!$J$6:$J$16,0),MATCH($C28,cockpit!$J$6:$Y$6,0))-(Premiumexitcaprate))*$K5)</f>
        <v>6.222821326628402E-2</v>
      </c>
      <c r="E28" s="113">
        <f t="shared" ref="E28:O28" si="11">IF(E$2=dispositionyear,E19/$D28,0)*(1-Closingcosts)</f>
        <v>0</v>
      </c>
      <c r="F28" s="113">
        <f t="shared" si="11"/>
        <v>0</v>
      </c>
      <c r="G28" s="113">
        <f t="shared" si="11"/>
        <v>0</v>
      </c>
      <c r="H28" s="113">
        <f t="shared" si="11"/>
        <v>0</v>
      </c>
      <c r="I28" s="113">
        <f t="shared" si="11"/>
        <v>0</v>
      </c>
      <c r="J28" s="113">
        <f t="shared" si="11"/>
        <v>0</v>
      </c>
      <c r="K28" s="113">
        <f t="shared" si="11"/>
        <v>0</v>
      </c>
      <c r="L28" s="113">
        <f t="shared" si="11"/>
        <v>0</v>
      </c>
      <c r="M28" s="113">
        <f t="shared" si="11"/>
        <v>0</v>
      </c>
      <c r="N28" s="113">
        <f t="shared" si="11"/>
        <v>0</v>
      </c>
      <c r="O28" s="113">
        <f t="shared" si="11"/>
        <v>97722387.448505208</v>
      </c>
    </row>
    <row r="29" spans="2:20">
      <c r="B29" s="114" t="s">
        <v>196</v>
      </c>
      <c r="C29" s="121"/>
      <c r="D29" s="110"/>
      <c r="E29" s="112">
        <f>SUM(E25:E28)</f>
        <v>0</v>
      </c>
      <c r="F29" s="112">
        <f>SUM(F25:F28)</f>
        <v>-16605922.729999997</v>
      </c>
      <c r="G29" s="112">
        <f t="shared" ref="G29:O29" si="12">SUM(G25:G28)</f>
        <v>-16666078.584599996</v>
      </c>
      <c r="H29" s="112">
        <f t="shared" si="12"/>
        <v>-16999400.156291999</v>
      </c>
      <c r="I29" s="112">
        <f t="shared" si="12"/>
        <v>0</v>
      </c>
      <c r="J29" s="112">
        <f t="shared" si="12"/>
        <v>0</v>
      </c>
      <c r="K29" s="112">
        <f t="shared" si="12"/>
        <v>0</v>
      </c>
      <c r="L29" s="112">
        <f t="shared" si="12"/>
        <v>0</v>
      </c>
      <c r="M29" s="112">
        <f t="shared" si="12"/>
        <v>0</v>
      </c>
      <c r="N29" s="112">
        <f t="shared" si="12"/>
        <v>0</v>
      </c>
      <c r="O29" s="112">
        <f t="shared" si="12"/>
        <v>97722387.448505208</v>
      </c>
    </row>
    <row r="30" spans="2:20">
      <c r="B30" s="108"/>
      <c r="C30" s="121"/>
      <c r="D30" s="110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</row>
    <row r="31" spans="2:20">
      <c r="B31" s="114" t="s">
        <v>169</v>
      </c>
      <c r="C31" s="114"/>
      <c r="D31" s="116">
        <f ca="1">IRR(OFFSET(E31,0,0,1,Investmenthorizon+1))</f>
        <v>0.14739694158202843</v>
      </c>
      <c r="E31" s="117">
        <f>SUM(E19,E23,E29)</f>
        <v>0</v>
      </c>
      <c r="F31" s="117">
        <f t="shared" ref="F31:O31" si="13">SUM(F19,F23,F29)</f>
        <v>-16605922.729999997</v>
      </c>
      <c r="G31" s="117">
        <f t="shared" si="13"/>
        <v>-16666078.584599996</v>
      </c>
      <c r="H31" s="117">
        <f t="shared" si="13"/>
        <v>-16999400.156291999</v>
      </c>
      <c r="I31" s="117">
        <f t="shared" si="13"/>
        <v>1574592.5035177525</v>
      </c>
      <c r="J31" s="117">
        <f t="shared" si="13"/>
        <v>5562984.3041754216</v>
      </c>
      <c r="K31" s="117">
        <f t="shared" si="13"/>
        <v>5675965.4360359302</v>
      </c>
      <c r="L31" s="117">
        <f t="shared" si="13"/>
        <v>5791206.1905336501</v>
      </c>
      <c r="M31" s="117">
        <f t="shared" si="13"/>
        <v>5908751.7601213213</v>
      </c>
      <c r="N31" s="117">
        <f t="shared" si="13"/>
        <v>6028648.241100749</v>
      </c>
      <c r="O31" s="117">
        <f t="shared" si="13"/>
        <v>103873330.10020497</v>
      </c>
    </row>
    <row r="32" spans="2:20" ht="10" thickBot="1"/>
    <row r="33" spans="2:17">
      <c r="B33" s="123" t="s">
        <v>198</v>
      </c>
      <c r="C33" s="124"/>
      <c r="D33" s="124"/>
      <c r="E33" s="134"/>
      <c r="F33" s="135"/>
      <c r="G33" s="135"/>
      <c r="H33" s="135"/>
      <c r="I33" s="135"/>
      <c r="J33" s="135"/>
      <c r="K33" s="125"/>
      <c r="L33" s="107"/>
      <c r="M33" s="107"/>
      <c r="N33" s="107"/>
      <c r="O33" s="107"/>
    </row>
    <row r="34" spans="2:17">
      <c r="B34" s="126" t="s">
        <v>89</v>
      </c>
      <c r="D34" s="133">
        <f>Phase2</f>
        <v>2</v>
      </c>
      <c r="G34" s="107" t="s">
        <v>204</v>
      </c>
      <c r="H34" s="133">
        <f>Phase2begin</f>
        <v>4</v>
      </c>
      <c r="J34" s="107" t="s">
        <v>201</v>
      </c>
      <c r="K34" s="136">
        <f>summary!AH12</f>
        <v>0.24265235496572268</v>
      </c>
    </row>
    <row r="35" spans="2:17">
      <c r="B35" s="126" t="s">
        <v>93</v>
      </c>
      <c r="D35" s="130" t="s">
        <v>164</v>
      </c>
      <c r="G35" s="107" t="s">
        <v>205</v>
      </c>
      <c r="H35" s="133">
        <f>Phase2end</f>
        <v>5</v>
      </c>
      <c r="K35" s="127"/>
    </row>
    <row r="36" spans="2:17" ht="10" thickBot="1">
      <c r="B36" s="137"/>
      <c r="C36" s="138"/>
      <c r="D36" s="138"/>
      <c r="E36" s="138"/>
      <c r="F36" s="138"/>
      <c r="G36" s="129" t="s">
        <v>199</v>
      </c>
      <c r="H36" s="131">
        <f>Phase2open</f>
        <v>6</v>
      </c>
      <c r="I36" s="138"/>
      <c r="J36" s="138"/>
      <c r="K36" s="128"/>
    </row>
    <row r="37" spans="2:17">
      <c r="C37" s="120"/>
    </row>
    <row r="38" spans="2:17">
      <c r="B38" s="108" t="s">
        <v>182</v>
      </c>
      <c r="C38" s="108"/>
      <c r="E38" s="109">
        <f>IF(OR(E$2=$H36,E$2&gt;$H36),INDEX(summary!$A$2:$D$24,MATCH($D35,summary!$A$2:$A$24,0),MATCH($D34,summary!$A$2:$D$2,0)),0)</f>
        <v>0</v>
      </c>
      <c r="F38" s="109">
        <f>IF(OR(F$2=$H36,F$2&gt;$H36),INDEX(summary!$A$2:$D$24,MATCH($D35,summary!$A$2:$A$24,0),MATCH($D34,summary!$A$2:$D$2,0)),0)</f>
        <v>0</v>
      </c>
      <c r="G38" s="109">
        <f>IF(OR(G$2=$H36,G$2&gt;$H36),INDEX(summary!$A$2:$D$24,MATCH($D35,summary!$A$2:$A$24,0),MATCH($D34,summary!$A$2:$D$2,0)),0)</f>
        <v>0</v>
      </c>
      <c r="H38" s="109">
        <f>IF(OR(H$2=$H36,H$2&gt;$H36),INDEX(summary!$A$2:$D$24,MATCH($D35,summary!$A$2:$A$24,0),MATCH($D34,summary!$A$2:$D$2,0)),0)</f>
        <v>0</v>
      </c>
      <c r="I38" s="109">
        <f>IF(OR(I$2=$H36,I$2&gt;$H36),INDEX(summary!$A$2:$D$24,MATCH($D35,summary!$A$2:$A$24,0),MATCH($D34,summary!$A$2:$D$2,0)),0)</f>
        <v>0</v>
      </c>
      <c r="J38" s="109">
        <f>IF(OR(J$2=$H36,J$2&gt;$H36),INDEX(summary!$A$2:$D$24,MATCH($D35,summary!$A$2:$A$24,0),MATCH($D34,summary!$A$2:$D$2,0)),0)</f>
        <v>0</v>
      </c>
      <c r="K38" s="109">
        <f>IF(OR(K$2=$H36,K$2&gt;$H36),INDEX(summary!$A$2:$D$24,MATCH($D35,summary!$A$2:$A$24,0),MATCH($D34,summary!$A$2:$D$2,0)),0)</f>
        <v>419720.07637999998</v>
      </c>
      <c r="L38" s="109">
        <f>IF(OR(L$2=$H36,L$2&gt;$H36),INDEX(summary!$A$2:$D$24,MATCH($D35,summary!$A$2:$A$24,0),MATCH($D34,summary!$A$2:$D$2,0)),0)</f>
        <v>419720.07637999998</v>
      </c>
      <c r="M38" s="109">
        <f>IF(OR(M$2=$H36,M$2&gt;$H36),INDEX(summary!$A$2:$D$24,MATCH($D35,summary!$A$2:$A$24,0),MATCH($D34,summary!$A$2:$D$2,0)),0)</f>
        <v>419720.07637999998</v>
      </c>
      <c r="N38" s="109">
        <f>IF(OR(N$2=$H36,N$2&gt;$H36),INDEX(summary!$A$2:$D$24,MATCH($D35,summary!$A$2:$A$24,0),MATCH($D34,summary!$A$2:$D$2,0)),0)</f>
        <v>419720.07637999998</v>
      </c>
      <c r="O38" s="109">
        <f>IF(OR(O$2=$H36,O$2&gt;$H36),INDEX(summary!$A$2:$D$24,MATCH($D35,summary!$A$2:$A$24,0),MATCH($D34,summary!$A$2:$D$2,0)),0)</f>
        <v>419720.07637999998</v>
      </c>
    </row>
    <row r="39" spans="2:17">
      <c r="B39" s="108" t="s">
        <v>194</v>
      </c>
      <c r="C39" s="121" t="s">
        <v>191</v>
      </c>
      <c r="D39" s="110">
        <f>INDEX(cockpit!$J$6:$Y$16,MATCH($D35,cockpit!$J$6:$J$16,0),MATCH($C$10,cockpit!$J$6:$Y$6,0))</f>
        <v>0.1</v>
      </c>
      <c r="E39" s="109">
        <f t="shared" ref="E39:O39" si="14">E38*(1-$D39)</f>
        <v>0</v>
      </c>
      <c r="F39" s="109">
        <f t="shared" si="14"/>
        <v>0</v>
      </c>
      <c r="G39" s="109">
        <f t="shared" si="14"/>
        <v>0</v>
      </c>
      <c r="H39" s="109">
        <f t="shared" si="14"/>
        <v>0</v>
      </c>
      <c r="I39" s="109">
        <f t="shared" si="14"/>
        <v>0</v>
      </c>
      <c r="J39" s="109">
        <f t="shared" si="14"/>
        <v>0</v>
      </c>
      <c r="K39" s="109">
        <f t="shared" si="14"/>
        <v>377748.06874199997</v>
      </c>
      <c r="L39" s="109">
        <f t="shared" si="14"/>
        <v>377748.06874199997</v>
      </c>
      <c r="M39" s="109">
        <f t="shared" si="14"/>
        <v>377748.06874199997</v>
      </c>
      <c r="N39" s="109">
        <f t="shared" si="14"/>
        <v>377748.06874199997</v>
      </c>
      <c r="O39" s="109">
        <f t="shared" si="14"/>
        <v>377748.06874199997</v>
      </c>
    </row>
    <row r="40" spans="2:17">
      <c r="B40" s="108" t="s">
        <v>759</v>
      </c>
      <c r="C40" s="121"/>
      <c r="D40" s="110"/>
      <c r="E40" s="109">
        <f t="shared" ref="E40:O40" si="15">E39/Residentialmarketrateaveragesize</f>
        <v>0</v>
      </c>
      <c r="F40" s="109">
        <f t="shared" si="15"/>
        <v>0</v>
      </c>
      <c r="G40" s="109">
        <f t="shared" si="15"/>
        <v>0</v>
      </c>
      <c r="H40" s="109">
        <f t="shared" si="15"/>
        <v>0</v>
      </c>
      <c r="I40" s="109">
        <f t="shared" si="15"/>
        <v>0</v>
      </c>
      <c r="J40" s="109">
        <f t="shared" si="15"/>
        <v>0</v>
      </c>
      <c r="K40" s="109">
        <f t="shared" si="15"/>
        <v>565.91470972584261</v>
      </c>
      <c r="L40" s="109">
        <f t="shared" si="15"/>
        <v>565.91470972584261</v>
      </c>
      <c r="M40" s="109">
        <f t="shared" si="15"/>
        <v>565.91470972584261</v>
      </c>
      <c r="N40" s="109">
        <f t="shared" si="15"/>
        <v>565.91470972584261</v>
      </c>
      <c r="O40" s="109">
        <f t="shared" si="15"/>
        <v>565.91470972584261</v>
      </c>
      <c r="Q40" s="120"/>
    </row>
    <row r="41" spans="2:17">
      <c r="B41" s="108" t="s">
        <v>674</v>
      </c>
      <c r="C41" s="121" t="s">
        <v>152</v>
      </c>
      <c r="D41" s="122">
        <f>Residentialmarketraterampup</f>
        <v>0.47499999999999998</v>
      </c>
      <c r="E41" s="109">
        <f>IF(OR(E$2=$H36,AND(E$2&gt;$H36,E$2&lt;(SUM($H36,INDEX(cockpit!$J$6:$Y$16,MATCH($D35,cockpit!$J$6:$J$16,0),MATCH($C$12,cockpit!$J$6:$Y$6,0)))))),E39*$D41,0)</f>
        <v>0</v>
      </c>
      <c r="F41" s="109">
        <f>IF(OR(F$2=$H36,AND(F$2&gt;$H36,F$2&lt;(SUM($H36,INDEX(cockpit!$J$6:$Y$16,MATCH($D35,cockpit!$J$6:$J$16,0),MATCH($C$12,cockpit!$J$6:$Y$6,0)))))),F39*$D41,0)</f>
        <v>0</v>
      </c>
      <c r="G41" s="109">
        <f>IF(OR(G$2=$H36,AND(G$2&gt;$H36,G$2&lt;(SUM($H36,INDEX(cockpit!$J$6:$Y$16,MATCH($D35,cockpit!$J$6:$J$16,0),MATCH($C$12,cockpit!$J$6:$Y$6,0)))))),G39*$D41,0)</f>
        <v>0</v>
      </c>
      <c r="H41" s="109">
        <f>IF(OR(H$2=$H36,AND(H$2&gt;$H36,H$2&lt;(SUM($H36,INDEX(cockpit!$J$6:$Y$16,MATCH($D35,cockpit!$J$6:$J$16,0),MATCH($C$12,cockpit!$J$6:$Y$6,0)))))),H39*$D41,0)</f>
        <v>0</v>
      </c>
      <c r="I41" s="109">
        <f>IF(OR(I$2=$H36,AND(I$2&gt;$H36,I$2&lt;(SUM($H36,INDEX(cockpit!$J$6:$Y$16,MATCH($D35,cockpit!$J$6:$J$16,0),MATCH($C$12,cockpit!$J$6:$Y$6,0)))))),I39*$D41,0)</f>
        <v>0</v>
      </c>
      <c r="J41" s="109">
        <f>IF(OR(J$2=$H36,AND(J$2&gt;$H36,J$2&lt;(SUM($H36,INDEX(cockpit!$J$6:$Y$16,MATCH($D35,cockpit!$J$6:$J$16,0),MATCH($C$12,cockpit!$J$6:$Y$6,0)))))),J39*$D41,0)</f>
        <v>0</v>
      </c>
      <c r="K41" s="109">
        <f>IF(OR(K$2=$H36,AND(K$2&gt;$H36,K$2&lt;(SUM($H36,INDEX(cockpit!$J$6:$Y$16,MATCH($D35,cockpit!$J$6:$J$16,0),MATCH($C$12,cockpit!$J$6:$Y$6,0)))))),K39*$D41,0)</f>
        <v>179430.33265244999</v>
      </c>
      <c r="L41" s="109">
        <f>IF(OR(L$2=$H36,AND(L$2&gt;$H36,L$2&lt;(SUM($H36,INDEX(cockpit!$J$6:$Y$16,MATCH($D35,cockpit!$J$6:$J$16,0),MATCH($C$12,cockpit!$J$6:$Y$6,0)))))),L39*$D41,0)</f>
        <v>179430.33265244999</v>
      </c>
      <c r="M41" s="109">
        <f>IF(OR(M$2=$H36,AND(M$2&gt;$H36,M$2&lt;(SUM($H36,INDEX(cockpit!$J$6:$Y$16,MATCH($D35,cockpit!$J$6:$J$16,0),MATCH($C$12,cockpit!$J$6:$Y$6,0)))))),M39*$D41,0)</f>
        <v>0</v>
      </c>
      <c r="N41" s="109">
        <f>IF(OR(N$2=$H36,AND(N$2&gt;$H36,N$2&lt;(SUM($H36,INDEX(cockpit!$J$6:$Y$16,MATCH($D35,cockpit!$J$6:$J$16,0),MATCH($C$12,cockpit!$J$6:$Y$6,0)))))),N39*$D41,0)</f>
        <v>0</v>
      </c>
      <c r="O41" s="109">
        <f>IF(OR(O$2=$H36,AND(O$2&gt;$H36,O$2&lt;(SUM($H36,INDEX(cockpit!$J$6:$Y$16,MATCH($D35,cockpit!$J$6:$J$16,0),MATCH($C$12,cockpit!$J$6:$Y$6,0)))))),O39*$D41,0)</f>
        <v>0</v>
      </c>
    </row>
    <row r="42" spans="2:17">
      <c r="B42" s="108" t="s">
        <v>675</v>
      </c>
      <c r="C42" s="121"/>
      <c r="D42" s="122"/>
      <c r="E42" s="109">
        <f t="shared" ref="E42:O42" si="16">E41/Residentialmarketrateaveragesize</f>
        <v>0</v>
      </c>
      <c r="F42" s="109">
        <f t="shared" si="16"/>
        <v>0</v>
      </c>
      <c r="G42" s="109">
        <f t="shared" si="16"/>
        <v>0</v>
      </c>
      <c r="H42" s="109">
        <f t="shared" si="16"/>
        <v>0</v>
      </c>
      <c r="I42" s="109">
        <f t="shared" si="16"/>
        <v>0</v>
      </c>
      <c r="J42" s="109">
        <f t="shared" si="16"/>
        <v>0</v>
      </c>
      <c r="K42" s="109">
        <f t="shared" si="16"/>
        <v>268.80948711977527</v>
      </c>
      <c r="L42" s="109">
        <f t="shared" si="16"/>
        <v>268.80948711977527</v>
      </c>
      <c r="M42" s="109">
        <f t="shared" si="16"/>
        <v>0</v>
      </c>
      <c r="N42" s="109">
        <f t="shared" si="16"/>
        <v>0</v>
      </c>
      <c r="O42" s="109">
        <f t="shared" si="16"/>
        <v>0</v>
      </c>
    </row>
    <row r="43" spans="2:17">
      <c r="B43" s="108" t="s">
        <v>676</v>
      </c>
      <c r="C43" s="121"/>
      <c r="D43" s="122"/>
      <c r="E43" s="109">
        <f t="shared" ref="E43:O43" si="17">E42/12</f>
        <v>0</v>
      </c>
      <c r="F43" s="109">
        <f t="shared" si="17"/>
        <v>0</v>
      </c>
      <c r="G43" s="109">
        <f t="shared" si="17"/>
        <v>0</v>
      </c>
      <c r="H43" s="109">
        <f t="shared" si="17"/>
        <v>0</v>
      </c>
      <c r="I43" s="109">
        <f t="shared" si="17"/>
        <v>0</v>
      </c>
      <c r="J43" s="109">
        <f t="shared" si="17"/>
        <v>0</v>
      </c>
      <c r="K43" s="109">
        <f t="shared" si="17"/>
        <v>22.400790593314607</v>
      </c>
      <c r="L43" s="109">
        <f t="shared" si="17"/>
        <v>22.400790593314607</v>
      </c>
      <c r="M43" s="109">
        <f t="shared" si="17"/>
        <v>0</v>
      </c>
      <c r="N43" s="109">
        <f t="shared" si="17"/>
        <v>0</v>
      </c>
      <c r="O43" s="109">
        <f t="shared" si="17"/>
        <v>0</v>
      </c>
    </row>
    <row r="44" spans="2:17">
      <c r="B44" s="108" t="s">
        <v>181</v>
      </c>
      <c r="C44" s="121"/>
      <c r="E44" s="109">
        <f>SUM($E41:E41)</f>
        <v>0</v>
      </c>
      <c r="F44" s="109">
        <f>SUM($E41:F41)</f>
        <v>0</v>
      </c>
      <c r="G44" s="109">
        <f>SUM($E41:G41)</f>
        <v>0</v>
      </c>
      <c r="H44" s="109">
        <f>SUM($E41:H41)</f>
        <v>0</v>
      </c>
      <c r="I44" s="109">
        <f>SUM($E41:I41)</f>
        <v>0</v>
      </c>
      <c r="J44" s="109">
        <f>SUM($E41:J41)</f>
        <v>0</v>
      </c>
      <c r="K44" s="109">
        <f>SUM($E41:K41)</f>
        <v>179430.33265244999</v>
      </c>
      <c r="L44" s="109">
        <f>SUM($E41:L41)</f>
        <v>358860.66530489997</v>
      </c>
      <c r="M44" s="109">
        <f>SUM($E41:M41)</f>
        <v>358860.66530489997</v>
      </c>
      <c r="N44" s="109">
        <f>SUM($E41:N41)</f>
        <v>358860.66530489997</v>
      </c>
      <c r="O44" s="109">
        <f>SUM($E41:O41)</f>
        <v>358860.66530489997</v>
      </c>
    </row>
    <row r="45" spans="2:17">
      <c r="C45" s="121"/>
    </row>
    <row r="46" spans="2:17">
      <c r="B46" s="108" t="s">
        <v>166</v>
      </c>
      <c r="C46" s="121"/>
      <c r="D46" s="111">
        <f>(ResidentialmarketratePSFrate*(1-$K34))+((ResidentialmarketratePSFrate*(1+premiumprices)*$K34))</f>
        <v>2.1451613030725563</v>
      </c>
      <c r="E46" s="112">
        <f t="shared" ref="E46:O46" si="18">E44*($D46*((1+Inflation)^(E$2-1)))*12</f>
        <v>0</v>
      </c>
      <c r="F46" s="112">
        <f t="shared" si="18"/>
        <v>0</v>
      </c>
      <c r="G46" s="112">
        <f t="shared" si="18"/>
        <v>0</v>
      </c>
      <c r="H46" s="112">
        <f t="shared" si="18"/>
        <v>0</v>
      </c>
      <c r="I46" s="112">
        <f t="shared" si="18"/>
        <v>0</v>
      </c>
      <c r="J46" s="112">
        <f>(J44*12)*($D46*((1+Inflation)^(J$2-1)))</f>
        <v>0</v>
      </c>
      <c r="K46" s="112">
        <f t="shared" si="18"/>
        <v>5099621.238797239</v>
      </c>
      <c r="L46" s="112">
        <f t="shared" si="18"/>
        <v>10403227.327146366</v>
      </c>
      <c r="M46" s="112">
        <f t="shared" si="18"/>
        <v>10611291.873689292</v>
      </c>
      <c r="N46" s="112">
        <f t="shared" si="18"/>
        <v>10823517.711163081</v>
      </c>
      <c r="O46" s="112">
        <f t="shared" si="18"/>
        <v>11039988.06538634</v>
      </c>
    </row>
    <row r="47" spans="2:17">
      <c r="B47" s="108" t="s">
        <v>123</v>
      </c>
      <c r="C47" s="121"/>
      <c r="D47" s="111">
        <f>INDEX(cockpit!$J$6:$Y$16,MATCH($D35,cockpit!$J$6:$J$16,0),MATCH($B47,cockpit!$J$6:$Y$6,0))</f>
        <v>6</v>
      </c>
      <c r="E47" s="113">
        <f t="shared" ref="E47:O47" si="19">-IF($D47&gt;1,E38*($D47*((1+Inflation)^(E$2-1))),E46*(1-$D47))</f>
        <v>0</v>
      </c>
      <c r="F47" s="113">
        <f t="shared" si="19"/>
        <v>0</v>
      </c>
      <c r="G47" s="113">
        <f t="shared" si="19"/>
        <v>0</v>
      </c>
      <c r="H47" s="113">
        <f t="shared" si="19"/>
        <v>0</v>
      </c>
      <c r="I47" s="113">
        <f t="shared" si="19"/>
        <v>0</v>
      </c>
      <c r="J47" s="113">
        <f t="shared" si="19"/>
        <v>0</v>
      </c>
      <c r="K47" s="113">
        <f t="shared" si="19"/>
        <v>-2780429.2742927745</v>
      </c>
      <c r="L47" s="113">
        <f t="shared" si="19"/>
        <v>-2836037.8597786301</v>
      </c>
      <c r="M47" s="113">
        <f t="shared" si="19"/>
        <v>-2892758.616974202</v>
      </c>
      <c r="N47" s="113">
        <f t="shared" si="19"/>
        <v>-2950613.7893136865</v>
      </c>
      <c r="O47" s="113">
        <f t="shared" si="19"/>
        <v>-3009626.0650999602</v>
      </c>
    </row>
    <row r="48" spans="2:17">
      <c r="B48" s="114" t="s">
        <v>167</v>
      </c>
      <c r="C48" s="121"/>
      <c r="E48" s="112">
        <f t="shared" ref="E48:O48" si="20">SUM(E46:E47)</f>
        <v>0</v>
      </c>
      <c r="F48" s="112">
        <f t="shared" si="20"/>
        <v>0</v>
      </c>
      <c r="G48" s="112">
        <f t="shared" si="20"/>
        <v>0</v>
      </c>
      <c r="H48" s="112">
        <f t="shared" si="20"/>
        <v>0</v>
      </c>
      <c r="I48" s="112">
        <f t="shared" si="20"/>
        <v>0</v>
      </c>
      <c r="J48" s="112">
        <f t="shared" si="20"/>
        <v>0</v>
      </c>
      <c r="K48" s="112">
        <f t="shared" si="20"/>
        <v>2319191.9645044645</v>
      </c>
      <c r="L48" s="112">
        <f t="shared" si="20"/>
        <v>7567189.4673677366</v>
      </c>
      <c r="M48" s="112">
        <f t="shared" si="20"/>
        <v>7718533.25671509</v>
      </c>
      <c r="N48" s="112">
        <f t="shared" si="20"/>
        <v>7872903.9218493942</v>
      </c>
      <c r="O48" s="112">
        <f t="shared" si="20"/>
        <v>8030362.0002863798</v>
      </c>
    </row>
    <row r="49" spans="2:15">
      <c r="C49" s="121"/>
      <c r="E49" s="187">
        <f t="shared" ref="E49:O49" si="21">IFERROR(E48/SUM(E45:E46),0)</f>
        <v>0</v>
      </c>
      <c r="F49" s="187">
        <f t="shared" si="21"/>
        <v>0</v>
      </c>
      <c r="G49" s="187">
        <f t="shared" si="21"/>
        <v>0</v>
      </c>
      <c r="H49" s="187">
        <f t="shared" si="21"/>
        <v>0</v>
      </c>
      <c r="I49" s="187">
        <f t="shared" si="21"/>
        <v>0</v>
      </c>
      <c r="J49" s="187">
        <f t="shared" si="21"/>
        <v>0</v>
      </c>
      <c r="K49" s="187">
        <f t="shared" si="21"/>
        <v>0.4547772973530585</v>
      </c>
      <c r="L49" s="187">
        <f t="shared" si="21"/>
        <v>0.7273886486765293</v>
      </c>
      <c r="M49" s="187">
        <f t="shared" si="21"/>
        <v>0.72738864867652919</v>
      </c>
      <c r="N49" s="187">
        <f t="shared" si="21"/>
        <v>0.72738864867652919</v>
      </c>
      <c r="O49" s="187">
        <f t="shared" si="21"/>
        <v>0.72738864867652919</v>
      </c>
    </row>
    <row r="50" spans="2:15">
      <c r="B50" s="108" t="s">
        <v>168</v>
      </c>
      <c r="C50" s="121"/>
      <c r="D50" s="115">
        <f>INDEX(cockpit!$J$6:$Y$16,MATCH($D35,cockpit!$J$6:$J$16,0),MATCH($B50,cockpit!$J$6:$Y$6,0))</f>
        <v>0.25</v>
      </c>
      <c r="E50" s="112">
        <f>-E39*$D50</f>
        <v>0</v>
      </c>
      <c r="F50" s="112">
        <f t="shared" ref="F50:O50" si="22">-F39*$D50</f>
        <v>0</v>
      </c>
      <c r="G50" s="112">
        <f t="shared" si="22"/>
        <v>0</v>
      </c>
      <c r="H50" s="112">
        <f t="shared" si="22"/>
        <v>0</v>
      </c>
      <c r="I50" s="112">
        <f t="shared" si="22"/>
        <v>0</v>
      </c>
      <c r="J50" s="112">
        <f t="shared" si="22"/>
        <v>0</v>
      </c>
      <c r="K50" s="112">
        <f t="shared" si="22"/>
        <v>-94437.017185499994</v>
      </c>
      <c r="L50" s="112">
        <f t="shared" si="22"/>
        <v>-94437.017185499994</v>
      </c>
      <c r="M50" s="112">
        <f t="shared" si="22"/>
        <v>-94437.017185499994</v>
      </c>
      <c r="N50" s="112">
        <f t="shared" si="22"/>
        <v>-94437.017185499994</v>
      </c>
      <c r="O50" s="112">
        <f t="shared" si="22"/>
        <v>-94437.017185499994</v>
      </c>
    </row>
    <row r="51" spans="2:15">
      <c r="B51" s="108" t="s">
        <v>162</v>
      </c>
      <c r="C51" s="121"/>
      <c r="D51" s="115">
        <f>INDEX(cockpit!$J$6:$Y$16,MATCH($D35,cockpit!$J$6:$J$16,0),MATCH($B51,cockpit!$J$6:$Y$6,0))</f>
        <v>2.5000000000000001E-2</v>
      </c>
      <c r="E51" s="113">
        <f>-E44*$D51</f>
        <v>0</v>
      </c>
      <c r="F51" s="113">
        <f t="shared" ref="F51:O51" si="23">-F44*$D51</f>
        <v>0</v>
      </c>
      <c r="G51" s="113">
        <f t="shared" si="23"/>
        <v>0</v>
      </c>
      <c r="H51" s="113">
        <f t="shared" si="23"/>
        <v>0</v>
      </c>
      <c r="I51" s="113">
        <f t="shared" si="23"/>
        <v>0</v>
      </c>
      <c r="J51" s="113">
        <f t="shared" si="23"/>
        <v>0</v>
      </c>
      <c r="K51" s="113">
        <f t="shared" si="23"/>
        <v>-4485.7583163112495</v>
      </c>
      <c r="L51" s="113">
        <f t="shared" si="23"/>
        <v>-8971.5166326224989</v>
      </c>
      <c r="M51" s="113">
        <f t="shared" si="23"/>
        <v>-8971.5166326224989</v>
      </c>
      <c r="N51" s="113">
        <f t="shared" si="23"/>
        <v>-8971.5166326224989</v>
      </c>
      <c r="O51" s="113">
        <f t="shared" si="23"/>
        <v>-8971.5166326224989</v>
      </c>
    </row>
    <row r="52" spans="2:15">
      <c r="B52" s="114" t="s">
        <v>195</v>
      </c>
      <c r="C52" s="121"/>
      <c r="D52" s="115"/>
      <c r="E52" s="112">
        <f t="shared" ref="E52:O52" si="24">SUM(E50:E51)</f>
        <v>0</v>
      </c>
      <c r="F52" s="112">
        <f t="shared" si="24"/>
        <v>0</v>
      </c>
      <c r="G52" s="112">
        <f t="shared" si="24"/>
        <v>0</v>
      </c>
      <c r="H52" s="112">
        <f t="shared" si="24"/>
        <v>0</v>
      </c>
      <c r="I52" s="112">
        <f t="shared" si="24"/>
        <v>0</v>
      </c>
      <c r="J52" s="112">
        <f t="shared" si="24"/>
        <v>0</v>
      </c>
      <c r="K52" s="112">
        <f t="shared" si="24"/>
        <v>-98922.775501811237</v>
      </c>
      <c r="L52" s="112">
        <f t="shared" si="24"/>
        <v>-103408.53381812249</v>
      </c>
      <c r="M52" s="112">
        <f t="shared" si="24"/>
        <v>-103408.53381812249</v>
      </c>
      <c r="N52" s="112">
        <f t="shared" si="24"/>
        <v>-103408.53381812249</v>
      </c>
      <c r="O52" s="112">
        <f t="shared" si="24"/>
        <v>-103408.53381812249</v>
      </c>
    </row>
    <row r="53" spans="2:15">
      <c r="B53" s="108"/>
      <c r="C53" s="121"/>
    </row>
    <row r="54" spans="2:15">
      <c r="B54" s="108" t="s">
        <v>170</v>
      </c>
      <c r="C54" s="121"/>
      <c r="D54" s="111">
        <f>(ResidentialmarketrateconstructionPSF*(1-$K34))+((ResidentialmarketrateconstructionPSF*(1+premiumprices)*$K34))</f>
        <v>143.18951698009312</v>
      </c>
      <c r="E54" s="112">
        <f>-IF(OR(E$2=$H34,E$2=$H35,AND(E$2&gt;$H34,E$2&lt;$H35)),(INDEX(summary!$A$2:$D$24,MATCH($D35,summary!$A$2:$A$24,0),MATCH($D34,summary!$A$2:$D$2,0)))/constructiontimephase2)*($D54*((1+Inflation)^(E$2-1)))*(1+Developerfee)</f>
        <v>0</v>
      </c>
      <c r="F54" s="112">
        <f>-IF(OR(F$2=$H34,F$2=$H35,AND(F$2&gt;$H34,F$2&lt;$H35)),(INDEX(summary!$A$2:$D$24,MATCH($D35,summary!$A$2:$A$24,0),MATCH($D34,summary!$A$2:$D$2,0)))/constructiontimephase2)*($D54*((1+Inflation)^(F$2-1)))*(1+Developerfee)</f>
        <v>0</v>
      </c>
      <c r="G54" s="112">
        <f>-IF(OR(G$2=$H34,G$2=$H35,AND(G$2&gt;$H34,G$2&lt;$H35)),(INDEX(summary!$A$2:$D$24,MATCH($D35,summary!$A$2:$A$24,0),MATCH($D34,summary!$A$2:$D$2,0)))/constructiontimephase2)*($D54*((1+Inflation)^(G$2-1)))*(1+Developerfee)</f>
        <v>0</v>
      </c>
      <c r="H54" s="112">
        <f>-IF(OR(H$2=$H34,H$2=$H35,AND(H$2&gt;$H34,H$2&lt;$H35)),(INDEX(summary!$A$2:$D$24,MATCH($D35,summary!$A$2:$A$24,0),MATCH($D34,summary!$A$2:$D$2,0)))/constructiontimephase2)*($D54*((1+Inflation)^(H$2-1)))*(1+Developerfee)</f>
        <v>0</v>
      </c>
      <c r="I54" s="112">
        <f>-IF(OR(I$2=$H34,I$2=$H35,AND(I$2&gt;$H34,I$2&lt;$H35)),(INDEX(summary!$A$2:$D$24,MATCH($D35,summary!$A$2:$A$24,0),MATCH($D34,summary!$A$2:$D$2,0)))/constructiontimephase2)*($D54*((1+Inflation)^(I$2-1)))*(1+Developerfee)</f>
        <v>-32845714.350793924</v>
      </c>
      <c r="J54" s="112">
        <f>-IF(OR(J$2=$H34,J$2=$H35,AND(J$2&gt;$H34,J$2&lt;$H35)),(INDEX(summary!$A$2:$D$24,MATCH($D35,summary!$A$2:$A$24,0),MATCH($D34,summary!$A$2:$D$2,0)))/constructiontimephase2)*($D54*((1+Inflation)^(J$2-1)))*(1+Developerfee)</f>
        <v>-33502628.637809802</v>
      </c>
      <c r="K54" s="112">
        <f>-IF(OR(K$2=$H34,K$2=$H35,AND(K$2&gt;$H34,K$2&lt;$H35)),(INDEX(summary!$A$2:$D$24,MATCH($D35,summary!$A$2:$A$24,0),MATCH($D34,summary!$A$2:$D$2,0)))/constructiontimephase2)*($D54*((1+Inflation)^(K$2-1)))*(1+Developerfee)</f>
        <v>0</v>
      </c>
      <c r="L54" s="112">
        <f>-IF(OR(L$2=$H34,L$2=$H35,AND(L$2&gt;$H34,L$2&lt;$H35)),(INDEX(summary!$A$2:$D$24,MATCH($D35,summary!$A$2:$A$24,0),MATCH($D34,summary!$A$2:$D$2,0)))/constructiontimephase2)*($D54*((1+Inflation)^(L$2-1)))*(1+Developerfee)</f>
        <v>0</v>
      </c>
      <c r="M54" s="112">
        <f>-IF(OR(M$2=$H34,M$2=$H35,AND(M$2&gt;$H34,M$2&lt;$H35)),(INDEX(summary!$A$2:$D$24,MATCH($D35,summary!$A$2:$A$24,0),MATCH($D34,summary!$A$2:$D$2,0)))/constructiontimephase2)*($D54*((1+Inflation)^(M$2-1)))*(1+Developerfee)</f>
        <v>0</v>
      </c>
      <c r="N54" s="112">
        <f>-IF(OR(N$2=$H34,N$2=$H35,AND(N$2&gt;$H34,N$2&lt;$H35)),(INDEX(summary!$A$2:$D$24,MATCH($D35,summary!$A$2:$A$24,0),MATCH($D34,summary!$A$2:$D$2,0)))/constructiontimephase2)*($D54*((1+Inflation)^(N$2-1)))*(1+Developerfee)</f>
        <v>0</v>
      </c>
      <c r="O54" s="112">
        <f>-IF(OR(O$2=$H34,O$2=$H35,AND(O$2&gt;$H34,O$2&lt;$H35)),(INDEX(summary!$A$2:$D$24,MATCH($D35,summary!$A$2:$A$24,0),MATCH($D34,summary!$A$2:$D$2,0)))/constructiontimephase2)*($D54*((1+Inflation)^(O$2-1)))*(1+Developerfee)</f>
        <v>0</v>
      </c>
    </row>
    <row r="55" spans="2:15">
      <c r="B55" s="108" t="s">
        <v>197</v>
      </c>
      <c r="C55" s="121" t="s">
        <v>189</v>
      </c>
      <c r="D55" s="122">
        <f>(INDEX(cockpit!$J$6:$Y$16,MATCH($D35,cockpit!$J$6:$J$16,0),MATCH($C55,cockpit!$J$6:$Y$6,0))*(1-$K34))+((INDEX(cockpit!$J$6:$Y$16,MATCH($D35,cockpit!$J$6:$J$16,0),MATCH($C55,cockpit!$J$6:$Y$6,0))-(Premiumexitcaprate))*$K34)</f>
        <v>6.0680107337757083E-2</v>
      </c>
      <c r="E55" s="113">
        <f t="shared" ref="E55:O55" si="25">IF(E$2=dispositionyear,E48/$D55,0)*(1-Closingcosts)</f>
        <v>0</v>
      </c>
      <c r="F55" s="113">
        <f t="shared" si="25"/>
        <v>0</v>
      </c>
      <c r="G55" s="113">
        <f t="shared" si="25"/>
        <v>0</v>
      </c>
      <c r="H55" s="113">
        <f t="shared" si="25"/>
        <v>0</v>
      </c>
      <c r="I55" s="113">
        <f t="shared" si="25"/>
        <v>0</v>
      </c>
      <c r="J55" s="113">
        <f t="shared" si="25"/>
        <v>0</v>
      </c>
      <c r="K55" s="113">
        <f t="shared" si="25"/>
        <v>0</v>
      </c>
      <c r="L55" s="113">
        <f t="shared" si="25"/>
        <v>0</v>
      </c>
      <c r="M55" s="113">
        <f t="shared" si="25"/>
        <v>0</v>
      </c>
      <c r="N55" s="113">
        <f t="shared" si="25"/>
        <v>0</v>
      </c>
      <c r="O55" s="113">
        <f t="shared" si="25"/>
        <v>129030802.57749303</v>
      </c>
    </row>
    <row r="56" spans="2:15">
      <c r="B56" s="114" t="s">
        <v>196</v>
      </c>
      <c r="C56" s="121"/>
      <c r="D56" s="110"/>
      <c r="E56" s="112">
        <f t="shared" ref="E56:O56" si="26">SUM(E54:E55)</f>
        <v>0</v>
      </c>
      <c r="F56" s="112">
        <f t="shared" si="26"/>
        <v>0</v>
      </c>
      <c r="G56" s="112">
        <f t="shared" si="26"/>
        <v>0</v>
      </c>
      <c r="H56" s="112">
        <f t="shared" si="26"/>
        <v>0</v>
      </c>
      <c r="I56" s="112">
        <f t="shared" si="26"/>
        <v>-32845714.350793924</v>
      </c>
      <c r="J56" s="112">
        <f t="shared" si="26"/>
        <v>-33502628.637809802</v>
      </c>
      <c r="K56" s="112">
        <f t="shared" si="26"/>
        <v>0</v>
      </c>
      <c r="L56" s="112">
        <f t="shared" si="26"/>
        <v>0</v>
      </c>
      <c r="M56" s="112">
        <f t="shared" si="26"/>
        <v>0</v>
      </c>
      <c r="N56" s="112">
        <f t="shared" si="26"/>
        <v>0</v>
      </c>
      <c r="O56" s="112">
        <f t="shared" si="26"/>
        <v>129030802.57749303</v>
      </c>
    </row>
    <row r="57" spans="2:15">
      <c r="B57" s="108"/>
      <c r="C57" s="121"/>
      <c r="D57" s="110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</row>
    <row r="58" spans="2:15">
      <c r="B58" s="114" t="s">
        <v>169</v>
      </c>
      <c r="C58" s="114"/>
      <c r="D58" s="116">
        <f ca="1">IRR(OFFSET(E58,0,0,1,Investmenthorizon+1))</f>
        <v>0.19108014360944736</v>
      </c>
      <c r="E58" s="117">
        <f>SUM(E48,E52,E56)</f>
        <v>0</v>
      </c>
      <c r="F58" s="117">
        <f t="shared" ref="F58:O58" si="27">SUM(F48,F52,F56)</f>
        <v>0</v>
      </c>
      <c r="G58" s="117">
        <f t="shared" si="27"/>
        <v>0</v>
      </c>
      <c r="H58" s="117">
        <f t="shared" si="27"/>
        <v>0</v>
      </c>
      <c r="I58" s="117">
        <f t="shared" si="27"/>
        <v>-32845714.350793924</v>
      </c>
      <c r="J58" s="117">
        <f t="shared" si="27"/>
        <v>-33502628.637809802</v>
      </c>
      <c r="K58" s="117">
        <f t="shared" si="27"/>
        <v>2220269.1890026531</v>
      </c>
      <c r="L58" s="117">
        <f t="shared" si="27"/>
        <v>7463780.9335496137</v>
      </c>
      <c r="M58" s="117">
        <f t="shared" si="27"/>
        <v>7615124.7228969671</v>
      </c>
      <c r="N58" s="117">
        <f t="shared" si="27"/>
        <v>7769495.3880312713</v>
      </c>
      <c r="O58" s="117">
        <f t="shared" si="27"/>
        <v>136957756.04396129</v>
      </c>
    </row>
    <row r="59" spans="2:15" ht="10" thickBot="1">
      <c r="C59" s="114"/>
    </row>
    <row r="60" spans="2:15">
      <c r="B60" s="123" t="s">
        <v>198</v>
      </c>
      <c r="C60" s="124"/>
      <c r="D60" s="124"/>
      <c r="E60" s="134"/>
      <c r="F60" s="135"/>
      <c r="G60" s="135"/>
      <c r="H60" s="135"/>
      <c r="I60" s="135"/>
      <c r="J60" s="135"/>
      <c r="K60" s="125"/>
      <c r="L60" s="107"/>
      <c r="M60" s="107"/>
      <c r="N60" s="107"/>
      <c r="O60" s="107"/>
    </row>
    <row r="61" spans="2:15">
      <c r="B61" s="126" t="s">
        <v>89</v>
      </c>
      <c r="D61" s="133">
        <f>Phase3</f>
        <v>3</v>
      </c>
      <c r="G61" s="107" t="s">
        <v>204</v>
      </c>
      <c r="H61" s="133">
        <f>Phase3begin</f>
        <v>6</v>
      </c>
      <c r="J61" s="107" t="s">
        <v>201</v>
      </c>
      <c r="K61" s="136">
        <f>summary!AJ12</f>
        <v>0</v>
      </c>
    </row>
    <row r="62" spans="2:15">
      <c r="B62" s="126" t="s">
        <v>93</v>
      </c>
      <c r="D62" s="130" t="s">
        <v>164</v>
      </c>
      <c r="G62" s="107" t="s">
        <v>205</v>
      </c>
      <c r="H62" s="133">
        <f>Phase3end</f>
        <v>7</v>
      </c>
      <c r="K62" s="127"/>
    </row>
    <row r="63" spans="2:15" ht="10" thickBot="1">
      <c r="B63" s="137"/>
      <c r="C63" s="138"/>
      <c r="D63" s="138"/>
      <c r="E63" s="138"/>
      <c r="F63" s="138"/>
      <c r="G63" s="129" t="s">
        <v>199</v>
      </c>
      <c r="H63" s="131">
        <f>Phase3open</f>
        <v>8</v>
      </c>
      <c r="I63" s="138"/>
      <c r="J63" s="138"/>
      <c r="K63" s="128"/>
    </row>
    <row r="64" spans="2:15">
      <c r="C64" s="120"/>
    </row>
    <row r="65" spans="2:17">
      <c r="B65" s="108" t="s">
        <v>182</v>
      </c>
      <c r="C65" s="108"/>
      <c r="E65" s="109">
        <f>IF(OR(E$2=$H63,E$2&gt;$H63),INDEX(summary!$A$2:$D$24,MATCH($D62,summary!$A$2:$A$24,0),MATCH($D61,summary!$A$2:$D$2,0)),0)</f>
        <v>0</v>
      </c>
      <c r="F65" s="109">
        <f>IF(OR(F$2=$H63,F$2&gt;$H63),INDEX(summary!$A$2:$D$24,MATCH($D62,summary!$A$2:$A$24,0),MATCH($D61,summary!$A$2:$D$2,0)),0)</f>
        <v>0</v>
      </c>
      <c r="G65" s="109">
        <f>IF(OR(G$2=$H63,G$2&gt;$H63),INDEX(summary!$A$2:$D$24,MATCH($D62,summary!$A$2:$A$24,0),MATCH($D61,summary!$A$2:$D$2,0)),0)</f>
        <v>0</v>
      </c>
      <c r="H65" s="109">
        <f>IF(OR(H$2=$H63,H$2&gt;$H63),INDEX(summary!$A$2:$D$24,MATCH($D62,summary!$A$2:$A$24,0),MATCH($D61,summary!$A$2:$D$2,0)),0)</f>
        <v>0</v>
      </c>
      <c r="I65" s="109">
        <f>IF(OR(I$2=$H63,I$2&gt;$H63),INDEX(summary!$A$2:$D$24,MATCH($D62,summary!$A$2:$A$24,0),MATCH($D61,summary!$A$2:$D$2,0)),0)</f>
        <v>0</v>
      </c>
      <c r="J65" s="109">
        <f>IF(OR(J$2=$H63,J$2&gt;$H63),INDEX(summary!$A$2:$D$24,MATCH($D62,summary!$A$2:$A$24,0),MATCH($D61,summary!$A$2:$D$2,0)),0)</f>
        <v>0</v>
      </c>
      <c r="K65" s="109">
        <f>IF(OR(K$2=$H63,K$2&gt;$H63),INDEX(summary!$A$2:$D$24,MATCH($D62,summary!$A$2:$A$24,0),MATCH($D61,summary!$A$2:$D$2,0)),0)</f>
        <v>0</v>
      </c>
      <c r="L65" s="109">
        <f>IF(OR(L$2=$H63,L$2&gt;$H63),INDEX(summary!$A$2:$D$24,MATCH($D62,summary!$A$2:$A$24,0),MATCH($D61,summary!$A$2:$D$2,0)),0)</f>
        <v>0</v>
      </c>
      <c r="M65" s="109">
        <f>IF(OR(M$2=$H63,M$2&gt;$H63),INDEX(summary!$A$2:$D$24,MATCH($D62,summary!$A$2:$A$24,0),MATCH($D61,summary!$A$2:$D$2,0)),0)</f>
        <v>276975.2</v>
      </c>
      <c r="N65" s="109">
        <f>IF(OR(N$2=$H63,N$2&gt;$H63),INDEX(summary!$A$2:$D$24,MATCH($D62,summary!$A$2:$A$24,0),MATCH($D61,summary!$A$2:$D$2,0)),0)</f>
        <v>276975.2</v>
      </c>
      <c r="O65" s="109">
        <f>IF(OR(O$2=$H63,O$2&gt;$H63),INDEX(summary!$A$2:$D$24,MATCH($D62,summary!$A$2:$A$24,0),MATCH($D61,summary!$A$2:$D$2,0)),0)</f>
        <v>276975.2</v>
      </c>
    </row>
    <row r="66" spans="2:17">
      <c r="B66" s="108" t="s">
        <v>194</v>
      </c>
      <c r="C66" s="121" t="s">
        <v>191</v>
      </c>
      <c r="D66" s="110">
        <f>INDEX(cockpit!$J$6:$Y$16,MATCH($D62,cockpit!$J$6:$J$16,0),MATCH($C$10,cockpit!$J$6:$Y$6,0))</f>
        <v>0.1</v>
      </c>
      <c r="E66" s="109">
        <f t="shared" ref="E66:O66" si="28">E65*(1-$D66)</f>
        <v>0</v>
      </c>
      <c r="F66" s="109">
        <f t="shared" si="28"/>
        <v>0</v>
      </c>
      <c r="G66" s="109">
        <f t="shared" si="28"/>
        <v>0</v>
      </c>
      <c r="H66" s="109">
        <f t="shared" si="28"/>
        <v>0</v>
      </c>
      <c r="I66" s="109">
        <f t="shared" si="28"/>
        <v>0</v>
      </c>
      <c r="J66" s="109">
        <f t="shared" si="28"/>
        <v>0</v>
      </c>
      <c r="K66" s="109">
        <f t="shared" si="28"/>
        <v>0</v>
      </c>
      <c r="L66" s="109">
        <f t="shared" si="28"/>
        <v>0</v>
      </c>
      <c r="M66" s="109">
        <f t="shared" si="28"/>
        <v>249277.68000000002</v>
      </c>
      <c r="N66" s="109">
        <f t="shared" si="28"/>
        <v>249277.68000000002</v>
      </c>
      <c r="O66" s="109">
        <f t="shared" si="28"/>
        <v>249277.68000000002</v>
      </c>
    </row>
    <row r="67" spans="2:17">
      <c r="B67" s="108" t="s">
        <v>759</v>
      </c>
      <c r="C67" s="121"/>
      <c r="D67" s="110"/>
      <c r="E67" s="109">
        <f t="shared" ref="E67:O67" si="29">E66/Residentialmarketrateaveragesize</f>
        <v>0</v>
      </c>
      <c r="F67" s="109">
        <f t="shared" si="29"/>
        <v>0</v>
      </c>
      <c r="G67" s="109">
        <f t="shared" si="29"/>
        <v>0</v>
      </c>
      <c r="H67" s="109">
        <f t="shared" si="29"/>
        <v>0</v>
      </c>
      <c r="I67" s="109">
        <f t="shared" si="29"/>
        <v>0</v>
      </c>
      <c r="J67" s="109">
        <f t="shared" si="29"/>
        <v>0</v>
      </c>
      <c r="K67" s="109">
        <f t="shared" si="29"/>
        <v>0</v>
      </c>
      <c r="L67" s="109">
        <f t="shared" si="29"/>
        <v>0</v>
      </c>
      <c r="M67" s="109">
        <f t="shared" si="29"/>
        <v>373.44970786516859</v>
      </c>
      <c r="N67" s="109">
        <f t="shared" si="29"/>
        <v>373.44970786516859</v>
      </c>
      <c r="O67" s="109">
        <f t="shared" si="29"/>
        <v>373.44970786516859</v>
      </c>
      <c r="Q67" s="120"/>
    </row>
    <row r="68" spans="2:17">
      <c r="B68" s="108" t="s">
        <v>674</v>
      </c>
      <c r="C68" s="121" t="s">
        <v>152</v>
      </c>
      <c r="D68" s="122">
        <f>Residentialmarketraterampup</f>
        <v>0.47499999999999998</v>
      </c>
      <c r="E68" s="109">
        <f>IF(OR(E$2=$H63,AND(E$2&gt;$H63,E$2&lt;(SUM($H63,INDEX(cockpit!$J$6:$Y$16,MATCH($D62,cockpit!$J$6:$J$16,0),MATCH($C$12,cockpit!$J$6:$Y$6,0)))))),E66*$D68,0)</f>
        <v>0</v>
      </c>
      <c r="F68" s="109">
        <f>IF(OR(F$2=$H63,AND(F$2&gt;$H63,F$2&lt;(SUM($H63,INDEX(cockpit!$J$6:$Y$16,MATCH($D62,cockpit!$J$6:$J$16,0),MATCH($C$12,cockpit!$J$6:$Y$6,0)))))),F66*$D68,0)</f>
        <v>0</v>
      </c>
      <c r="G68" s="109">
        <f>IF(OR(G$2=$H63,AND(G$2&gt;$H63,G$2&lt;(SUM($H63,INDEX(cockpit!$J$6:$Y$16,MATCH($D62,cockpit!$J$6:$J$16,0),MATCH($C$12,cockpit!$J$6:$Y$6,0)))))),G66*$D68,0)</f>
        <v>0</v>
      </c>
      <c r="H68" s="109">
        <f>IF(OR(H$2=$H63,AND(H$2&gt;$H63,H$2&lt;(SUM($H63,INDEX(cockpit!$J$6:$Y$16,MATCH($D62,cockpit!$J$6:$J$16,0),MATCH($C$12,cockpit!$J$6:$Y$6,0)))))),H66*$D68,0)</f>
        <v>0</v>
      </c>
      <c r="I68" s="109">
        <f>IF(OR(I$2=$H63,AND(I$2&gt;$H63,I$2&lt;(SUM($H63,INDEX(cockpit!$J$6:$Y$16,MATCH($D62,cockpit!$J$6:$J$16,0),MATCH($C$12,cockpit!$J$6:$Y$6,0)))))),I66*$D68,0)</f>
        <v>0</v>
      </c>
      <c r="J68" s="109">
        <f>IF(OR(J$2=$H63,AND(J$2&gt;$H63,J$2&lt;(SUM($H63,INDEX(cockpit!$J$6:$Y$16,MATCH($D62,cockpit!$J$6:$J$16,0),MATCH($C$12,cockpit!$J$6:$Y$6,0)))))),J66*$D68,0)</f>
        <v>0</v>
      </c>
      <c r="K68" s="109">
        <f>IF(OR(K$2=$H63,AND(K$2&gt;$H63,K$2&lt;(SUM($H63,INDEX(cockpit!$J$6:$Y$16,MATCH($D62,cockpit!$J$6:$J$16,0),MATCH($C$12,cockpit!$J$6:$Y$6,0)))))),K66*$D68,0)</f>
        <v>0</v>
      </c>
      <c r="L68" s="109">
        <f>IF(OR(L$2=$H63,AND(L$2&gt;$H63,L$2&lt;(SUM($H63,INDEX(cockpit!$J$6:$Y$16,MATCH($D62,cockpit!$J$6:$J$16,0),MATCH($C$12,cockpit!$J$6:$Y$6,0)))))),L66*$D68,0)</f>
        <v>0</v>
      </c>
      <c r="M68" s="109">
        <f>IF(OR(M$2=$H63,AND(M$2&gt;$H63,M$2&lt;(SUM($H63,INDEX(cockpit!$J$6:$Y$16,MATCH($D62,cockpit!$J$6:$J$16,0),MATCH($C$12,cockpit!$J$6:$Y$6,0)))))),M66*$D68,0)</f>
        <v>118406.898</v>
      </c>
      <c r="N68" s="109">
        <f>IF(OR(N$2=$H63,AND(N$2&gt;$H63,N$2&lt;(SUM($H63,INDEX(cockpit!$J$6:$Y$16,MATCH($D62,cockpit!$J$6:$J$16,0),MATCH($C$12,cockpit!$J$6:$Y$6,0)))))),N66*$D68,0)</f>
        <v>118406.898</v>
      </c>
      <c r="O68" s="109">
        <f>IF(OR(O$2=$H63,AND(O$2&gt;$H63,O$2&lt;(SUM($H63,INDEX(cockpit!$J$6:$Y$16,MATCH($D62,cockpit!$J$6:$J$16,0),MATCH($C$12,cockpit!$J$6:$Y$6,0)))))),O66*$D68,0)</f>
        <v>0</v>
      </c>
    </row>
    <row r="69" spans="2:17">
      <c r="B69" s="108" t="s">
        <v>675</v>
      </c>
      <c r="C69" s="121"/>
      <c r="D69" s="122"/>
      <c r="E69" s="109">
        <f t="shared" ref="E69:O69" si="30">E68/Residentialmarketrateaveragesize</f>
        <v>0</v>
      </c>
      <c r="F69" s="109">
        <f t="shared" si="30"/>
        <v>0</v>
      </c>
      <c r="G69" s="109">
        <f t="shared" si="30"/>
        <v>0</v>
      </c>
      <c r="H69" s="109">
        <f t="shared" si="30"/>
        <v>0</v>
      </c>
      <c r="I69" s="109">
        <f t="shared" si="30"/>
        <v>0</v>
      </c>
      <c r="J69" s="109">
        <f t="shared" si="30"/>
        <v>0</v>
      </c>
      <c r="K69" s="109">
        <f t="shared" si="30"/>
        <v>0</v>
      </c>
      <c r="L69" s="109">
        <f t="shared" si="30"/>
        <v>0</v>
      </c>
      <c r="M69" s="109">
        <f t="shared" si="30"/>
        <v>177.38861123595507</v>
      </c>
      <c r="N69" s="109">
        <f t="shared" si="30"/>
        <v>177.38861123595507</v>
      </c>
      <c r="O69" s="109">
        <f t="shared" si="30"/>
        <v>0</v>
      </c>
    </row>
    <row r="70" spans="2:17">
      <c r="B70" s="108" t="s">
        <v>676</v>
      </c>
      <c r="C70" s="121"/>
      <c r="D70" s="122"/>
      <c r="E70" s="109">
        <f t="shared" ref="E70:O70" si="31">E69/12</f>
        <v>0</v>
      </c>
      <c r="F70" s="109">
        <f t="shared" si="31"/>
        <v>0</v>
      </c>
      <c r="G70" s="109">
        <f t="shared" si="31"/>
        <v>0</v>
      </c>
      <c r="H70" s="109">
        <f t="shared" si="31"/>
        <v>0</v>
      </c>
      <c r="I70" s="109">
        <f t="shared" si="31"/>
        <v>0</v>
      </c>
      <c r="J70" s="109">
        <f t="shared" si="31"/>
        <v>0</v>
      </c>
      <c r="K70" s="109">
        <f t="shared" si="31"/>
        <v>0</v>
      </c>
      <c r="L70" s="109">
        <f t="shared" si="31"/>
        <v>0</v>
      </c>
      <c r="M70" s="109">
        <f t="shared" si="31"/>
        <v>14.782384269662922</v>
      </c>
      <c r="N70" s="109">
        <f t="shared" si="31"/>
        <v>14.782384269662922</v>
      </c>
      <c r="O70" s="109">
        <f t="shared" si="31"/>
        <v>0</v>
      </c>
    </row>
    <row r="71" spans="2:17">
      <c r="B71" s="108" t="s">
        <v>181</v>
      </c>
      <c r="C71" s="121"/>
      <c r="E71" s="109">
        <f>SUM($E68:E68)</f>
        <v>0</v>
      </c>
      <c r="F71" s="109">
        <f>SUM($E68:F68)</f>
        <v>0</v>
      </c>
      <c r="G71" s="109">
        <f>SUM($E68:G68)</f>
        <v>0</v>
      </c>
      <c r="H71" s="109">
        <f>SUM($E68:H68)</f>
        <v>0</v>
      </c>
      <c r="I71" s="109">
        <f>SUM($E68:I68)</f>
        <v>0</v>
      </c>
      <c r="J71" s="109">
        <f>SUM($E68:J68)</f>
        <v>0</v>
      </c>
      <c r="K71" s="109">
        <f>SUM($E68:K68)</f>
        <v>0</v>
      </c>
      <c r="L71" s="109">
        <f>SUM($E68:L68)</f>
        <v>0</v>
      </c>
      <c r="M71" s="109">
        <f>SUM($E68:M68)</f>
        <v>118406.898</v>
      </c>
      <c r="N71" s="109">
        <f>SUM($E68:N68)</f>
        <v>236813.796</v>
      </c>
      <c r="O71" s="109">
        <f>SUM($E68:O68)</f>
        <v>236813.796</v>
      </c>
    </row>
    <row r="72" spans="2:17">
      <c r="C72" s="121"/>
    </row>
    <row r="73" spans="2:17">
      <c r="B73" s="108" t="s">
        <v>166</v>
      </c>
      <c r="C73" s="121"/>
      <c r="D73" s="111">
        <f>(ResidentialmarketratePSFrate*(1-$K61))+((ResidentialmarketratePSFrate*(1+premiumprices)*$K61))</f>
        <v>2.0224719101123596</v>
      </c>
      <c r="E73" s="112">
        <f t="shared" ref="E73:O73" si="32">E71*($D73*((1+Inflation)^(E$2-1)))*12</f>
        <v>0</v>
      </c>
      <c r="F73" s="112">
        <f t="shared" si="32"/>
        <v>0</v>
      </c>
      <c r="G73" s="112">
        <f t="shared" si="32"/>
        <v>0</v>
      </c>
      <c r="H73" s="112">
        <f t="shared" si="32"/>
        <v>0</v>
      </c>
      <c r="I73" s="112">
        <f t="shared" si="32"/>
        <v>0</v>
      </c>
      <c r="J73" s="112">
        <f t="shared" si="32"/>
        <v>0</v>
      </c>
      <c r="K73" s="112">
        <f t="shared" si="32"/>
        <v>0</v>
      </c>
      <c r="L73" s="112">
        <f t="shared" si="32"/>
        <v>0</v>
      </c>
      <c r="M73" s="112">
        <f t="shared" si="32"/>
        <v>3300972.8363614152</v>
      </c>
      <c r="N73" s="112">
        <f t="shared" si="32"/>
        <v>6733984.5861772886</v>
      </c>
      <c r="O73" s="112">
        <f t="shared" si="32"/>
        <v>6868664.2779008355</v>
      </c>
    </row>
    <row r="74" spans="2:17">
      <c r="B74" s="108" t="s">
        <v>123</v>
      </c>
      <c r="C74" s="121"/>
      <c r="D74" s="111">
        <f>INDEX(cockpit!$J$6:$Y$16,MATCH($D62,cockpit!$J$6:$J$16,0),MATCH($B74,cockpit!$J$6:$Y$6,0))</f>
        <v>6</v>
      </c>
      <c r="E74" s="113">
        <f t="shared" ref="E74:O74" si="33">-IF($D74&gt;1,E65*($D74*((1+Inflation)^(E$2-1))),E73*(1-$D74))</f>
        <v>0</v>
      </c>
      <c r="F74" s="113">
        <f t="shared" si="33"/>
        <v>0</v>
      </c>
      <c r="G74" s="113">
        <f t="shared" si="33"/>
        <v>0</v>
      </c>
      <c r="H74" s="113">
        <f t="shared" si="33"/>
        <v>0</v>
      </c>
      <c r="I74" s="113">
        <f t="shared" si="33"/>
        <v>0</v>
      </c>
      <c r="J74" s="113">
        <f t="shared" si="33"/>
        <v>0</v>
      </c>
      <c r="K74" s="113">
        <f t="shared" si="33"/>
        <v>0</v>
      </c>
      <c r="L74" s="113">
        <f t="shared" si="33"/>
        <v>0</v>
      </c>
      <c r="M74" s="113">
        <f t="shared" si="33"/>
        <v>-1908944.6552057569</v>
      </c>
      <c r="N74" s="113">
        <f t="shared" si="33"/>
        <v>-1947123.5483098724</v>
      </c>
      <c r="O74" s="113">
        <f t="shared" si="33"/>
        <v>-1986066.0192760697</v>
      </c>
    </row>
    <row r="75" spans="2:17">
      <c r="B75" s="114" t="s">
        <v>167</v>
      </c>
      <c r="C75" s="121"/>
      <c r="E75" s="112">
        <f t="shared" ref="E75:O75" si="34">SUM(E73:E74)</f>
        <v>0</v>
      </c>
      <c r="F75" s="112">
        <f t="shared" si="34"/>
        <v>0</v>
      </c>
      <c r="G75" s="112">
        <f t="shared" si="34"/>
        <v>0</v>
      </c>
      <c r="H75" s="112">
        <f t="shared" si="34"/>
        <v>0</v>
      </c>
      <c r="I75" s="112">
        <f t="shared" si="34"/>
        <v>0</v>
      </c>
      <c r="J75" s="112">
        <f t="shared" si="34"/>
        <v>0</v>
      </c>
      <c r="K75" s="112">
        <f t="shared" si="34"/>
        <v>0</v>
      </c>
      <c r="L75" s="112">
        <f t="shared" si="34"/>
        <v>0</v>
      </c>
      <c r="M75" s="112">
        <f t="shared" si="34"/>
        <v>1392028.1811556583</v>
      </c>
      <c r="N75" s="112">
        <f t="shared" si="34"/>
        <v>4786861.0378674157</v>
      </c>
      <c r="O75" s="112">
        <f t="shared" si="34"/>
        <v>4882598.258624766</v>
      </c>
    </row>
    <row r="76" spans="2:17">
      <c r="C76" s="121"/>
      <c r="E76" s="187">
        <f t="shared" ref="E76:O76" si="35">IFERROR(E75/SUM(E72:E73),0)</f>
        <v>0</v>
      </c>
      <c r="F76" s="187">
        <f t="shared" si="35"/>
        <v>0</v>
      </c>
      <c r="G76" s="187">
        <f t="shared" si="35"/>
        <v>0</v>
      </c>
      <c r="H76" s="187">
        <f t="shared" si="35"/>
        <v>0</v>
      </c>
      <c r="I76" s="187">
        <f t="shared" si="35"/>
        <v>0</v>
      </c>
      <c r="J76" s="187">
        <f t="shared" si="35"/>
        <v>0</v>
      </c>
      <c r="K76" s="187">
        <f t="shared" si="35"/>
        <v>0</v>
      </c>
      <c r="L76" s="187">
        <f t="shared" si="35"/>
        <v>0</v>
      </c>
      <c r="M76" s="187">
        <f t="shared" si="35"/>
        <v>0.42170240415854443</v>
      </c>
      <c r="N76" s="187">
        <f t="shared" si="35"/>
        <v>0.71085120207927222</v>
      </c>
      <c r="O76" s="187">
        <f t="shared" si="35"/>
        <v>0.71085120207927233</v>
      </c>
    </row>
    <row r="77" spans="2:17">
      <c r="B77" s="108" t="s">
        <v>168</v>
      </c>
      <c r="C77" s="121"/>
      <c r="D77" s="115">
        <f>INDEX(cockpit!$J$6:$Y$16,MATCH($D62,cockpit!$J$6:$J$16,0),MATCH($B77,cockpit!$J$6:$Y$6,0))</f>
        <v>0.25</v>
      </c>
      <c r="E77" s="112">
        <f>-E66*$D77</f>
        <v>0</v>
      </c>
      <c r="F77" s="112">
        <f t="shared" ref="F77:O77" si="36">-F66*$D77</f>
        <v>0</v>
      </c>
      <c r="G77" s="112">
        <f t="shared" si="36"/>
        <v>0</v>
      </c>
      <c r="H77" s="112">
        <f t="shared" si="36"/>
        <v>0</v>
      </c>
      <c r="I77" s="112">
        <f t="shared" si="36"/>
        <v>0</v>
      </c>
      <c r="J77" s="112">
        <f t="shared" si="36"/>
        <v>0</v>
      </c>
      <c r="K77" s="112">
        <f t="shared" si="36"/>
        <v>0</v>
      </c>
      <c r="L77" s="112">
        <f t="shared" si="36"/>
        <v>0</v>
      </c>
      <c r="M77" s="112">
        <f t="shared" si="36"/>
        <v>-62319.420000000006</v>
      </c>
      <c r="N77" s="112">
        <f t="shared" si="36"/>
        <v>-62319.420000000006</v>
      </c>
      <c r="O77" s="112">
        <f t="shared" si="36"/>
        <v>-62319.420000000006</v>
      </c>
    </row>
    <row r="78" spans="2:17">
      <c r="B78" s="108" t="s">
        <v>162</v>
      </c>
      <c r="C78" s="121"/>
      <c r="D78" s="115">
        <f>INDEX(cockpit!$J$6:$Y$16,MATCH($D62,cockpit!$J$6:$J$16,0),MATCH($B78,cockpit!$J$6:$Y$6,0))</f>
        <v>2.5000000000000001E-2</v>
      </c>
      <c r="E78" s="113">
        <f>-E71*$D78</f>
        <v>0</v>
      </c>
      <c r="F78" s="113">
        <f t="shared" ref="F78:O78" si="37">-F71*$D78</f>
        <v>0</v>
      </c>
      <c r="G78" s="113">
        <f t="shared" si="37"/>
        <v>0</v>
      </c>
      <c r="H78" s="113">
        <f t="shared" si="37"/>
        <v>0</v>
      </c>
      <c r="I78" s="113">
        <f t="shared" si="37"/>
        <v>0</v>
      </c>
      <c r="J78" s="113">
        <f t="shared" si="37"/>
        <v>0</v>
      </c>
      <c r="K78" s="113">
        <f t="shared" si="37"/>
        <v>0</v>
      </c>
      <c r="L78" s="113">
        <f t="shared" si="37"/>
        <v>0</v>
      </c>
      <c r="M78" s="113">
        <f t="shared" si="37"/>
        <v>-2960.17245</v>
      </c>
      <c r="N78" s="113">
        <f t="shared" si="37"/>
        <v>-5920.3449000000001</v>
      </c>
      <c r="O78" s="113">
        <f t="shared" si="37"/>
        <v>-5920.3449000000001</v>
      </c>
    </row>
    <row r="79" spans="2:17">
      <c r="B79" s="114" t="s">
        <v>195</v>
      </c>
      <c r="C79" s="121"/>
      <c r="D79" s="115"/>
      <c r="E79" s="112">
        <f t="shared" ref="E79:O79" si="38">SUM(E77:E78)</f>
        <v>0</v>
      </c>
      <c r="F79" s="112">
        <f t="shared" si="38"/>
        <v>0</v>
      </c>
      <c r="G79" s="112">
        <f t="shared" si="38"/>
        <v>0</v>
      </c>
      <c r="H79" s="112">
        <f t="shared" si="38"/>
        <v>0</v>
      </c>
      <c r="I79" s="112">
        <f t="shared" si="38"/>
        <v>0</v>
      </c>
      <c r="J79" s="112">
        <f t="shared" si="38"/>
        <v>0</v>
      </c>
      <c r="K79" s="112">
        <f t="shared" si="38"/>
        <v>0</v>
      </c>
      <c r="L79" s="112">
        <f t="shared" si="38"/>
        <v>0</v>
      </c>
      <c r="M79" s="112">
        <f t="shared" si="38"/>
        <v>-65279.592450000004</v>
      </c>
      <c r="N79" s="112">
        <f t="shared" si="38"/>
        <v>-68239.764900000009</v>
      </c>
      <c r="O79" s="112">
        <f t="shared" si="38"/>
        <v>-68239.764900000009</v>
      </c>
    </row>
    <row r="80" spans="2:17">
      <c r="B80" s="108"/>
      <c r="C80" s="121"/>
    </row>
    <row r="81" spans="2:15">
      <c r="B81" s="108" t="s">
        <v>170</v>
      </c>
      <c r="C81" s="121"/>
      <c r="D81" s="111">
        <f>(ResidentialmarketrateconstructionPSF*(1-$K61))+((ResidentialmarketrateconstructionPSF*(1+premiumprices)*$K61))</f>
        <v>135</v>
      </c>
      <c r="E81" s="112">
        <f>-IF(OR(E$2=$H61,E$2=$H62,AND(E$2&gt;$H61,E$2&lt;$H62)),(INDEX(summary!$A$2:$D$24,MATCH($D62,summary!$A$2:$A$24,0),MATCH($D61,summary!$A$2:$D$2,0)))/constructiontimephase3)*($D81*((1+Inflation)^(E$2-1)))*(1+Developerfee)</f>
        <v>0</v>
      </c>
      <c r="F81" s="112">
        <f>-IF(OR(F$2=$H61,F$2=$H62,AND(F$2&gt;$H61,F$2&lt;$H62)),(INDEX(summary!$A$2:$D$24,MATCH($D62,summary!$A$2:$A$24,0),MATCH($D61,summary!$A$2:$D$2,0)))/constructiontimephase3)*($D81*((1+Inflation)^(F$2-1)))*(1+Developerfee)</f>
        <v>0</v>
      </c>
      <c r="G81" s="112">
        <f>-IF(OR(G$2=$H61,G$2=$H62,AND(G$2&gt;$H61,G$2&lt;$H62)),(INDEX(summary!$A$2:$D$24,MATCH($D62,summary!$A$2:$A$24,0),MATCH($D61,summary!$A$2:$D$2,0)))/constructiontimephase3)*($D81*((1+Inflation)^(G$2-1)))*(1+Developerfee)</f>
        <v>0</v>
      </c>
      <c r="H81" s="112">
        <f>-IF(OR(H$2=$H61,H$2=$H62,AND(H$2&gt;$H61,H$2&lt;$H62)),(INDEX(summary!$A$2:$D$24,MATCH($D62,summary!$A$2:$A$24,0),MATCH($D61,summary!$A$2:$D$2,0)))/constructiontimephase3)*($D81*((1+Inflation)^(H$2-1)))*(1+Developerfee)</f>
        <v>0</v>
      </c>
      <c r="I81" s="112">
        <f>-IF(OR(I$2=$H61,I$2=$H62,AND(I$2&gt;$H61,I$2&lt;$H62)),(INDEX(summary!$A$2:$D$24,MATCH($D62,summary!$A$2:$A$24,0),MATCH($D61,summary!$A$2:$D$2,0)))/constructiontimephase3)*($D81*((1+Inflation)^(I$2-1)))*(1+Developerfee)</f>
        <v>0</v>
      </c>
      <c r="J81" s="112">
        <f>-IF(OR(J$2=$H61,J$2=$H62,AND(J$2&gt;$H61,J$2&lt;$H62)),(INDEX(summary!$A$2:$D$24,MATCH($D62,summary!$A$2:$A$24,0),MATCH($D61,summary!$A$2:$D$2,0)))/constructiontimephase3)*($D81*((1+Inflation)^(J$2-1)))*(1+Developerfee)</f>
        <v>0</v>
      </c>
      <c r="K81" s="112">
        <f>-IF(OR(K$2=$H61,K$2=$H62,AND(K$2&gt;$H61,K$2&lt;$H62)),(INDEX(summary!$A$2:$D$24,MATCH($D62,summary!$A$2:$A$24,0),MATCH($D61,summary!$A$2:$D$2,0)))/constructiontimephase3)*($D81*((1+Inflation)^(K$2-1)))*(1+Developerfee)</f>
        <v>-21260953.664164465</v>
      </c>
      <c r="L81" s="112">
        <f>-IF(OR(L$2=$H61,L$2=$H62,AND(L$2&gt;$H61,L$2&lt;$H62)),(INDEX(summary!$A$2:$D$24,MATCH($D62,summary!$A$2:$A$24,0),MATCH($D61,summary!$A$2:$D$2,0)))/constructiontimephase3)*($D81*((1+Inflation)^(L$2-1)))*(1+Developerfee)</f>
        <v>-21686172.737447757</v>
      </c>
      <c r="M81" s="112">
        <f>-IF(OR(M$2=$H61,M$2=$H62,AND(M$2&gt;$H61,M$2&lt;$H62)),(INDEX(summary!$A$2:$D$24,MATCH($D62,summary!$A$2:$A$24,0),MATCH($D61,summary!$A$2:$D$2,0)))/constructiontimephase3)*($D81*((1+Inflation)^(M$2-1)))*(1+Developerfee)</f>
        <v>0</v>
      </c>
      <c r="N81" s="112">
        <f>-IF(OR(N$2=$H61,N$2=$H62,AND(N$2&gt;$H61,N$2&lt;$H62)),(INDEX(summary!$A$2:$D$24,MATCH($D62,summary!$A$2:$A$24,0),MATCH($D61,summary!$A$2:$D$2,0)))/constructiontimephase3)*($D81*((1+Inflation)^(N$2-1)))*(1+Developerfee)</f>
        <v>0</v>
      </c>
      <c r="O81" s="112">
        <f>-IF(OR(O$2=$H61,O$2=$H62,AND(O$2&gt;$H61,O$2&lt;$H62)),(INDEX(summary!$A$2:$D$24,MATCH($D62,summary!$A$2:$A$24,0),MATCH($D61,summary!$A$2:$D$2,0)))/constructiontimephase3)*($D81*((1+Inflation)^(O$2-1)))*(1+Developerfee)</f>
        <v>0</v>
      </c>
    </row>
    <row r="82" spans="2:15">
      <c r="B82" s="108" t="s">
        <v>197</v>
      </c>
      <c r="C82" s="121" t="s">
        <v>189</v>
      </c>
      <c r="D82" s="122">
        <f>(INDEX(cockpit!$J$6:$Y$16,MATCH($D62,cockpit!$J$6:$J$16,0),MATCH($C82,cockpit!$J$6:$Y$6,0))*(1-$K61))+((INDEX(cockpit!$J$6:$Y$16,MATCH($D62,cockpit!$J$6:$J$16,0),MATCH($C82,cockpit!$J$6:$Y$6,0))-(Premiumexitcaprate))*$K61)</f>
        <v>6.25E-2</v>
      </c>
      <c r="E82" s="113">
        <f t="shared" ref="E82:O82" si="39">IF(E$2=dispositionyear,E75/$D82,0)*(1-Closingcosts)</f>
        <v>0</v>
      </c>
      <c r="F82" s="113">
        <f t="shared" si="39"/>
        <v>0</v>
      </c>
      <c r="G82" s="113">
        <f t="shared" si="39"/>
        <v>0</v>
      </c>
      <c r="H82" s="113">
        <f t="shared" si="39"/>
        <v>0</v>
      </c>
      <c r="I82" s="113">
        <f t="shared" si="39"/>
        <v>0</v>
      </c>
      <c r="J82" s="113">
        <f t="shared" si="39"/>
        <v>0</v>
      </c>
      <c r="K82" s="113">
        <f t="shared" si="39"/>
        <v>0</v>
      </c>
      <c r="L82" s="113">
        <f t="shared" si="39"/>
        <v>0</v>
      </c>
      <c r="M82" s="113">
        <f t="shared" si="39"/>
        <v>0</v>
      </c>
      <c r="N82" s="113">
        <f t="shared" si="39"/>
        <v>0</v>
      </c>
      <c r="O82" s="113">
        <f t="shared" si="39"/>
        <v>76168532.834546342</v>
      </c>
    </row>
    <row r="83" spans="2:15">
      <c r="B83" s="114" t="s">
        <v>196</v>
      </c>
      <c r="C83" s="121"/>
      <c r="D83" s="110"/>
      <c r="E83" s="112">
        <f t="shared" ref="E83:O83" si="40">SUM(E81:E82)</f>
        <v>0</v>
      </c>
      <c r="F83" s="112">
        <f t="shared" si="40"/>
        <v>0</v>
      </c>
      <c r="G83" s="112">
        <f t="shared" si="40"/>
        <v>0</v>
      </c>
      <c r="H83" s="112">
        <f t="shared" si="40"/>
        <v>0</v>
      </c>
      <c r="I83" s="112">
        <f t="shared" si="40"/>
        <v>0</v>
      </c>
      <c r="J83" s="112">
        <f t="shared" si="40"/>
        <v>0</v>
      </c>
      <c r="K83" s="112">
        <f t="shared" si="40"/>
        <v>-21260953.664164465</v>
      </c>
      <c r="L83" s="112">
        <f t="shared" si="40"/>
        <v>-21686172.737447757</v>
      </c>
      <c r="M83" s="112">
        <f t="shared" si="40"/>
        <v>0</v>
      </c>
      <c r="N83" s="112">
        <f t="shared" si="40"/>
        <v>0</v>
      </c>
      <c r="O83" s="112">
        <f t="shared" si="40"/>
        <v>76168532.834546342</v>
      </c>
    </row>
    <row r="84" spans="2:15">
      <c r="B84" s="108"/>
      <c r="C84" s="121"/>
      <c r="D84" s="110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</row>
    <row r="85" spans="2:15">
      <c r="B85" s="114" t="s">
        <v>169</v>
      </c>
      <c r="C85" s="114"/>
      <c r="D85" s="116">
        <f ca="1">IRR(OFFSET(E85,0,0,1,Investmenthorizon+1))</f>
        <v>0.22909628307422625</v>
      </c>
      <c r="E85" s="117">
        <f>SUM(E75,E79,E83)</f>
        <v>0</v>
      </c>
      <c r="F85" s="117">
        <f t="shared" ref="F85:O85" si="41">SUM(F75,F79,F83)</f>
        <v>0</v>
      </c>
      <c r="G85" s="117">
        <f t="shared" si="41"/>
        <v>0</v>
      </c>
      <c r="H85" s="117">
        <f t="shared" si="41"/>
        <v>0</v>
      </c>
      <c r="I85" s="117">
        <f t="shared" si="41"/>
        <v>0</v>
      </c>
      <c r="J85" s="117">
        <f t="shared" si="41"/>
        <v>0</v>
      </c>
      <c r="K85" s="117">
        <f t="shared" si="41"/>
        <v>-21260953.664164465</v>
      </c>
      <c r="L85" s="117">
        <f t="shared" si="41"/>
        <v>-21686172.737447757</v>
      </c>
      <c r="M85" s="117">
        <f t="shared" si="41"/>
        <v>1326748.5887056582</v>
      </c>
      <c r="N85" s="117">
        <f t="shared" si="41"/>
        <v>4718621.2729674159</v>
      </c>
      <c r="O85" s="117">
        <f t="shared" si="41"/>
        <v>80982891.328271106</v>
      </c>
    </row>
    <row r="90" spans="2:15">
      <c r="L90" s="196"/>
    </row>
    <row r="92" spans="2:15">
      <c r="L92" s="19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8524-DFD8-4EC4-9778-9803E921F87B}">
  <sheetPr>
    <tabColor theme="9" tint="0.59999389629810485"/>
  </sheetPr>
  <dimension ref="B2:Q92"/>
  <sheetViews>
    <sheetView showGridLines="0" topLeftCell="A79" zoomScale="70" zoomScaleNormal="70" workbookViewId="0">
      <selection activeCell="M15" sqref="M15"/>
    </sheetView>
  </sheetViews>
  <sheetFormatPr defaultRowHeight="9.5"/>
  <cols>
    <col min="1" max="1" width="8.7265625" style="106"/>
    <col min="2" max="2" width="24.1796875" style="106" bestFit="1" customWidth="1"/>
    <col min="3" max="3" width="1.1796875" style="851" customWidth="1"/>
    <col min="4" max="4" width="8.7265625" style="106"/>
    <col min="5" max="5" width="9" style="106" bestFit="1" customWidth="1"/>
    <col min="6" max="7" width="11.453125" style="106" bestFit="1" customWidth="1"/>
    <col min="8" max="8" width="10.36328125" style="106" bestFit="1" customWidth="1"/>
    <col min="9" max="14" width="11.08984375" style="106" bestFit="1" customWidth="1"/>
    <col min="15" max="15" width="11.7265625" style="106" bestFit="1" customWidth="1"/>
    <col min="16" max="16384" width="8.7265625" style="106"/>
  </cols>
  <sheetData>
    <row r="2" spans="2:17" ht="10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7" ht="10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7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7">
      <c r="B5" s="126" t="s">
        <v>89</v>
      </c>
      <c r="D5" s="133">
        <f>Phase1</f>
        <v>1</v>
      </c>
      <c r="G5" s="107" t="s">
        <v>204</v>
      </c>
      <c r="H5" s="133">
        <f>Phase1begin</f>
        <v>1</v>
      </c>
      <c r="J5" s="107" t="s">
        <v>201</v>
      </c>
      <c r="K5" s="136">
        <f>summary!AF12</f>
        <v>3.6238231162130881E-2</v>
      </c>
    </row>
    <row r="6" spans="2:17">
      <c r="B6" s="126" t="s">
        <v>93</v>
      </c>
      <c r="D6" s="130" t="s">
        <v>164</v>
      </c>
      <c r="G6" s="107" t="s">
        <v>205</v>
      </c>
      <c r="H6" s="133">
        <f>Phase1end</f>
        <v>3</v>
      </c>
      <c r="K6" s="127"/>
    </row>
    <row r="7" spans="2:17" ht="10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</row>
    <row r="8" spans="2:17">
      <c r="C8" s="853"/>
      <c r="H8" s="196"/>
    </row>
    <row r="9" spans="2:17">
      <c r="B9" s="108" t="s">
        <v>182</v>
      </c>
      <c r="C9" s="854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349354.79999999993</v>
      </c>
      <c r="J9" s="109">
        <f>IF(OR(J$2=$H7,J$2&gt;$H7),INDEX(summary!$A$2:$D$24,MATCH($D6,summary!$A$2:$A$24,0),MATCH($D5,summary!$A$2:$D$2,0)),0)</f>
        <v>349354.79999999993</v>
      </c>
      <c r="K9" s="109">
        <f>IF(OR(K$2=$H7,K$2&gt;$H7),INDEX(summary!$A$2:$D$24,MATCH($D6,summary!$A$2:$A$24,0),MATCH($D5,summary!$A$2:$D$2,0)),0)</f>
        <v>349354.79999999993</v>
      </c>
      <c r="L9" s="109">
        <f>IF(OR(L$2=$H7,L$2&gt;$H7),INDEX(summary!$A$2:$D$24,MATCH($D6,summary!$A$2:$A$24,0),MATCH($D5,summary!$A$2:$D$2,0)),0)</f>
        <v>349354.79999999993</v>
      </c>
      <c r="M9" s="109">
        <f>IF(OR(M$2=$H7,M$2&gt;$H7),INDEX(summary!$A$2:$D$24,MATCH($D6,summary!$A$2:$A$24,0),MATCH($D5,summary!$A$2:$D$2,0)),0)</f>
        <v>349354.79999999993</v>
      </c>
      <c r="N9" s="109">
        <f>IF(OR(N$2=$H7,N$2&gt;$H7),INDEX(summary!$A$2:$D$24,MATCH($D6,summary!$A$2:$A$24,0),MATCH($D5,summary!$A$2:$D$2,0)),0)</f>
        <v>349354.79999999993</v>
      </c>
      <c r="O9" s="109">
        <f>IF(OR(O$2=$H7,O$2&gt;$H7),INDEX(summary!$A$2:$D$24,MATCH($D6,summary!$A$2:$A$24,0),MATCH($D5,summary!$A$2:$D$2,0)),0)</f>
        <v>349354.79999999993</v>
      </c>
    </row>
    <row r="10" spans="2:17">
      <c r="B10" s="108" t="s">
        <v>194</v>
      </c>
      <c r="C10" s="855" t="s">
        <v>191</v>
      </c>
      <c r="D10" s="110">
        <f>INDEX(cockpit!$J$6:$Y$16,MATCH($D6,cockpit!$J$6:$J$16,0),MATCH($C$10,cockpit!$J$6:$Y$6,0))</f>
        <v>0.1</v>
      </c>
      <c r="E10" s="109">
        <f>E9*(1-$D10)</f>
        <v>0</v>
      </c>
      <c r="F10" s="109">
        <f t="shared" ref="F10:O10" si="0">F9*(1-$D10)</f>
        <v>0</v>
      </c>
      <c r="G10" s="109">
        <f t="shared" si="0"/>
        <v>0</v>
      </c>
      <c r="H10" s="109">
        <f t="shared" si="0"/>
        <v>0</v>
      </c>
      <c r="I10" s="109">
        <f t="shared" si="0"/>
        <v>314419.31999999995</v>
      </c>
      <c r="J10" s="109">
        <f t="shared" si="0"/>
        <v>314419.31999999995</v>
      </c>
      <c r="K10" s="109">
        <f t="shared" si="0"/>
        <v>314419.31999999995</v>
      </c>
      <c r="L10" s="109">
        <f t="shared" si="0"/>
        <v>314419.31999999995</v>
      </c>
      <c r="M10" s="109">
        <f t="shared" si="0"/>
        <v>314419.31999999995</v>
      </c>
      <c r="N10" s="109">
        <f t="shared" si="0"/>
        <v>314419.31999999995</v>
      </c>
      <c r="O10" s="109">
        <f t="shared" si="0"/>
        <v>314419.31999999995</v>
      </c>
      <c r="Q10" s="120"/>
    </row>
    <row r="11" spans="2:17">
      <c r="B11" s="108" t="s">
        <v>759</v>
      </c>
      <c r="C11" s="855"/>
      <c r="D11" s="110"/>
      <c r="E11" s="109">
        <f t="shared" ref="E11:O11" si="1">E10/Residentialmarketrateaveragesize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471.04017977528082</v>
      </c>
      <c r="J11" s="109">
        <f t="shared" si="1"/>
        <v>471.04017977528082</v>
      </c>
      <c r="K11" s="109">
        <f t="shared" si="1"/>
        <v>471.04017977528082</v>
      </c>
      <c r="L11" s="109">
        <f t="shared" si="1"/>
        <v>471.04017977528082</v>
      </c>
      <c r="M11" s="109">
        <f t="shared" si="1"/>
        <v>471.04017977528082</v>
      </c>
      <c r="N11" s="109">
        <f t="shared" si="1"/>
        <v>471.04017977528082</v>
      </c>
      <c r="O11" s="109">
        <f t="shared" si="1"/>
        <v>471.04017977528082</v>
      </c>
      <c r="Q11" s="120"/>
    </row>
    <row r="12" spans="2:17">
      <c r="B12" s="108" t="s">
        <v>674</v>
      </c>
      <c r="C12" s="855" t="s">
        <v>152</v>
      </c>
      <c r="D12" s="122">
        <f>Residentialmarketraterampup</f>
        <v>0.47499999999999998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149349.17699999997</v>
      </c>
      <c r="J12" s="109">
        <f>IF(OR(J$2=$H7,AND(J$2&gt;$H7,J$2&lt;(SUM($H7,INDEX(cockpit!$J$6:$Y$16,MATCH($D6,cockpit!$J$6:$J$16,0),MATCH($C$12,cockpit!$J$6:$Y$6,0)))))),J10*$D12,0)</f>
        <v>149349.17699999997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</row>
    <row r="13" spans="2:17">
      <c r="B13" s="108" t="s">
        <v>675</v>
      </c>
      <c r="C13" s="855"/>
      <c r="D13" s="122"/>
      <c r="E13" s="109">
        <f t="shared" ref="E13:O13" si="2">E12/Residentialmarketrateaveragesize</f>
        <v>0</v>
      </c>
      <c r="F13" s="109">
        <f t="shared" si="2"/>
        <v>0</v>
      </c>
      <c r="G13" s="109">
        <f t="shared" si="2"/>
        <v>0</v>
      </c>
      <c r="H13" s="109">
        <f t="shared" si="2"/>
        <v>0</v>
      </c>
      <c r="I13" s="109">
        <f t="shared" si="2"/>
        <v>223.74408539325839</v>
      </c>
      <c r="J13" s="109">
        <f t="shared" si="2"/>
        <v>223.74408539325839</v>
      </c>
      <c r="K13" s="109">
        <f t="shared" si="2"/>
        <v>0</v>
      </c>
      <c r="L13" s="109">
        <f t="shared" si="2"/>
        <v>0</v>
      </c>
      <c r="M13" s="109">
        <f t="shared" si="2"/>
        <v>0</v>
      </c>
      <c r="N13" s="109">
        <f t="shared" si="2"/>
        <v>0</v>
      </c>
      <c r="O13" s="109">
        <f t="shared" si="2"/>
        <v>0</v>
      </c>
    </row>
    <row r="14" spans="2:17">
      <c r="B14" s="108" t="s">
        <v>676</v>
      </c>
      <c r="C14" s="855"/>
      <c r="D14" s="122"/>
      <c r="E14" s="109">
        <f t="shared" ref="E14" si="3">E13/12</f>
        <v>0</v>
      </c>
      <c r="F14" s="109">
        <f t="shared" ref="F14" si="4">F13/12</f>
        <v>0</v>
      </c>
      <c r="G14" s="109">
        <f t="shared" ref="G14" si="5">G13/12</f>
        <v>0</v>
      </c>
      <c r="H14" s="109">
        <f t="shared" ref="H14" si="6">H13/12</f>
        <v>0</v>
      </c>
      <c r="I14" s="109">
        <f t="shared" ref="I14" si="7">I13/12</f>
        <v>18.645340449438198</v>
      </c>
      <c r="J14" s="109">
        <f t="shared" ref="J14" si="8">J13/12</f>
        <v>18.645340449438198</v>
      </c>
      <c r="K14" s="109">
        <f t="shared" ref="K14" si="9">K13/12</f>
        <v>0</v>
      </c>
      <c r="L14" s="109">
        <f t="shared" ref="L14" si="10">L13/12</f>
        <v>0</v>
      </c>
      <c r="M14" s="109">
        <f t="shared" ref="M14" si="11">M13/12</f>
        <v>0</v>
      </c>
      <c r="N14" s="109">
        <f t="shared" ref="N14" si="12">N13/12</f>
        <v>0</v>
      </c>
      <c r="O14" s="109">
        <f t="shared" ref="O14" si="13">O13/12</f>
        <v>0</v>
      </c>
    </row>
    <row r="15" spans="2:17" ht="10.5">
      <c r="B15" s="108" t="s">
        <v>181</v>
      </c>
      <c r="C15" s="855"/>
      <c r="E15" s="109">
        <f>SUM($E12:E12)</f>
        <v>0</v>
      </c>
      <c r="F15" s="109">
        <f>SUM($E12:F12)</f>
        <v>0</v>
      </c>
      <c r="G15" s="109">
        <f>SUM($E12:G12)</f>
        <v>0</v>
      </c>
      <c r="H15" s="109">
        <f>SUM($E12:H12)</f>
        <v>0</v>
      </c>
      <c r="I15" s="109">
        <f>SUM($E12:I12)</f>
        <v>149349.17699999997</v>
      </c>
      <c r="J15" s="109">
        <f>SUM($E12:J12)</f>
        <v>298698.35399999993</v>
      </c>
      <c r="K15" s="109">
        <f>SUM($E12:K12)</f>
        <v>298698.35399999993</v>
      </c>
      <c r="L15" s="109">
        <f>SUM($E12:L12)</f>
        <v>298698.35399999993</v>
      </c>
      <c r="M15" s="109">
        <f>SUM($E12:M12)</f>
        <v>298698.35399999993</v>
      </c>
      <c r="N15" s="109">
        <f>SUM($E12:N12)</f>
        <v>298698.35399999993</v>
      </c>
      <c r="O15" s="109">
        <f>SUM($E12:O12)</f>
        <v>298698.35399999993</v>
      </c>
      <c r="Q15" s="39"/>
    </row>
    <row r="16" spans="2:17">
      <c r="C16" s="855"/>
    </row>
    <row r="17" spans="2:15">
      <c r="B17" s="108" t="s">
        <v>166</v>
      </c>
      <c r="C17" s="855"/>
      <c r="D17" s="111">
        <f>(ResidentialmarketratePSFrate*(1-$K5))+((ResidentialmarketratePSFrate*(1+premiumprices)*$K5))</f>
        <v>2.0407946112617519</v>
      </c>
      <c r="E17" s="112">
        <f t="shared" ref="E17:O17" si="14">E15*($D17*((1+Inflation)^(E$2-1)))*12</f>
        <v>0</v>
      </c>
      <c r="F17" s="112">
        <f t="shared" si="14"/>
        <v>0</v>
      </c>
      <c r="G17" s="112">
        <f t="shared" si="14"/>
        <v>0</v>
      </c>
      <c r="H17" s="112">
        <f t="shared" si="14"/>
        <v>0</v>
      </c>
      <c r="I17" s="112">
        <f t="shared" si="14"/>
        <v>3881359.7145331521</v>
      </c>
      <c r="J17" s="112">
        <f t="shared" si="14"/>
        <v>7917973.8176476294</v>
      </c>
      <c r="K17" s="112">
        <f t="shared" si="14"/>
        <v>8076333.2940005818</v>
      </c>
      <c r="L17" s="112">
        <f t="shared" si="14"/>
        <v>8237859.9598805951</v>
      </c>
      <c r="M17" s="112">
        <f t="shared" si="14"/>
        <v>8402617.159078205</v>
      </c>
      <c r="N17" s="112">
        <f t="shared" si="14"/>
        <v>8570669.5022597704</v>
      </c>
      <c r="O17" s="112">
        <f t="shared" si="14"/>
        <v>8742082.8923049644</v>
      </c>
    </row>
    <row r="18" spans="2:15">
      <c r="B18" s="108" t="s">
        <v>123</v>
      </c>
      <c r="C18" s="855"/>
      <c r="D18" s="111">
        <f>INDEX(cockpit!$J$6:$Y$16,MATCH($D6,cockpit!$J$6:$J$16,0),MATCH($B18,cockpit!$J$6:$Y$6,0))</f>
        <v>6</v>
      </c>
      <c r="E18" s="113">
        <f t="shared" ref="E18:O18" si="15">-IF($D18&gt;1,E9*($D18*((1+Inflation)^(E$2-1))),E17*(1-$D18))</f>
        <v>0</v>
      </c>
      <c r="F18" s="113">
        <f t="shared" si="15"/>
        <v>0</v>
      </c>
      <c r="G18" s="113">
        <f t="shared" si="15"/>
        <v>0</v>
      </c>
      <c r="H18" s="113">
        <f t="shared" si="15"/>
        <v>0</v>
      </c>
      <c r="I18" s="113">
        <f t="shared" si="15"/>
        <v>-2224428.6515903994</v>
      </c>
      <c r="J18" s="113">
        <f t="shared" si="15"/>
        <v>-2268917.2246222077</v>
      </c>
      <c r="K18" s="113">
        <f t="shared" si="15"/>
        <v>-2314295.5691146515</v>
      </c>
      <c r="L18" s="113">
        <f t="shared" si="15"/>
        <v>-2360581.4804969449</v>
      </c>
      <c r="M18" s="113">
        <f t="shared" si="15"/>
        <v>-2407793.1101068831</v>
      </c>
      <c r="N18" s="113">
        <f t="shared" si="15"/>
        <v>-2455948.9723090213</v>
      </c>
      <c r="O18" s="113">
        <f t="shared" si="15"/>
        <v>-2505067.9517552014</v>
      </c>
    </row>
    <row r="19" spans="2:15">
      <c r="B19" s="114" t="s">
        <v>167</v>
      </c>
      <c r="C19" s="855"/>
      <c r="E19" s="112">
        <f>SUM(E17:E18)</f>
        <v>0</v>
      </c>
      <c r="F19" s="112">
        <f t="shared" ref="F19:O19" si="16">SUM(F17:F18)</f>
        <v>0</v>
      </c>
      <c r="G19" s="112">
        <f t="shared" si="16"/>
        <v>0</v>
      </c>
      <c r="H19" s="112">
        <f t="shared" si="16"/>
        <v>0</v>
      </c>
      <c r="I19" s="112">
        <f t="shared" si="16"/>
        <v>1656931.0629427526</v>
      </c>
      <c r="J19" s="112">
        <f t="shared" si="16"/>
        <v>5649056.5930254217</v>
      </c>
      <c r="K19" s="112">
        <f t="shared" si="16"/>
        <v>5762037.7248859303</v>
      </c>
      <c r="L19" s="112">
        <f t="shared" si="16"/>
        <v>5877278.4793836502</v>
      </c>
      <c r="M19" s="112">
        <f t="shared" si="16"/>
        <v>5994824.0489713214</v>
      </c>
      <c r="N19" s="112">
        <f t="shared" si="16"/>
        <v>6114720.5299507491</v>
      </c>
      <c r="O19" s="112">
        <f t="shared" si="16"/>
        <v>6237014.9405497629</v>
      </c>
    </row>
    <row r="20" spans="2:15">
      <c r="C20" s="855"/>
      <c r="E20" s="187">
        <f t="shared" ref="E20:O20" si="17">IFERROR(E19/SUM(E16:E17),0)</f>
        <v>0</v>
      </c>
      <c r="F20" s="187">
        <f t="shared" si="17"/>
        <v>0</v>
      </c>
      <c r="G20" s="187">
        <f t="shared" si="17"/>
        <v>0</v>
      </c>
      <c r="H20" s="187">
        <f t="shared" si="17"/>
        <v>0</v>
      </c>
      <c r="I20" s="187">
        <f t="shared" si="17"/>
        <v>0.42689448667657115</v>
      </c>
      <c r="J20" s="187">
        <f t="shared" si="17"/>
        <v>0.71344724333828546</v>
      </c>
      <c r="K20" s="187">
        <f t="shared" si="17"/>
        <v>0.71344724333828557</v>
      </c>
      <c r="L20" s="187">
        <f t="shared" si="17"/>
        <v>0.71344724333828557</v>
      </c>
      <c r="M20" s="187">
        <f t="shared" si="17"/>
        <v>0.71344724333828546</v>
      </c>
      <c r="N20" s="187">
        <f t="shared" si="17"/>
        <v>0.71344724333828557</v>
      </c>
      <c r="O20" s="187">
        <f t="shared" si="17"/>
        <v>0.71344724333828557</v>
      </c>
    </row>
    <row r="21" spans="2:15">
      <c r="B21" s="108" t="s">
        <v>168</v>
      </c>
      <c r="C21" s="855"/>
      <c r="D21" s="115">
        <f>INDEX(cockpit!$J$6:$Y$16,MATCH($D6,cockpit!$J$6:$J$16,0),MATCH($B21,cockpit!$J$6:$Y$6,0))</f>
        <v>0.25</v>
      </c>
      <c r="E21" s="112">
        <f>-E10*$D21</f>
        <v>0</v>
      </c>
      <c r="F21" s="112">
        <f t="shared" ref="F21:O21" si="18">-F10*$D21</f>
        <v>0</v>
      </c>
      <c r="G21" s="112">
        <f t="shared" si="18"/>
        <v>0</v>
      </c>
      <c r="H21" s="112">
        <f t="shared" si="18"/>
        <v>0</v>
      </c>
      <c r="I21" s="112">
        <f t="shared" si="18"/>
        <v>-78604.829999999987</v>
      </c>
      <c r="J21" s="112">
        <f t="shared" si="18"/>
        <v>-78604.829999999987</v>
      </c>
      <c r="K21" s="112">
        <f t="shared" si="18"/>
        <v>-78604.829999999987</v>
      </c>
      <c r="L21" s="112">
        <f t="shared" si="18"/>
        <v>-78604.829999999987</v>
      </c>
      <c r="M21" s="112">
        <f t="shared" si="18"/>
        <v>-78604.829999999987</v>
      </c>
      <c r="N21" s="112">
        <f t="shared" si="18"/>
        <v>-78604.829999999987</v>
      </c>
      <c r="O21" s="112">
        <f t="shared" si="18"/>
        <v>-78604.829999999987</v>
      </c>
    </row>
    <row r="22" spans="2:15">
      <c r="B22" s="108" t="s">
        <v>162</v>
      </c>
      <c r="C22" s="855"/>
      <c r="D22" s="115">
        <f>INDEX(cockpit!$J$6:$Y$16,MATCH($D6,cockpit!$J$6:$J$16,0),MATCH($B22,cockpit!$J$6:$Y$6,0))</f>
        <v>2.5000000000000001E-2</v>
      </c>
      <c r="E22" s="113">
        <f>-E15*$D22</f>
        <v>0</v>
      </c>
      <c r="F22" s="113">
        <f t="shared" ref="F22:O22" si="19">-F15*$D22</f>
        <v>0</v>
      </c>
      <c r="G22" s="113">
        <f t="shared" si="19"/>
        <v>0</v>
      </c>
      <c r="H22" s="113">
        <f t="shared" si="19"/>
        <v>0</v>
      </c>
      <c r="I22" s="113">
        <f t="shared" si="19"/>
        <v>-3733.7294249999995</v>
      </c>
      <c r="J22" s="113">
        <f t="shared" si="19"/>
        <v>-7467.4588499999991</v>
      </c>
      <c r="K22" s="113">
        <f t="shared" si="19"/>
        <v>-7467.4588499999991</v>
      </c>
      <c r="L22" s="113">
        <f t="shared" si="19"/>
        <v>-7467.4588499999991</v>
      </c>
      <c r="M22" s="113">
        <f t="shared" si="19"/>
        <v>-7467.4588499999991</v>
      </c>
      <c r="N22" s="113">
        <f t="shared" si="19"/>
        <v>-7467.4588499999991</v>
      </c>
      <c r="O22" s="113">
        <f t="shared" si="19"/>
        <v>-7467.4588499999991</v>
      </c>
    </row>
    <row r="23" spans="2:15">
      <c r="B23" s="114" t="s">
        <v>195</v>
      </c>
      <c r="C23" s="855"/>
      <c r="D23" s="115"/>
      <c r="E23" s="112">
        <f>SUM(E21:E22)</f>
        <v>0</v>
      </c>
      <c r="F23" s="112">
        <f t="shared" ref="F23:O23" si="20">SUM(F21:F22)</f>
        <v>0</v>
      </c>
      <c r="G23" s="112">
        <f t="shared" si="20"/>
        <v>0</v>
      </c>
      <c r="H23" s="112">
        <f t="shared" si="20"/>
        <v>0</v>
      </c>
      <c r="I23" s="112">
        <f t="shared" si="20"/>
        <v>-82338.559424999985</v>
      </c>
      <c r="J23" s="112">
        <f t="shared" si="20"/>
        <v>-86072.288849999983</v>
      </c>
      <c r="K23" s="112">
        <f t="shared" si="20"/>
        <v>-86072.288849999983</v>
      </c>
      <c r="L23" s="112">
        <f t="shared" si="20"/>
        <v>-86072.288849999983</v>
      </c>
      <c r="M23" s="112">
        <f t="shared" si="20"/>
        <v>-86072.288849999983</v>
      </c>
      <c r="N23" s="112">
        <f t="shared" si="20"/>
        <v>-86072.288849999983</v>
      </c>
      <c r="O23" s="112">
        <f t="shared" si="20"/>
        <v>-86072.288849999983</v>
      </c>
    </row>
    <row r="24" spans="2:15">
      <c r="B24" s="108"/>
      <c r="C24" s="855"/>
    </row>
    <row r="25" spans="2:15">
      <c r="B25" s="108" t="s">
        <v>274</v>
      </c>
      <c r="C25" s="855"/>
      <c r="E25" s="206">
        <v>0</v>
      </c>
      <c r="F25" s="216">
        <f>-'acq-demo-repur'!U10</f>
        <v>-266630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</row>
    <row r="26" spans="2:15">
      <c r="B26" s="108" t="s">
        <v>277</v>
      </c>
      <c r="C26" s="855"/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</row>
    <row r="27" spans="2:15">
      <c r="B27" s="108" t="s">
        <v>170</v>
      </c>
      <c r="C27" s="855"/>
      <c r="D27" s="111">
        <f>(ResidentialmarketrateconstructionPSF*(1-$K5))+((ResidentialmarketrateconstructionPSF*(1+premiumprices)*$K5))</f>
        <v>136.22304030172191</v>
      </c>
      <c r="E27" s="112">
        <f>-IF(OR(E$2=$H5,E$2=$H6,AND(E$2&gt;$H5,E$2&lt;$H6)),(INDEX(summary!$A$2:$D$24,MATCH($D6,summary!$A$2:$A$24,0),MATCH($D5,summary!$A$2:$D$2,0)))/constructiontimephase1)*($D27*((1+Inflation)^(E$2-1)))*(1+Developerfee)</f>
        <v>0</v>
      </c>
      <c r="F27" s="112">
        <f>-IF(OR(F$2=$H5,F$2=$H6,AND(F$2&gt;$H5,F$2&lt;$H6)),(INDEX(summary!$A$2:$D$24,MATCH($D6,summary!$A$2:$A$24,0),MATCH($D5,summary!$A$2:$D$2,0)))/constructiontimephase1)*($D27*((1+Inflation)^(F$2-1)))*(1+Developerfee)</f>
        <v>-16339292.729999997</v>
      </c>
      <c r="G27" s="112">
        <f>-IF(OR(G$2=$H5,G$2=$H6,AND(G$2&gt;$H5,G$2&lt;$H6)),(INDEX(summary!$A$2:$D$24,MATCH($D6,summary!$A$2:$A$24,0),MATCH($D5,summary!$A$2:$D$2,0)))/constructiontimephase1)*($D27*((1+Inflation)^(G$2-1)))*(1+Developerfee)</f>
        <v>-16666078.584599996</v>
      </c>
      <c r="H27" s="112">
        <f>-IF(OR(H$2=$H5,H$2=$H6,AND(H$2&gt;$H5,H$2&lt;$H6)),(INDEX(summary!$A$2:$D$24,MATCH($D6,summary!$A$2:$A$24,0),MATCH($D5,summary!$A$2:$D$2,0)))/constructiontimephase1)*($D27*((1+Inflation)^(H$2-1)))*(1+Developerfee)</f>
        <v>-16999400.156291999</v>
      </c>
      <c r="I27" s="112">
        <f>-IF(OR(I$2=$H5,I$2=$H6,AND(I$2&gt;$H5,I$2&lt;$H6)),(INDEX(summary!$A$2:$D$24,MATCH($D6,summary!$A$2:$A$24,0),MATCH($D5,summary!$A$2:$D$2,0)))/constructiontimephase1)*($D27*((1+Inflation)^(I$2-1)))*(1+Developerfee)</f>
        <v>0</v>
      </c>
      <c r="J27" s="112">
        <f>-IF(OR(J$2=$H5,J$2=$H6,AND(J$2&gt;$H5,J$2&lt;$H6)),(INDEX(summary!$A$2:$D$24,MATCH($D6,summary!$A$2:$A$24,0),MATCH($D5,summary!$A$2:$D$2,0)))/constructiontimephase1)*($D27*((1+Inflation)^(J$2-1)))*(1+Developerfee)</f>
        <v>0</v>
      </c>
      <c r="K27" s="112">
        <f>-IF(OR(K$2=$H5,K$2=$H6,AND(K$2&gt;$H5,K$2&lt;$H6)),(INDEX(summary!$A$2:$D$24,MATCH($D6,summary!$A$2:$A$24,0),MATCH($D5,summary!$A$2:$D$2,0)))/constructiontimephase1)*($D27*((1+Inflation)^(K$2-1)))*(1+Developerfee)</f>
        <v>0</v>
      </c>
      <c r="L27" s="112">
        <f>-IF(OR(L$2=$H5,L$2=$H6,AND(L$2&gt;$H5,L$2&lt;$H6)),(INDEX(summary!$A$2:$D$24,MATCH($D6,summary!$A$2:$A$24,0),MATCH($D5,summary!$A$2:$D$2,0)))/constructiontimephase1)*($D27*((1+Inflation)^(L$2-1)))*(1+Developerfee)</f>
        <v>0</v>
      </c>
      <c r="M27" s="112">
        <f>-IF(OR(M$2=$H5,M$2=$H6,AND(M$2&gt;$H5,M$2&lt;$H6)),(INDEX(summary!$A$2:$D$24,MATCH($D6,summary!$A$2:$A$24,0),MATCH($D5,summary!$A$2:$D$2,0)))/constructiontimephase1)*($D27*((1+Inflation)^(M$2-1)))*(1+Developerfee)</f>
        <v>0</v>
      </c>
      <c r="N27" s="112">
        <f>-IF(OR(N$2=$H5,N$2=$H6,AND(N$2&gt;$H5,N$2&lt;$H6)),(INDEX(summary!$A$2:$D$24,MATCH($D6,summary!$A$2:$A$24,0),MATCH($D5,summary!$A$2:$D$2,0)))/constructiontimephase1)*($D27*((1+Inflation)^(N$2-1)))*(1+Developerfee)</f>
        <v>0</v>
      </c>
      <c r="O27" s="112">
        <f>-IF(OR(O$2=$H5,O$2=$H6,AND(O$2&gt;$H5,O$2&lt;$H6)),(INDEX(summary!$A$2:$D$24,MATCH($D6,summary!$A$2:$A$24,0),MATCH($D5,summary!$A$2:$D$2,0)))/constructiontimephase1)*($D27*((1+Inflation)^(O$2-1)))*(1+Developerfee)</f>
        <v>0</v>
      </c>
    </row>
    <row r="28" spans="2:15">
      <c r="B28" s="108" t="s">
        <v>197</v>
      </c>
      <c r="C28" s="855" t="s">
        <v>189</v>
      </c>
      <c r="D28" s="122">
        <f>(INDEX(cockpit!$J$6:$Y$16,MATCH($D6,cockpit!$J$6:$J$16,0),MATCH($C28,cockpit!$J$6:$Y$6,0))*(1-$K5))+((INDEX(cockpit!$J$6:$Y$16,MATCH($D6,cockpit!$J$6:$J$16,0),MATCH($C28,cockpit!$J$6:$Y$6,0))-(Premiumexitcaprate))*$K5)</f>
        <v>6.222821326628402E-2</v>
      </c>
      <c r="E28" s="113">
        <f t="shared" ref="E28:O28" si="21">IF(E$2=dispositionyear,E19/$D28,0)*(1-Closingcosts)</f>
        <v>0</v>
      </c>
      <c r="F28" s="113">
        <f t="shared" si="21"/>
        <v>0</v>
      </c>
      <c r="G28" s="113">
        <f t="shared" si="21"/>
        <v>0</v>
      </c>
      <c r="H28" s="113">
        <f t="shared" si="21"/>
        <v>0</v>
      </c>
      <c r="I28" s="113">
        <f t="shared" si="21"/>
        <v>0</v>
      </c>
      <c r="J28" s="113">
        <f t="shared" si="21"/>
        <v>0</v>
      </c>
      <c r="K28" s="113">
        <f t="shared" si="21"/>
        <v>0</v>
      </c>
      <c r="L28" s="113">
        <f t="shared" si="21"/>
        <v>0</v>
      </c>
      <c r="M28" s="113">
        <f t="shared" si="21"/>
        <v>0</v>
      </c>
      <c r="N28" s="113">
        <f t="shared" si="21"/>
        <v>0</v>
      </c>
      <c r="O28" s="113">
        <f t="shared" si="21"/>
        <v>97722387.448505208</v>
      </c>
    </row>
    <row r="29" spans="2:15">
      <c r="B29" s="114" t="s">
        <v>196</v>
      </c>
      <c r="C29" s="855"/>
      <c r="D29" s="110"/>
      <c r="E29" s="112">
        <f>SUM(E25:E28)</f>
        <v>0</v>
      </c>
      <c r="F29" s="112">
        <f>SUM(F25:F28)</f>
        <v>-16605922.729999997</v>
      </c>
      <c r="G29" s="112">
        <f t="shared" ref="G29:O29" si="22">SUM(G25:G28)</f>
        <v>-16666078.584599996</v>
      </c>
      <c r="H29" s="112">
        <f t="shared" si="22"/>
        <v>-16999400.156291999</v>
      </c>
      <c r="I29" s="112">
        <f t="shared" si="22"/>
        <v>0</v>
      </c>
      <c r="J29" s="112">
        <f t="shared" si="22"/>
        <v>0</v>
      </c>
      <c r="K29" s="112">
        <f t="shared" si="22"/>
        <v>0</v>
      </c>
      <c r="L29" s="112">
        <f t="shared" si="22"/>
        <v>0</v>
      </c>
      <c r="M29" s="112">
        <f t="shared" si="22"/>
        <v>0</v>
      </c>
      <c r="N29" s="112">
        <f t="shared" si="22"/>
        <v>0</v>
      </c>
      <c r="O29" s="112">
        <f t="shared" si="22"/>
        <v>97722387.448505208</v>
      </c>
    </row>
    <row r="30" spans="2:15">
      <c r="B30" s="108"/>
      <c r="C30" s="855"/>
      <c r="D30" s="110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</row>
    <row r="31" spans="2:15">
      <c r="B31" s="114" t="s">
        <v>169</v>
      </c>
      <c r="C31" s="856"/>
      <c r="D31" s="116">
        <f ca="1">IRR(OFFSET(E31,0,0,1,Investmenthorizon+1))</f>
        <v>0.14739694158202843</v>
      </c>
      <c r="E31" s="117">
        <f>SUM(E19,E23,E29)</f>
        <v>0</v>
      </c>
      <c r="F31" s="117">
        <f t="shared" ref="F31:O31" si="23">SUM(F19,F23,F29)</f>
        <v>-16605922.729999997</v>
      </c>
      <c r="G31" s="117">
        <f t="shared" si="23"/>
        <v>-16666078.584599996</v>
      </c>
      <c r="H31" s="117">
        <f t="shared" si="23"/>
        <v>-16999400.156291999</v>
      </c>
      <c r="I31" s="117">
        <f t="shared" si="23"/>
        <v>1574592.5035177525</v>
      </c>
      <c r="J31" s="117">
        <f t="shared" si="23"/>
        <v>5562984.3041754216</v>
      </c>
      <c r="K31" s="117">
        <f t="shared" si="23"/>
        <v>5675965.4360359302</v>
      </c>
      <c r="L31" s="117">
        <f t="shared" si="23"/>
        <v>5791206.1905336501</v>
      </c>
      <c r="M31" s="117">
        <f t="shared" si="23"/>
        <v>5908751.7601213213</v>
      </c>
      <c r="N31" s="117">
        <f t="shared" si="23"/>
        <v>6028648.241100749</v>
      </c>
      <c r="O31" s="117">
        <f t="shared" si="23"/>
        <v>103873330.10020497</v>
      </c>
    </row>
    <row r="32" spans="2:15" ht="10" thickBot="1"/>
    <row r="33" spans="2:17">
      <c r="B33" s="123" t="s">
        <v>198</v>
      </c>
      <c r="C33" s="124"/>
      <c r="D33" s="124"/>
      <c r="E33" s="134"/>
      <c r="F33" s="135"/>
      <c r="G33" s="135"/>
      <c r="H33" s="135"/>
      <c r="I33" s="135"/>
      <c r="J33" s="135"/>
      <c r="K33" s="125"/>
      <c r="L33" s="107"/>
      <c r="M33" s="107"/>
      <c r="N33" s="107"/>
      <c r="O33" s="107"/>
    </row>
    <row r="34" spans="2:17">
      <c r="B34" s="126" t="s">
        <v>89</v>
      </c>
      <c r="D34" s="133">
        <f>Phase2</f>
        <v>2</v>
      </c>
      <c r="G34" s="107" t="s">
        <v>204</v>
      </c>
      <c r="H34" s="133">
        <f>Phase2begin</f>
        <v>4</v>
      </c>
      <c r="J34" s="107" t="s">
        <v>201</v>
      </c>
      <c r="K34" s="136">
        <f>summary!AH12</f>
        <v>0.24265235496572268</v>
      </c>
    </row>
    <row r="35" spans="2:17">
      <c r="B35" s="126" t="s">
        <v>93</v>
      </c>
      <c r="D35" s="130" t="s">
        <v>164</v>
      </c>
      <c r="G35" s="107" t="s">
        <v>205</v>
      </c>
      <c r="H35" s="133">
        <f>Phase2end</f>
        <v>5</v>
      </c>
      <c r="K35" s="127"/>
    </row>
    <row r="36" spans="2:17" ht="10" thickBot="1">
      <c r="B36" s="137"/>
      <c r="C36" s="852"/>
      <c r="D36" s="138"/>
      <c r="E36" s="138"/>
      <c r="F36" s="138"/>
      <c r="G36" s="129" t="s">
        <v>199</v>
      </c>
      <c r="H36" s="131">
        <f>Phase2open</f>
        <v>6</v>
      </c>
      <c r="I36" s="138"/>
      <c r="J36" s="138"/>
      <c r="K36" s="128"/>
    </row>
    <row r="37" spans="2:17">
      <c r="C37" s="853"/>
    </row>
    <row r="38" spans="2:17">
      <c r="B38" s="108" t="s">
        <v>182</v>
      </c>
      <c r="C38" s="854"/>
      <c r="E38" s="109">
        <f>IF(OR(E$2=$H36,E$2&gt;$H36),INDEX(summary!$A$2:$D$24,MATCH($D35,summary!$A$2:$A$24,0),MATCH($D34,summary!$A$2:$D$2,0)),0)</f>
        <v>0</v>
      </c>
      <c r="F38" s="109">
        <f>IF(OR(F$2=$H36,F$2&gt;$H36),INDEX(summary!$A$2:$D$24,MATCH($D35,summary!$A$2:$A$24,0),MATCH($D34,summary!$A$2:$D$2,0)),0)</f>
        <v>0</v>
      </c>
      <c r="G38" s="109">
        <f>IF(OR(G$2=$H36,G$2&gt;$H36),INDEX(summary!$A$2:$D$24,MATCH($D35,summary!$A$2:$A$24,0),MATCH($D34,summary!$A$2:$D$2,0)),0)</f>
        <v>0</v>
      </c>
      <c r="H38" s="109">
        <f>IF(OR(H$2=$H36,H$2&gt;$H36),INDEX(summary!$A$2:$D$24,MATCH($D35,summary!$A$2:$A$24,0),MATCH($D34,summary!$A$2:$D$2,0)),0)</f>
        <v>0</v>
      </c>
      <c r="I38" s="109">
        <f>IF(OR(I$2=$H36,I$2&gt;$H36),INDEX(summary!$A$2:$D$24,MATCH($D35,summary!$A$2:$A$24,0),MATCH($D34,summary!$A$2:$D$2,0)),0)</f>
        <v>0</v>
      </c>
      <c r="J38" s="109">
        <f>IF(OR(J$2=$H36,J$2&gt;$H36),INDEX(summary!$A$2:$D$24,MATCH($D35,summary!$A$2:$A$24,0),MATCH($D34,summary!$A$2:$D$2,0)),0)</f>
        <v>0</v>
      </c>
      <c r="K38" s="109">
        <f>IF(OR(K$2=$H36,K$2&gt;$H36),INDEX(summary!$A$2:$D$24,MATCH($D35,summary!$A$2:$A$24,0),MATCH($D34,summary!$A$2:$D$2,0)),0)</f>
        <v>419720.07637999998</v>
      </c>
      <c r="L38" s="109">
        <f>IF(OR(L$2=$H36,L$2&gt;$H36),INDEX(summary!$A$2:$D$24,MATCH($D35,summary!$A$2:$A$24,0),MATCH($D34,summary!$A$2:$D$2,0)),0)</f>
        <v>419720.07637999998</v>
      </c>
      <c r="M38" s="109">
        <f>IF(OR(M$2=$H36,M$2&gt;$H36),INDEX(summary!$A$2:$D$24,MATCH($D35,summary!$A$2:$A$24,0),MATCH($D34,summary!$A$2:$D$2,0)),0)</f>
        <v>419720.07637999998</v>
      </c>
      <c r="N38" s="109">
        <f>IF(OR(N$2=$H36,N$2&gt;$H36),INDEX(summary!$A$2:$D$24,MATCH($D35,summary!$A$2:$A$24,0),MATCH($D34,summary!$A$2:$D$2,0)),0)</f>
        <v>419720.07637999998</v>
      </c>
      <c r="O38" s="109">
        <f>IF(OR(O$2=$H36,O$2&gt;$H36),INDEX(summary!$A$2:$D$24,MATCH($D35,summary!$A$2:$A$24,0),MATCH($D34,summary!$A$2:$D$2,0)),0)</f>
        <v>419720.07637999998</v>
      </c>
    </row>
    <row r="39" spans="2:17">
      <c r="B39" s="108" t="s">
        <v>194</v>
      </c>
      <c r="C39" s="855" t="s">
        <v>191</v>
      </c>
      <c r="D39" s="110">
        <f>INDEX(cockpit!$J$6:$Y$16,MATCH($D35,cockpit!$J$6:$J$16,0),MATCH($C$10,cockpit!$J$6:$Y$6,0))</f>
        <v>0.1</v>
      </c>
      <c r="E39" s="109">
        <f t="shared" ref="E39:O39" si="24">E38*(1-$D39)</f>
        <v>0</v>
      </c>
      <c r="F39" s="109">
        <f t="shared" si="24"/>
        <v>0</v>
      </c>
      <c r="G39" s="109">
        <f t="shared" si="24"/>
        <v>0</v>
      </c>
      <c r="H39" s="109">
        <f t="shared" si="24"/>
        <v>0</v>
      </c>
      <c r="I39" s="109">
        <f t="shared" si="24"/>
        <v>0</v>
      </c>
      <c r="J39" s="109">
        <f t="shared" si="24"/>
        <v>0</v>
      </c>
      <c r="K39" s="109">
        <f t="shared" si="24"/>
        <v>377748.06874199997</v>
      </c>
      <c r="L39" s="109">
        <f t="shared" si="24"/>
        <v>377748.06874199997</v>
      </c>
      <c r="M39" s="109">
        <f t="shared" si="24"/>
        <v>377748.06874199997</v>
      </c>
      <c r="N39" s="109">
        <f t="shared" si="24"/>
        <v>377748.06874199997</v>
      </c>
      <c r="O39" s="109">
        <f t="shared" si="24"/>
        <v>377748.06874199997</v>
      </c>
    </row>
    <row r="40" spans="2:17">
      <c r="B40" s="108" t="s">
        <v>759</v>
      </c>
      <c r="C40" s="855"/>
      <c r="D40" s="110"/>
      <c r="E40" s="109">
        <f t="shared" ref="E40:O40" si="25">E39/Residentialmarketrateaveragesize</f>
        <v>0</v>
      </c>
      <c r="F40" s="109">
        <f t="shared" si="25"/>
        <v>0</v>
      </c>
      <c r="G40" s="109">
        <f t="shared" si="25"/>
        <v>0</v>
      </c>
      <c r="H40" s="109">
        <f t="shared" si="25"/>
        <v>0</v>
      </c>
      <c r="I40" s="109">
        <f t="shared" si="25"/>
        <v>0</v>
      </c>
      <c r="J40" s="109">
        <f t="shared" si="25"/>
        <v>0</v>
      </c>
      <c r="K40" s="109">
        <f t="shared" si="25"/>
        <v>565.91470972584261</v>
      </c>
      <c r="L40" s="109">
        <f t="shared" si="25"/>
        <v>565.91470972584261</v>
      </c>
      <c r="M40" s="109">
        <f t="shared" si="25"/>
        <v>565.91470972584261</v>
      </c>
      <c r="N40" s="109">
        <f t="shared" si="25"/>
        <v>565.91470972584261</v>
      </c>
      <c r="O40" s="109">
        <f t="shared" si="25"/>
        <v>565.91470972584261</v>
      </c>
      <c r="Q40" s="120"/>
    </row>
    <row r="41" spans="2:17">
      <c r="B41" s="108" t="s">
        <v>674</v>
      </c>
      <c r="C41" s="855" t="s">
        <v>152</v>
      </c>
      <c r="D41" s="122">
        <f>Residentialmarketraterampup</f>
        <v>0.47499999999999998</v>
      </c>
      <c r="E41" s="109">
        <f>IF(OR(E$2=$H36,AND(E$2&gt;$H36,E$2&lt;(SUM($H36,INDEX(cockpit!$J$6:$Y$16,MATCH($D35,cockpit!$J$6:$J$16,0),MATCH($C$12,cockpit!$J$6:$Y$6,0)))))),E39*$D41,0)</f>
        <v>0</v>
      </c>
      <c r="F41" s="109">
        <f>IF(OR(F$2=$H36,AND(F$2&gt;$H36,F$2&lt;(SUM($H36,INDEX(cockpit!$J$6:$Y$16,MATCH($D35,cockpit!$J$6:$J$16,0),MATCH($C$12,cockpit!$J$6:$Y$6,0)))))),F39*$D41,0)</f>
        <v>0</v>
      </c>
      <c r="G41" s="109">
        <f>IF(OR(G$2=$H36,AND(G$2&gt;$H36,G$2&lt;(SUM($H36,INDEX(cockpit!$J$6:$Y$16,MATCH($D35,cockpit!$J$6:$J$16,0),MATCH($C$12,cockpit!$J$6:$Y$6,0)))))),G39*$D41,0)</f>
        <v>0</v>
      </c>
      <c r="H41" s="109">
        <f>IF(OR(H$2=$H36,AND(H$2&gt;$H36,H$2&lt;(SUM($H36,INDEX(cockpit!$J$6:$Y$16,MATCH($D35,cockpit!$J$6:$J$16,0),MATCH($C$12,cockpit!$J$6:$Y$6,0)))))),H39*$D41,0)</f>
        <v>0</v>
      </c>
      <c r="I41" s="109">
        <f>IF(OR(I$2=$H36,AND(I$2&gt;$H36,I$2&lt;(SUM($H36,INDEX(cockpit!$J$6:$Y$16,MATCH($D35,cockpit!$J$6:$J$16,0),MATCH($C$12,cockpit!$J$6:$Y$6,0)))))),I39*$D41,0)</f>
        <v>0</v>
      </c>
      <c r="J41" s="109">
        <f>IF(OR(J$2=$H36,AND(J$2&gt;$H36,J$2&lt;(SUM($H36,INDEX(cockpit!$J$6:$Y$16,MATCH($D35,cockpit!$J$6:$J$16,0),MATCH($C$12,cockpit!$J$6:$Y$6,0)))))),J39*$D41,0)</f>
        <v>0</v>
      </c>
      <c r="K41" s="109">
        <f>IF(OR(K$2=$H36,AND(K$2&gt;$H36,K$2&lt;(SUM($H36,INDEX(cockpit!$J$6:$Y$16,MATCH($D35,cockpit!$J$6:$J$16,0),MATCH($C$12,cockpit!$J$6:$Y$6,0)))))),K39*$D41,0)</f>
        <v>179430.33265244999</v>
      </c>
      <c r="L41" s="109">
        <f>IF(OR(L$2=$H36,AND(L$2&gt;$H36,L$2&lt;(SUM($H36,INDEX(cockpit!$J$6:$Y$16,MATCH($D35,cockpit!$J$6:$J$16,0),MATCH($C$12,cockpit!$J$6:$Y$6,0)))))),L39*$D41,0)</f>
        <v>179430.33265244999</v>
      </c>
      <c r="M41" s="109">
        <f>IF(OR(M$2=$H36,AND(M$2&gt;$H36,M$2&lt;(SUM($H36,INDEX(cockpit!$J$6:$Y$16,MATCH($D35,cockpit!$J$6:$J$16,0),MATCH($C$12,cockpit!$J$6:$Y$6,0)))))),M39*$D41,0)</f>
        <v>0</v>
      </c>
      <c r="N41" s="109">
        <f>IF(OR(N$2=$H36,AND(N$2&gt;$H36,N$2&lt;(SUM($H36,INDEX(cockpit!$J$6:$Y$16,MATCH($D35,cockpit!$J$6:$J$16,0),MATCH($C$12,cockpit!$J$6:$Y$6,0)))))),N39*$D41,0)</f>
        <v>0</v>
      </c>
      <c r="O41" s="109">
        <f>IF(OR(O$2=$H36,AND(O$2&gt;$H36,O$2&lt;(SUM($H36,INDEX(cockpit!$J$6:$Y$16,MATCH($D35,cockpit!$J$6:$J$16,0),MATCH($C$12,cockpit!$J$6:$Y$6,0)))))),O39*$D41,0)</f>
        <v>0</v>
      </c>
    </row>
    <row r="42" spans="2:17">
      <c r="B42" s="108" t="s">
        <v>675</v>
      </c>
      <c r="C42" s="855"/>
      <c r="D42" s="122"/>
      <c r="E42" s="109">
        <f t="shared" ref="E42:O42" si="26">E41/Residentialmarketrateaveragesize</f>
        <v>0</v>
      </c>
      <c r="F42" s="109">
        <f t="shared" si="26"/>
        <v>0</v>
      </c>
      <c r="G42" s="109">
        <f t="shared" si="26"/>
        <v>0</v>
      </c>
      <c r="H42" s="109">
        <f t="shared" si="26"/>
        <v>0</v>
      </c>
      <c r="I42" s="109">
        <f t="shared" si="26"/>
        <v>0</v>
      </c>
      <c r="J42" s="109">
        <f t="shared" si="26"/>
        <v>0</v>
      </c>
      <c r="K42" s="109">
        <f t="shared" si="26"/>
        <v>268.80948711977527</v>
      </c>
      <c r="L42" s="109">
        <f t="shared" si="26"/>
        <v>268.80948711977527</v>
      </c>
      <c r="M42" s="109">
        <f t="shared" si="26"/>
        <v>0</v>
      </c>
      <c r="N42" s="109">
        <f t="shared" si="26"/>
        <v>0</v>
      </c>
      <c r="O42" s="109">
        <f t="shared" si="26"/>
        <v>0</v>
      </c>
    </row>
    <row r="43" spans="2:17">
      <c r="B43" s="108" t="s">
        <v>676</v>
      </c>
      <c r="C43" s="855"/>
      <c r="D43" s="122"/>
      <c r="E43" s="109">
        <f t="shared" ref="E43" si="27">E42/12</f>
        <v>0</v>
      </c>
      <c r="F43" s="109">
        <f t="shared" ref="F43" si="28">F42/12</f>
        <v>0</v>
      </c>
      <c r="G43" s="109">
        <f t="shared" ref="G43" si="29">G42/12</f>
        <v>0</v>
      </c>
      <c r="H43" s="109">
        <f t="shared" ref="H43" si="30">H42/12</f>
        <v>0</v>
      </c>
      <c r="I43" s="109">
        <f t="shared" ref="I43" si="31">I42/12</f>
        <v>0</v>
      </c>
      <c r="J43" s="109">
        <f t="shared" ref="J43" si="32">J42/12</f>
        <v>0</v>
      </c>
      <c r="K43" s="109">
        <f t="shared" ref="K43" si="33">K42/12</f>
        <v>22.400790593314607</v>
      </c>
      <c r="L43" s="109">
        <f t="shared" ref="L43" si="34">L42/12</f>
        <v>22.400790593314607</v>
      </c>
      <c r="M43" s="109">
        <f t="shared" ref="M43" si="35">M42/12</f>
        <v>0</v>
      </c>
      <c r="N43" s="109">
        <f t="shared" ref="N43" si="36">N42/12</f>
        <v>0</v>
      </c>
      <c r="O43" s="109">
        <f t="shared" ref="O43" si="37">O42/12</f>
        <v>0</v>
      </c>
    </row>
    <row r="44" spans="2:17">
      <c r="B44" s="108" t="s">
        <v>181</v>
      </c>
      <c r="C44" s="855"/>
      <c r="E44" s="109">
        <f>SUM($E41:E41)</f>
        <v>0</v>
      </c>
      <c r="F44" s="109">
        <f>SUM($E41:F41)</f>
        <v>0</v>
      </c>
      <c r="G44" s="109">
        <f>SUM($E41:G41)</f>
        <v>0</v>
      </c>
      <c r="H44" s="109">
        <f>SUM($E41:H41)</f>
        <v>0</v>
      </c>
      <c r="I44" s="109">
        <f>SUM($E41:I41)</f>
        <v>0</v>
      </c>
      <c r="J44" s="109">
        <f>SUM($E41:J41)</f>
        <v>0</v>
      </c>
      <c r="K44" s="109">
        <f>SUM($E41:K41)</f>
        <v>179430.33265244999</v>
      </c>
      <c r="L44" s="109">
        <f>SUM($E41:L41)</f>
        <v>358860.66530489997</v>
      </c>
      <c r="M44" s="109">
        <f>SUM($E41:M41)</f>
        <v>358860.66530489997</v>
      </c>
      <c r="N44" s="109">
        <f>SUM($E41:N41)</f>
        <v>358860.66530489997</v>
      </c>
      <c r="O44" s="109">
        <f>SUM($E41:O41)</f>
        <v>358860.66530489997</v>
      </c>
    </row>
    <row r="45" spans="2:17">
      <c r="C45" s="855"/>
    </row>
    <row r="46" spans="2:17">
      <c r="B46" s="108" t="s">
        <v>166</v>
      </c>
      <c r="C46" s="855"/>
      <c r="D46" s="111">
        <f>(ResidentialmarketratePSFrate*(1-$K34))+((ResidentialmarketratePSFrate*(1+premiumprices)*$K34))</f>
        <v>2.1451613030725563</v>
      </c>
      <c r="E46" s="112">
        <f t="shared" ref="E46:O46" si="38">E44*($D46*((1+Inflation)^(E$2-1)))*12</f>
        <v>0</v>
      </c>
      <c r="F46" s="112">
        <f t="shared" si="38"/>
        <v>0</v>
      </c>
      <c r="G46" s="112">
        <f t="shared" si="38"/>
        <v>0</v>
      </c>
      <c r="H46" s="112">
        <f t="shared" si="38"/>
        <v>0</v>
      </c>
      <c r="I46" s="112">
        <f t="shared" si="38"/>
        <v>0</v>
      </c>
      <c r="J46" s="112">
        <f>(J44*12)*($D46*((1+Inflation)^(J$2-1)))</f>
        <v>0</v>
      </c>
      <c r="K46" s="112">
        <f t="shared" si="38"/>
        <v>5099621.238797239</v>
      </c>
      <c r="L46" s="112">
        <f t="shared" si="38"/>
        <v>10403227.327146366</v>
      </c>
      <c r="M46" s="112">
        <f t="shared" si="38"/>
        <v>10611291.873689292</v>
      </c>
      <c r="N46" s="112">
        <f t="shared" si="38"/>
        <v>10823517.711163081</v>
      </c>
      <c r="O46" s="112">
        <f t="shared" si="38"/>
        <v>11039988.06538634</v>
      </c>
    </row>
    <row r="47" spans="2:17">
      <c r="B47" s="108" t="s">
        <v>123</v>
      </c>
      <c r="C47" s="855"/>
      <c r="D47" s="111">
        <f>INDEX(cockpit!$J$6:$Y$16,MATCH($D35,cockpit!$J$6:$J$16,0),MATCH($B47,cockpit!$J$6:$Y$6,0))</f>
        <v>6</v>
      </c>
      <c r="E47" s="113">
        <f t="shared" ref="E47:O47" si="39">-IF($D47&gt;1,E38*($D47*((1+Inflation)^(E$2-1))),E46*(1-$D47))</f>
        <v>0</v>
      </c>
      <c r="F47" s="113">
        <f t="shared" si="39"/>
        <v>0</v>
      </c>
      <c r="G47" s="113">
        <f t="shared" si="39"/>
        <v>0</v>
      </c>
      <c r="H47" s="113">
        <f t="shared" si="39"/>
        <v>0</v>
      </c>
      <c r="I47" s="113">
        <f t="shared" si="39"/>
        <v>0</v>
      </c>
      <c r="J47" s="113">
        <f t="shared" si="39"/>
        <v>0</v>
      </c>
      <c r="K47" s="113">
        <f t="shared" si="39"/>
        <v>-2780429.2742927745</v>
      </c>
      <c r="L47" s="113">
        <f t="shared" si="39"/>
        <v>-2836037.8597786301</v>
      </c>
      <c r="M47" s="113">
        <f t="shared" si="39"/>
        <v>-2892758.616974202</v>
      </c>
      <c r="N47" s="113">
        <f t="shared" si="39"/>
        <v>-2950613.7893136865</v>
      </c>
      <c r="O47" s="113">
        <f t="shared" si="39"/>
        <v>-3009626.0650999602</v>
      </c>
    </row>
    <row r="48" spans="2:17">
      <c r="B48" s="114" t="s">
        <v>167</v>
      </c>
      <c r="C48" s="855"/>
      <c r="E48" s="112">
        <f t="shared" ref="E48:O48" si="40">SUM(E46:E47)</f>
        <v>0</v>
      </c>
      <c r="F48" s="112">
        <f t="shared" si="40"/>
        <v>0</v>
      </c>
      <c r="G48" s="112">
        <f t="shared" si="40"/>
        <v>0</v>
      </c>
      <c r="H48" s="112">
        <f t="shared" si="40"/>
        <v>0</v>
      </c>
      <c r="I48" s="112">
        <f t="shared" si="40"/>
        <v>0</v>
      </c>
      <c r="J48" s="112">
        <f t="shared" si="40"/>
        <v>0</v>
      </c>
      <c r="K48" s="112">
        <f t="shared" si="40"/>
        <v>2319191.9645044645</v>
      </c>
      <c r="L48" s="112">
        <f t="shared" si="40"/>
        <v>7567189.4673677366</v>
      </c>
      <c r="M48" s="112">
        <f t="shared" si="40"/>
        <v>7718533.25671509</v>
      </c>
      <c r="N48" s="112">
        <f t="shared" si="40"/>
        <v>7872903.9218493942</v>
      </c>
      <c r="O48" s="112">
        <f t="shared" si="40"/>
        <v>8030362.0002863798</v>
      </c>
    </row>
    <row r="49" spans="2:15">
      <c r="C49" s="855"/>
      <c r="E49" s="187">
        <f t="shared" ref="E49:O49" si="41">IFERROR(E48/SUM(E45:E46),0)</f>
        <v>0</v>
      </c>
      <c r="F49" s="187">
        <f t="shared" si="41"/>
        <v>0</v>
      </c>
      <c r="G49" s="187">
        <f t="shared" si="41"/>
        <v>0</v>
      </c>
      <c r="H49" s="187">
        <f t="shared" si="41"/>
        <v>0</v>
      </c>
      <c r="I49" s="187">
        <f t="shared" si="41"/>
        <v>0</v>
      </c>
      <c r="J49" s="187">
        <f t="shared" si="41"/>
        <v>0</v>
      </c>
      <c r="K49" s="187">
        <f t="shared" si="41"/>
        <v>0.4547772973530585</v>
      </c>
      <c r="L49" s="187">
        <f t="shared" si="41"/>
        <v>0.7273886486765293</v>
      </c>
      <c r="M49" s="187">
        <f t="shared" si="41"/>
        <v>0.72738864867652919</v>
      </c>
      <c r="N49" s="187">
        <f t="shared" si="41"/>
        <v>0.72738864867652919</v>
      </c>
      <c r="O49" s="187">
        <f t="shared" si="41"/>
        <v>0.72738864867652919</v>
      </c>
    </row>
    <row r="50" spans="2:15">
      <c r="B50" s="108" t="s">
        <v>168</v>
      </c>
      <c r="C50" s="855"/>
      <c r="D50" s="115">
        <f>INDEX(cockpit!$J$6:$Y$16,MATCH($D35,cockpit!$J$6:$J$16,0),MATCH($B50,cockpit!$J$6:$Y$6,0))</f>
        <v>0.25</v>
      </c>
      <c r="E50" s="112">
        <f>-E39*$D50</f>
        <v>0</v>
      </c>
      <c r="F50" s="112">
        <f t="shared" ref="F50:O50" si="42">-F39*$D50</f>
        <v>0</v>
      </c>
      <c r="G50" s="112">
        <f t="shared" si="42"/>
        <v>0</v>
      </c>
      <c r="H50" s="112">
        <f t="shared" si="42"/>
        <v>0</v>
      </c>
      <c r="I50" s="112">
        <f t="shared" si="42"/>
        <v>0</v>
      </c>
      <c r="J50" s="112">
        <f t="shared" si="42"/>
        <v>0</v>
      </c>
      <c r="K50" s="112">
        <f t="shared" si="42"/>
        <v>-94437.017185499994</v>
      </c>
      <c r="L50" s="112">
        <f t="shared" si="42"/>
        <v>-94437.017185499994</v>
      </c>
      <c r="M50" s="112">
        <f t="shared" si="42"/>
        <v>-94437.017185499994</v>
      </c>
      <c r="N50" s="112">
        <f t="shared" si="42"/>
        <v>-94437.017185499994</v>
      </c>
      <c r="O50" s="112">
        <f t="shared" si="42"/>
        <v>-94437.017185499994</v>
      </c>
    </row>
    <row r="51" spans="2:15">
      <c r="B51" s="108" t="s">
        <v>162</v>
      </c>
      <c r="C51" s="855"/>
      <c r="D51" s="115">
        <f>INDEX(cockpit!$J$6:$Y$16,MATCH($D35,cockpit!$J$6:$J$16,0),MATCH($B51,cockpit!$J$6:$Y$6,0))</f>
        <v>2.5000000000000001E-2</v>
      </c>
      <c r="E51" s="113">
        <f>-E44*$D51</f>
        <v>0</v>
      </c>
      <c r="F51" s="113">
        <f t="shared" ref="F51:O51" si="43">-F44*$D51</f>
        <v>0</v>
      </c>
      <c r="G51" s="113">
        <f t="shared" si="43"/>
        <v>0</v>
      </c>
      <c r="H51" s="113">
        <f t="shared" si="43"/>
        <v>0</v>
      </c>
      <c r="I51" s="113">
        <f t="shared" si="43"/>
        <v>0</v>
      </c>
      <c r="J51" s="113">
        <f t="shared" si="43"/>
        <v>0</v>
      </c>
      <c r="K51" s="113">
        <f t="shared" si="43"/>
        <v>-4485.7583163112495</v>
      </c>
      <c r="L51" s="113">
        <f t="shared" si="43"/>
        <v>-8971.5166326224989</v>
      </c>
      <c r="M51" s="113">
        <f t="shared" si="43"/>
        <v>-8971.5166326224989</v>
      </c>
      <c r="N51" s="113">
        <f t="shared" si="43"/>
        <v>-8971.5166326224989</v>
      </c>
      <c r="O51" s="113">
        <f t="shared" si="43"/>
        <v>-8971.5166326224989</v>
      </c>
    </row>
    <row r="52" spans="2:15">
      <c r="B52" s="114" t="s">
        <v>195</v>
      </c>
      <c r="C52" s="855"/>
      <c r="D52" s="115"/>
      <c r="E52" s="112">
        <f t="shared" ref="E52:O52" si="44">SUM(E50:E51)</f>
        <v>0</v>
      </c>
      <c r="F52" s="112">
        <f t="shared" si="44"/>
        <v>0</v>
      </c>
      <c r="G52" s="112">
        <f t="shared" si="44"/>
        <v>0</v>
      </c>
      <c r="H52" s="112">
        <f t="shared" si="44"/>
        <v>0</v>
      </c>
      <c r="I52" s="112">
        <f t="shared" si="44"/>
        <v>0</v>
      </c>
      <c r="J52" s="112">
        <f t="shared" si="44"/>
        <v>0</v>
      </c>
      <c r="K52" s="112">
        <f t="shared" si="44"/>
        <v>-98922.775501811237</v>
      </c>
      <c r="L52" s="112">
        <f t="shared" si="44"/>
        <v>-103408.53381812249</v>
      </c>
      <c r="M52" s="112">
        <f t="shared" si="44"/>
        <v>-103408.53381812249</v>
      </c>
      <c r="N52" s="112">
        <f t="shared" si="44"/>
        <v>-103408.53381812249</v>
      </c>
      <c r="O52" s="112">
        <f t="shared" si="44"/>
        <v>-103408.53381812249</v>
      </c>
    </row>
    <row r="53" spans="2:15">
      <c r="B53" s="108"/>
      <c r="C53" s="855"/>
    </row>
    <row r="54" spans="2:15">
      <c r="B54" s="108" t="s">
        <v>170</v>
      </c>
      <c r="C54" s="855"/>
      <c r="D54" s="111">
        <f>(ResidentialmarketrateconstructionPSF*(1-$K34))+((ResidentialmarketrateconstructionPSF*(1+premiumprices)*$K34))</f>
        <v>143.18951698009312</v>
      </c>
      <c r="E54" s="112">
        <f>-IF(OR(E$2=$H34,E$2=$H35,AND(E$2&gt;$H34,E$2&lt;$H35)),(INDEX(summary!$A$2:$D$24,MATCH($D35,summary!$A$2:$A$24,0),MATCH($D34,summary!$A$2:$D$2,0)))/constructiontimephase2)*($D54*((1+Inflation)^(E$2-1)))*(1+Developerfee)</f>
        <v>0</v>
      </c>
      <c r="F54" s="112">
        <f>-IF(OR(F$2=$H34,F$2=$H35,AND(F$2&gt;$H34,F$2&lt;$H35)),(INDEX(summary!$A$2:$D$24,MATCH($D35,summary!$A$2:$A$24,0),MATCH($D34,summary!$A$2:$D$2,0)))/constructiontimephase2)*($D54*((1+Inflation)^(F$2-1)))*(1+Developerfee)</f>
        <v>0</v>
      </c>
      <c r="G54" s="112">
        <f>-IF(OR(G$2=$H34,G$2=$H35,AND(G$2&gt;$H34,G$2&lt;$H35)),(INDEX(summary!$A$2:$D$24,MATCH($D35,summary!$A$2:$A$24,0),MATCH($D34,summary!$A$2:$D$2,0)))/constructiontimephase2)*($D54*((1+Inflation)^(G$2-1)))*(1+Developerfee)</f>
        <v>0</v>
      </c>
      <c r="H54" s="112">
        <f>-IF(OR(H$2=$H34,H$2=$H35,AND(H$2&gt;$H34,H$2&lt;$H35)),(INDEX(summary!$A$2:$D$24,MATCH($D35,summary!$A$2:$A$24,0),MATCH($D34,summary!$A$2:$D$2,0)))/constructiontimephase2)*($D54*((1+Inflation)^(H$2-1)))*(1+Developerfee)</f>
        <v>0</v>
      </c>
      <c r="I54" s="112">
        <f>-IF(OR(I$2=$H34,I$2=$H35,AND(I$2&gt;$H34,I$2&lt;$H35)),(INDEX(summary!$A$2:$D$24,MATCH($D35,summary!$A$2:$A$24,0),MATCH($D34,summary!$A$2:$D$2,0)))/constructiontimephase2)*($D54*((1+Inflation)^(I$2-1)))*(1+Developerfee)</f>
        <v>-32845714.350793924</v>
      </c>
      <c r="J54" s="112">
        <f>-IF(OR(J$2=$H34,J$2=$H35,AND(J$2&gt;$H34,J$2&lt;$H35)),(INDEX(summary!$A$2:$D$24,MATCH($D35,summary!$A$2:$A$24,0),MATCH($D34,summary!$A$2:$D$2,0)))/constructiontimephase2)*($D54*((1+Inflation)^(J$2-1)))*(1+Developerfee)</f>
        <v>-33502628.637809802</v>
      </c>
      <c r="K54" s="112">
        <f>-IF(OR(K$2=$H34,K$2=$H35,AND(K$2&gt;$H34,K$2&lt;$H35)),(INDEX(summary!$A$2:$D$24,MATCH($D35,summary!$A$2:$A$24,0),MATCH($D34,summary!$A$2:$D$2,0)))/constructiontimephase2)*($D54*((1+Inflation)^(K$2-1)))*(1+Developerfee)</f>
        <v>0</v>
      </c>
      <c r="L54" s="112">
        <f>-IF(OR(L$2=$H34,L$2=$H35,AND(L$2&gt;$H34,L$2&lt;$H35)),(INDEX(summary!$A$2:$D$24,MATCH($D35,summary!$A$2:$A$24,0),MATCH($D34,summary!$A$2:$D$2,0)))/constructiontimephase2)*($D54*((1+Inflation)^(L$2-1)))*(1+Developerfee)</f>
        <v>0</v>
      </c>
      <c r="M54" s="112">
        <f>-IF(OR(M$2=$H34,M$2=$H35,AND(M$2&gt;$H34,M$2&lt;$H35)),(INDEX(summary!$A$2:$D$24,MATCH($D35,summary!$A$2:$A$24,0),MATCH($D34,summary!$A$2:$D$2,0)))/constructiontimephase2)*($D54*((1+Inflation)^(M$2-1)))*(1+Developerfee)</f>
        <v>0</v>
      </c>
      <c r="N54" s="112">
        <f>-IF(OR(N$2=$H34,N$2=$H35,AND(N$2&gt;$H34,N$2&lt;$H35)),(INDEX(summary!$A$2:$D$24,MATCH($D35,summary!$A$2:$A$24,0),MATCH($D34,summary!$A$2:$D$2,0)))/constructiontimephase2)*($D54*((1+Inflation)^(N$2-1)))*(1+Developerfee)</f>
        <v>0</v>
      </c>
      <c r="O54" s="112">
        <f>-IF(OR(O$2=$H34,O$2=$H35,AND(O$2&gt;$H34,O$2&lt;$H35)),(INDEX(summary!$A$2:$D$24,MATCH($D35,summary!$A$2:$A$24,0),MATCH($D34,summary!$A$2:$D$2,0)))/constructiontimephase2)*($D54*((1+Inflation)^(O$2-1)))*(1+Developerfee)</f>
        <v>0</v>
      </c>
    </row>
    <row r="55" spans="2:15">
      <c r="B55" s="108" t="s">
        <v>197</v>
      </c>
      <c r="C55" s="855" t="s">
        <v>189</v>
      </c>
      <c r="D55" s="122">
        <f>(INDEX(cockpit!$J$6:$Y$16,MATCH($D35,cockpit!$J$6:$J$16,0),MATCH($C55,cockpit!$J$6:$Y$6,0))*(1-$K34))+((INDEX(cockpit!$J$6:$Y$16,MATCH($D35,cockpit!$J$6:$J$16,0),MATCH($C55,cockpit!$J$6:$Y$6,0))-(Premiumexitcaprate))*$K34)</f>
        <v>6.0680107337757083E-2</v>
      </c>
      <c r="E55" s="113">
        <f t="shared" ref="E55:O55" si="45">IF(E$2=dispositionyear,E48/$D55,0)*(1-Closingcosts)</f>
        <v>0</v>
      </c>
      <c r="F55" s="113">
        <f t="shared" si="45"/>
        <v>0</v>
      </c>
      <c r="G55" s="113">
        <f t="shared" si="45"/>
        <v>0</v>
      </c>
      <c r="H55" s="113">
        <f t="shared" si="45"/>
        <v>0</v>
      </c>
      <c r="I55" s="113">
        <f t="shared" si="45"/>
        <v>0</v>
      </c>
      <c r="J55" s="113">
        <f t="shared" si="45"/>
        <v>0</v>
      </c>
      <c r="K55" s="113">
        <f t="shared" si="45"/>
        <v>0</v>
      </c>
      <c r="L55" s="113">
        <f t="shared" si="45"/>
        <v>0</v>
      </c>
      <c r="M55" s="113">
        <f t="shared" si="45"/>
        <v>0</v>
      </c>
      <c r="N55" s="113">
        <f t="shared" si="45"/>
        <v>0</v>
      </c>
      <c r="O55" s="113">
        <f t="shared" si="45"/>
        <v>129030802.57749303</v>
      </c>
    </row>
    <row r="56" spans="2:15">
      <c r="B56" s="114" t="s">
        <v>196</v>
      </c>
      <c r="C56" s="855"/>
      <c r="D56" s="110"/>
      <c r="E56" s="112">
        <f t="shared" ref="E56:O56" si="46">SUM(E54:E55)</f>
        <v>0</v>
      </c>
      <c r="F56" s="112">
        <f t="shared" si="46"/>
        <v>0</v>
      </c>
      <c r="G56" s="112">
        <f t="shared" si="46"/>
        <v>0</v>
      </c>
      <c r="H56" s="112">
        <f t="shared" si="46"/>
        <v>0</v>
      </c>
      <c r="I56" s="112">
        <f t="shared" si="46"/>
        <v>-32845714.350793924</v>
      </c>
      <c r="J56" s="112">
        <f t="shared" si="46"/>
        <v>-33502628.637809802</v>
      </c>
      <c r="K56" s="112">
        <f t="shared" si="46"/>
        <v>0</v>
      </c>
      <c r="L56" s="112">
        <f t="shared" si="46"/>
        <v>0</v>
      </c>
      <c r="M56" s="112">
        <f t="shared" si="46"/>
        <v>0</v>
      </c>
      <c r="N56" s="112">
        <f t="shared" si="46"/>
        <v>0</v>
      </c>
      <c r="O56" s="112">
        <f t="shared" si="46"/>
        <v>129030802.57749303</v>
      </c>
    </row>
    <row r="57" spans="2:15">
      <c r="B57" s="108"/>
      <c r="C57" s="855"/>
      <c r="D57" s="110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</row>
    <row r="58" spans="2:15">
      <c r="B58" s="114" t="s">
        <v>169</v>
      </c>
      <c r="C58" s="856"/>
      <c r="D58" s="116">
        <f ca="1">IRR(OFFSET(E58,0,0,1,Investmenthorizon+1))</f>
        <v>0.19108014360944736</v>
      </c>
      <c r="E58" s="117">
        <f>SUM(E48,E52,E56)</f>
        <v>0</v>
      </c>
      <c r="F58" s="117">
        <f t="shared" ref="F58:O58" si="47">SUM(F48,F52,F56)</f>
        <v>0</v>
      </c>
      <c r="G58" s="117">
        <f t="shared" si="47"/>
        <v>0</v>
      </c>
      <c r="H58" s="117">
        <f t="shared" si="47"/>
        <v>0</v>
      </c>
      <c r="I58" s="117">
        <f t="shared" si="47"/>
        <v>-32845714.350793924</v>
      </c>
      <c r="J58" s="117">
        <f t="shared" si="47"/>
        <v>-33502628.637809802</v>
      </c>
      <c r="K58" s="117">
        <f t="shared" si="47"/>
        <v>2220269.1890026531</v>
      </c>
      <c r="L58" s="117">
        <f t="shared" si="47"/>
        <v>7463780.9335496137</v>
      </c>
      <c r="M58" s="117">
        <f t="shared" si="47"/>
        <v>7615124.7228969671</v>
      </c>
      <c r="N58" s="117">
        <f t="shared" si="47"/>
        <v>7769495.3880312713</v>
      </c>
      <c r="O58" s="117">
        <f t="shared" si="47"/>
        <v>136957756.04396129</v>
      </c>
    </row>
    <row r="59" spans="2:15" ht="10" thickBot="1">
      <c r="C59" s="856"/>
    </row>
    <row r="60" spans="2:15">
      <c r="B60" s="123" t="s">
        <v>198</v>
      </c>
      <c r="C60" s="124"/>
      <c r="D60" s="124"/>
      <c r="E60" s="134"/>
      <c r="F60" s="135"/>
      <c r="G60" s="135"/>
      <c r="H60" s="135"/>
      <c r="I60" s="135"/>
      <c r="J60" s="135"/>
      <c r="K60" s="125"/>
      <c r="L60" s="107"/>
      <c r="M60" s="107"/>
      <c r="N60" s="107"/>
      <c r="O60" s="107"/>
    </row>
    <row r="61" spans="2:15">
      <c r="B61" s="126" t="s">
        <v>89</v>
      </c>
      <c r="D61" s="133">
        <f>Phase3</f>
        <v>3</v>
      </c>
      <c r="G61" s="107" t="s">
        <v>204</v>
      </c>
      <c r="H61" s="133">
        <f>Phase3begin</f>
        <v>6</v>
      </c>
      <c r="J61" s="107" t="s">
        <v>201</v>
      </c>
      <c r="K61" s="136">
        <f>summary!AJ12</f>
        <v>0</v>
      </c>
    </row>
    <row r="62" spans="2:15">
      <c r="B62" s="126" t="s">
        <v>93</v>
      </c>
      <c r="D62" s="130" t="s">
        <v>164</v>
      </c>
      <c r="G62" s="107" t="s">
        <v>205</v>
      </c>
      <c r="H62" s="133">
        <f>Phase3end</f>
        <v>7</v>
      </c>
      <c r="K62" s="127"/>
    </row>
    <row r="63" spans="2:15" ht="10" thickBot="1">
      <c r="B63" s="137"/>
      <c r="C63" s="852"/>
      <c r="D63" s="138"/>
      <c r="E63" s="138"/>
      <c r="F63" s="138"/>
      <c r="G63" s="129" t="s">
        <v>199</v>
      </c>
      <c r="H63" s="131">
        <f>Phase3open</f>
        <v>8</v>
      </c>
      <c r="I63" s="138"/>
      <c r="J63" s="138"/>
      <c r="K63" s="128"/>
    </row>
    <row r="64" spans="2:15">
      <c r="C64" s="853"/>
    </row>
    <row r="65" spans="2:17">
      <c r="B65" s="108" t="s">
        <v>182</v>
      </c>
      <c r="C65" s="854"/>
      <c r="E65" s="109">
        <f>IF(OR(E$2=$H63,E$2&gt;$H63),INDEX(summary!$A$2:$D$24,MATCH($D62,summary!$A$2:$A$24,0),MATCH($D61,summary!$A$2:$D$2,0)),0)</f>
        <v>0</v>
      </c>
      <c r="F65" s="109">
        <f>IF(OR(F$2=$H63,F$2&gt;$H63),INDEX(summary!$A$2:$D$24,MATCH($D62,summary!$A$2:$A$24,0),MATCH($D61,summary!$A$2:$D$2,0)),0)</f>
        <v>0</v>
      </c>
      <c r="G65" s="109">
        <f>IF(OR(G$2=$H63,G$2&gt;$H63),INDEX(summary!$A$2:$D$24,MATCH($D62,summary!$A$2:$A$24,0),MATCH($D61,summary!$A$2:$D$2,0)),0)</f>
        <v>0</v>
      </c>
      <c r="H65" s="109">
        <f>IF(OR(H$2=$H63,H$2&gt;$H63),INDEX(summary!$A$2:$D$24,MATCH($D62,summary!$A$2:$A$24,0),MATCH($D61,summary!$A$2:$D$2,0)),0)</f>
        <v>0</v>
      </c>
      <c r="I65" s="109">
        <f>IF(OR(I$2=$H63,I$2&gt;$H63),INDEX(summary!$A$2:$D$24,MATCH($D62,summary!$A$2:$A$24,0),MATCH($D61,summary!$A$2:$D$2,0)),0)</f>
        <v>0</v>
      </c>
      <c r="J65" s="109">
        <f>IF(OR(J$2=$H63,J$2&gt;$H63),INDEX(summary!$A$2:$D$24,MATCH($D62,summary!$A$2:$A$24,0),MATCH($D61,summary!$A$2:$D$2,0)),0)</f>
        <v>0</v>
      </c>
      <c r="K65" s="109">
        <f>IF(OR(K$2=$H63,K$2&gt;$H63),INDEX(summary!$A$2:$D$24,MATCH($D62,summary!$A$2:$A$24,0),MATCH($D61,summary!$A$2:$D$2,0)),0)</f>
        <v>0</v>
      </c>
      <c r="L65" s="109">
        <f>IF(OR(L$2=$H63,L$2&gt;$H63),INDEX(summary!$A$2:$D$24,MATCH($D62,summary!$A$2:$A$24,0),MATCH($D61,summary!$A$2:$D$2,0)),0)</f>
        <v>0</v>
      </c>
      <c r="M65" s="109">
        <f>IF(OR(M$2=$H63,M$2&gt;$H63),INDEX(summary!$A$2:$D$24,MATCH($D62,summary!$A$2:$A$24,0),MATCH($D61,summary!$A$2:$D$2,0)),0)</f>
        <v>276975.2</v>
      </c>
      <c r="N65" s="109">
        <f>IF(OR(N$2=$H63,N$2&gt;$H63),INDEX(summary!$A$2:$D$24,MATCH($D62,summary!$A$2:$A$24,0),MATCH($D61,summary!$A$2:$D$2,0)),0)</f>
        <v>276975.2</v>
      </c>
      <c r="O65" s="109">
        <f>IF(OR(O$2=$H63,O$2&gt;$H63),INDEX(summary!$A$2:$D$24,MATCH($D62,summary!$A$2:$A$24,0),MATCH($D61,summary!$A$2:$D$2,0)),0)</f>
        <v>276975.2</v>
      </c>
    </row>
    <row r="66" spans="2:17">
      <c r="B66" s="108" t="s">
        <v>194</v>
      </c>
      <c r="C66" s="855" t="s">
        <v>191</v>
      </c>
      <c r="D66" s="110">
        <f>INDEX(cockpit!$J$6:$Y$16,MATCH($D62,cockpit!$J$6:$J$16,0),MATCH($C$10,cockpit!$J$6:$Y$6,0))</f>
        <v>0.1</v>
      </c>
      <c r="E66" s="109">
        <f t="shared" ref="E66:O66" si="48">E65*(1-$D66)</f>
        <v>0</v>
      </c>
      <c r="F66" s="109">
        <f t="shared" si="48"/>
        <v>0</v>
      </c>
      <c r="G66" s="109">
        <f t="shared" si="48"/>
        <v>0</v>
      </c>
      <c r="H66" s="109">
        <f t="shared" si="48"/>
        <v>0</v>
      </c>
      <c r="I66" s="109">
        <f t="shared" si="48"/>
        <v>0</v>
      </c>
      <c r="J66" s="109">
        <f t="shared" si="48"/>
        <v>0</v>
      </c>
      <c r="K66" s="109">
        <f t="shared" si="48"/>
        <v>0</v>
      </c>
      <c r="L66" s="109">
        <f t="shared" si="48"/>
        <v>0</v>
      </c>
      <c r="M66" s="109">
        <f t="shared" si="48"/>
        <v>249277.68000000002</v>
      </c>
      <c r="N66" s="109">
        <f t="shared" si="48"/>
        <v>249277.68000000002</v>
      </c>
      <c r="O66" s="109">
        <f t="shared" si="48"/>
        <v>249277.68000000002</v>
      </c>
    </row>
    <row r="67" spans="2:17">
      <c r="B67" s="108" t="s">
        <v>759</v>
      </c>
      <c r="C67" s="855"/>
      <c r="D67" s="110"/>
      <c r="E67" s="109">
        <f t="shared" ref="E67:O67" si="49">E66/Residentialmarketrateaveragesize</f>
        <v>0</v>
      </c>
      <c r="F67" s="109">
        <f t="shared" si="49"/>
        <v>0</v>
      </c>
      <c r="G67" s="109">
        <f t="shared" si="49"/>
        <v>0</v>
      </c>
      <c r="H67" s="109">
        <f t="shared" si="49"/>
        <v>0</v>
      </c>
      <c r="I67" s="109">
        <f t="shared" si="49"/>
        <v>0</v>
      </c>
      <c r="J67" s="109">
        <f t="shared" si="49"/>
        <v>0</v>
      </c>
      <c r="K67" s="109">
        <f t="shared" si="49"/>
        <v>0</v>
      </c>
      <c r="L67" s="109">
        <f t="shared" si="49"/>
        <v>0</v>
      </c>
      <c r="M67" s="109">
        <f t="shared" si="49"/>
        <v>373.44970786516859</v>
      </c>
      <c r="N67" s="109">
        <f t="shared" si="49"/>
        <v>373.44970786516859</v>
      </c>
      <c r="O67" s="109">
        <f t="shared" si="49"/>
        <v>373.44970786516859</v>
      </c>
      <c r="Q67" s="120"/>
    </row>
    <row r="68" spans="2:17">
      <c r="B68" s="108" t="s">
        <v>674</v>
      </c>
      <c r="C68" s="855" t="s">
        <v>152</v>
      </c>
      <c r="D68" s="122">
        <f>Residentialmarketraterampup</f>
        <v>0.47499999999999998</v>
      </c>
      <c r="E68" s="109">
        <f>IF(OR(E$2=$H63,AND(E$2&gt;$H63,E$2&lt;(SUM($H63,INDEX(cockpit!$J$6:$Y$16,MATCH($D62,cockpit!$J$6:$J$16,0),MATCH($C$12,cockpit!$J$6:$Y$6,0)))))),E66*$D68,0)</f>
        <v>0</v>
      </c>
      <c r="F68" s="109">
        <f>IF(OR(F$2=$H63,AND(F$2&gt;$H63,F$2&lt;(SUM($H63,INDEX(cockpit!$J$6:$Y$16,MATCH($D62,cockpit!$J$6:$J$16,0),MATCH($C$12,cockpit!$J$6:$Y$6,0)))))),F66*$D68,0)</f>
        <v>0</v>
      </c>
      <c r="G68" s="109">
        <f>IF(OR(G$2=$H63,AND(G$2&gt;$H63,G$2&lt;(SUM($H63,INDEX(cockpit!$J$6:$Y$16,MATCH($D62,cockpit!$J$6:$J$16,0),MATCH($C$12,cockpit!$J$6:$Y$6,0)))))),G66*$D68,0)</f>
        <v>0</v>
      </c>
      <c r="H68" s="109">
        <f>IF(OR(H$2=$H63,AND(H$2&gt;$H63,H$2&lt;(SUM($H63,INDEX(cockpit!$J$6:$Y$16,MATCH($D62,cockpit!$J$6:$J$16,0),MATCH($C$12,cockpit!$J$6:$Y$6,0)))))),H66*$D68,0)</f>
        <v>0</v>
      </c>
      <c r="I68" s="109">
        <f>IF(OR(I$2=$H63,AND(I$2&gt;$H63,I$2&lt;(SUM($H63,INDEX(cockpit!$J$6:$Y$16,MATCH($D62,cockpit!$J$6:$J$16,0),MATCH($C$12,cockpit!$J$6:$Y$6,0)))))),I66*$D68,0)</f>
        <v>0</v>
      </c>
      <c r="J68" s="109">
        <f>IF(OR(J$2=$H63,AND(J$2&gt;$H63,J$2&lt;(SUM($H63,INDEX(cockpit!$J$6:$Y$16,MATCH($D62,cockpit!$J$6:$J$16,0),MATCH($C$12,cockpit!$J$6:$Y$6,0)))))),J66*$D68,0)</f>
        <v>0</v>
      </c>
      <c r="K68" s="109">
        <f>IF(OR(K$2=$H63,AND(K$2&gt;$H63,K$2&lt;(SUM($H63,INDEX(cockpit!$J$6:$Y$16,MATCH($D62,cockpit!$J$6:$J$16,0),MATCH($C$12,cockpit!$J$6:$Y$6,0)))))),K66*$D68,0)</f>
        <v>0</v>
      </c>
      <c r="L68" s="109">
        <f>IF(OR(L$2=$H63,AND(L$2&gt;$H63,L$2&lt;(SUM($H63,INDEX(cockpit!$J$6:$Y$16,MATCH($D62,cockpit!$J$6:$J$16,0),MATCH($C$12,cockpit!$J$6:$Y$6,0)))))),L66*$D68,0)</f>
        <v>0</v>
      </c>
      <c r="M68" s="109">
        <f>IF(OR(M$2=$H63,AND(M$2&gt;$H63,M$2&lt;(SUM($H63,INDEX(cockpit!$J$6:$Y$16,MATCH($D62,cockpit!$J$6:$J$16,0),MATCH($C$12,cockpit!$J$6:$Y$6,0)))))),M66*$D68,0)</f>
        <v>118406.898</v>
      </c>
      <c r="N68" s="109">
        <f>IF(OR(N$2=$H63,AND(N$2&gt;$H63,N$2&lt;(SUM($H63,INDEX(cockpit!$J$6:$Y$16,MATCH($D62,cockpit!$J$6:$J$16,0),MATCH($C$12,cockpit!$J$6:$Y$6,0)))))),N66*$D68,0)</f>
        <v>118406.898</v>
      </c>
      <c r="O68" s="109">
        <f>IF(OR(O$2=$H63,AND(O$2&gt;$H63,O$2&lt;(SUM($H63,INDEX(cockpit!$J$6:$Y$16,MATCH($D62,cockpit!$J$6:$J$16,0),MATCH($C$12,cockpit!$J$6:$Y$6,0)))))),O66*$D68,0)</f>
        <v>0</v>
      </c>
    </row>
    <row r="69" spans="2:17">
      <c r="B69" s="108" t="s">
        <v>675</v>
      </c>
      <c r="C69" s="855"/>
      <c r="D69" s="122"/>
      <c r="E69" s="109">
        <f t="shared" ref="E69:O69" si="50">E68/Residentialmarketrateaveragesize</f>
        <v>0</v>
      </c>
      <c r="F69" s="109">
        <f t="shared" si="50"/>
        <v>0</v>
      </c>
      <c r="G69" s="109">
        <f t="shared" si="50"/>
        <v>0</v>
      </c>
      <c r="H69" s="109">
        <f t="shared" si="50"/>
        <v>0</v>
      </c>
      <c r="I69" s="109">
        <f t="shared" si="50"/>
        <v>0</v>
      </c>
      <c r="J69" s="109">
        <f t="shared" si="50"/>
        <v>0</v>
      </c>
      <c r="K69" s="109">
        <f t="shared" si="50"/>
        <v>0</v>
      </c>
      <c r="L69" s="109">
        <f t="shared" si="50"/>
        <v>0</v>
      </c>
      <c r="M69" s="109">
        <f t="shared" si="50"/>
        <v>177.38861123595507</v>
      </c>
      <c r="N69" s="109">
        <f t="shared" si="50"/>
        <v>177.38861123595507</v>
      </c>
      <c r="O69" s="109">
        <f t="shared" si="50"/>
        <v>0</v>
      </c>
    </row>
    <row r="70" spans="2:17">
      <c r="B70" s="108" t="s">
        <v>676</v>
      </c>
      <c r="C70" s="855"/>
      <c r="D70" s="122"/>
      <c r="E70" s="109">
        <f t="shared" ref="E70" si="51">E69/12</f>
        <v>0</v>
      </c>
      <c r="F70" s="109">
        <f t="shared" ref="F70" si="52">F69/12</f>
        <v>0</v>
      </c>
      <c r="G70" s="109">
        <f t="shared" ref="G70" si="53">G69/12</f>
        <v>0</v>
      </c>
      <c r="H70" s="109">
        <f t="shared" ref="H70" si="54">H69/12</f>
        <v>0</v>
      </c>
      <c r="I70" s="109">
        <f t="shared" ref="I70" si="55">I69/12</f>
        <v>0</v>
      </c>
      <c r="J70" s="109">
        <f t="shared" ref="J70" si="56">J69/12</f>
        <v>0</v>
      </c>
      <c r="K70" s="109">
        <f t="shared" ref="K70" si="57">K69/12</f>
        <v>0</v>
      </c>
      <c r="L70" s="109">
        <f t="shared" ref="L70" si="58">L69/12</f>
        <v>0</v>
      </c>
      <c r="M70" s="109">
        <f t="shared" ref="M70" si="59">M69/12</f>
        <v>14.782384269662922</v>
      </c>
      <c r="N70" s="109">
        <f t="shared" ref="N70" si="60">N69/12</f>
        <v>14.782384269662922</v>
      </c>
      <c r="O70" s="109">
        <f t="shared" ref="O70" si="61">O69/12</f>
        <v>0</v>
      </c>
    </row>
    <row r="71" spans="2:17">
      <c r="B71" s="108" t="s">
        <v>181</v>
      </c>
      <c r="C71" s="855"/>
      <c r="E71" s="109">
        <f>SUM($E68:E68)</f>
        <v>0</v>
      </c>
      <c r="F71" s="109">
        <f>SUM($E68:F68)</f>
        <v>0</v>
      </c>
      <c r="G71" s="109">
        <f>SUM($E68:G68)</f>
        <v>0</v>
      </c>
      <c r="H71" s="109">
        <f>SUM($E68:H68)</f>
        <v>0</v>
      </c>
      <c r="I71" s="109">
        <f>SUM($E68:I68)</f>
        <v>0</v>
      </c>
      <c r="J71" s="109">
        <f>SUM($E68:J68)</f>
        <v>0</v>
      </c>
      <c r="K71" s="109">
        <f>SUM($E68:K68)</f>
        <v>0</v>
      </c>
      <c r="L71" s="109">
        <f>SUM($E68:L68)</f>
        <v>0</v>
      </c>
      <c r="M71" s="109">
        <f>SUM($E68:M68)</f>
        <v>118406.898</v>
      </c>
      <c r="N71" s="109">
        <f>SUM($E68:N68)</f>
        <v>236813.796</v>
      </c>
      <c r="O71" s="109">
        <f>SUM($E68:O68)</f>
        <v>236813.796</v>
      </c>
    </row>
    <row r="72" spans="2:17">
      <c r="C72" s="855"/>
    </row>
    <row r="73" spans="2:17">
      <c r="B73" s="108" t="s">
        <v>166</v>
      </c>
      <c r="C73" s="855"/>
      <c r="D73" s="111">
        <f>(ResidentialmarketratePSFrate*(1-$K61))+((ResidentialmarketratePSFrate*(1+premiumprices)*$K61))</f>
        <v>2.0224719101123596</v>
      </c>
      <c r="E73" s="112">
        <f t="shared" ref="E73:O73" si="62">E71*($D73*((1+Inflation)^(E$2-1)))*12</f>
        <v>0</v>
      </c>
      <c r="F73" s="112">
        <f t="shared" si="62"/>
        <v>0</v>
      </c>
      <c r="G73" s="112">
        <f t="shared" si="62"/>
        <v>0</v>
      </c>
      <c r="H73" s="112">
        <f t="shared" si="62"/>
        <v>0</v>
      </c>
      <c r="I73" s="112">
        <f t="shared" si="62"/>
        <v>0</v>
      </c>
      <c r="J73" s="112">
        <f t="shared" si="62"/>
        <v>0</v>
      </c>
      <c r="K73" s="112">
        <f t="shared" si="62"/>
        <v>0</v>
      </c>
      <c r="L73" s="112">
        <f t="shared" si="62"/>
        <v>0</v>
      </c>
      <c r="M73" s="112">
        <f t="shared" si="62"/>
        <v>3300972.8363614152</v>
      </c>
      <c r="N73" s="112">
        <f t="shared" si="62"/>
        <v>6733984.5861772886</v>
      </c>
      <c r="O73" s="112">
        <f t="shared" si="62"/>
        <v>6868664.2779008355</v>
      </c>
    </row>
    <row r="74" spans="2:17">
      <c r="B74" s="108" t="s">
        <v>123</v>
      </c>
      <c r="C74" s="855"/>
      <c r="D74" s="111">
        <f>INDEX(cockpit!$J$6:$Y$16,MATCH($D62,cockpit!$J$6:$J$16,0),MATCH($B74,cockpit!$J$6:$Y$6,0))</f>
        <v>6</v>
      </c>
      <c r="E74" s="113">
        <f t="shared" ref="E74:O74" si="63">-IF($D74&gt;1,E65*($D74*((1+Inflation)^(E$2-1))),E73*(1-$D74))</f>
        <v>0</v>
      </c>
      <c r="F74" s="113">
        <f t="shared" si="63"/>
        <v>0</v>
      </c>
      <c r="G74" s="113">
        <f t="shared" si="63"/>
        <v>0</v>
      </c>
      <c r="H74" s="113">
        <f t="shared" si="63"/>
        <v>0</v>
      </c>
      <c r="I74" s="113">
        <f t="shared" si="63"/>
        <v>0</v>
      </c>
      <c r="J74" s="113">
        <f t="shared" si="63"/>
        <v>0</v>
      </c>
      <c r="K74" s="113">
        <f t="shared" si="63"/>
        <v>0</v>
      </c>
      <c r="L74" s="113">
        <f t="shared" si="63"/>
        <v>0</v>
      </c>
      <c r="M74" s="113">
        <f t="shared" si="63"/>
        <v>-1908944.6552057569</v>
      </c>
      <c r="N74" s="113">
        <f t="shared" si="63"/>
        <v>-1947123.5483098724</v>
      </c>
      <c r="O74" s="113">
        <f t="shared" si="63"/>
        <v>-1986066.0192760697</v>
      </c>
    </row>
    <row r="75" spans="2:17">
      <c r="B75" s="114" t="s">
        <v>167</v>
      </c>
      <c r="C75" s="855"/>
      <c r="E75" s="112">
        <f t="shared" ref="E75:O75" si="64">SUM(E73:E74)</f>
        <v>0</v>
      </c>
      <c r="F75" s="112">
        <f t="shared" si="64"/>
        <v>0</v>
      </c>
      <c r="G75" s="112">
        <f t="shared" si="64"/>
        <v>0</v>
      </c>
      <c r="H75" s="112">
        <f t="shared" si="64"/>
        <v>0</v>
      </c>
      <c r="I75" s="112">
        <f t="shared" si="64"/>
        <v>0</v>
      </c>
      <c r="J75" s="112">
        <f t="shared" si="64"/>
        <v>0</v>
      </c>
      <c r="K75" s="112">
        <f t="shared" si="64"/>
        <v>0</v>
      </c>
      <c r="L75" s="112">
        <f t="shared" si="64"/>
        <v>0</v>
      </c>
      <c r="M75" s="112">
        <f t="shared" si="64"/>
        <v>1392028.1811556583</v>
      </c>
      <c r="N75" s="112">
        <f t="shared" si="64"/>
        <v>4786861.0378674157</v>
      </c>
      <c r="O75" s="112">
        <f t="shared" si="64"/>
        <v>4882598.258624766</v>
      </c>
    </row>
    <row r="76" spans="2:17">
      <c r="C76" s="855"/>
      <c r="E76" s="187">
        <f t="shared" ref="E76:O76" si="65">IFERROR(E75/SUM(E72:E73),0)</f>
        <v>0</v>
      </c>
      <c r="F76" s="187">
        <f t="shared" si="65"/>
        <v>0</v>
      </c>
      <c r="G76" s="187">
        <f t="shared" si="65"/>
        <v>0</v>
      </c>
      <c r="H76" s="187">
        <f t="shared" si="65"/>
        <v>0</v>
      </c>
      <c r="I76" s="187">
        <f t="shared" si="65"/>
        <v>0</v>
      </c>
      <c r="J76" s="187">
        <f t="shared" si="65"/>
        <v>0</v>
      </c>
      <c r="K76" s="187">
        <f t="shared" si="65"/>
        <v>0</v>
      </c>
      <c r="L76" s="187">
        <f t="shared" si="65"/>
        <v>0</v>
      </c>
      <c r="M76" s="187">
        <f t="shared" si="65"/>
        <v>0.42170240415854443</v>
      </c>
      <c r="N76" s="187">
        <f t="shared" si="65"/>
        <v>0.71085120207927222</v>
      </c>
      <c r="O76" s="187">
        <f t="shared" si="65"/>
        <v>0.71085120207927233</v>
      </c>
    </row>
    <row r="77" spans="2:17">
      <c r="B77" s="108" t="s">
        <v>168</v>
      </c>
      <c r="C77" s="855"/>
      <c r="D77" s="115">
        <f>INDEX(cockpit!$J$6:$Y$16,MATCH($D62,cockpit!$J$6:$J$16,0),MATCH($B77,cockpit!$J$6:$Y$6,0))</f>
        <v>0.25</v>
      </c>
      <c r="E77" s="112">
        <f>-E66*$D77</f>
        <v>0</v>
      </c>
      <c r="F77" s="112">
        <f t="shared" ref="F77:O77" si="66">-F66*$D77</f>
        <v>0</v>
      </c>
      <c r="G77" s="112">
        <f t="shared" si="66"/>
        <v>0</v>
      </c>
      <c r="H77" s="112">
        <f t="shared" si="66"/>
        <v>0</v>
      </c>
      <c r="I77" s="112">
        <f t="shared" si="66"/>
        <v>0</v>
      </c>
      <c r="J77" s="112">
        <f t="shared" si="66"/>
        <v>0</v>
      </c>
      <c r="K77" s="112">
        <f t="shared" si="66"/>
        <v>0</v>
      </c>
      <c r="L77" s="112">
        <f t="shared" si="66"/>
        <v>0</v>
      </c>
      <c r="M77" s="112">
        <f t="shared" si="66"/>
        <v>-62319.420000000006</v>
      </c>
      <c r="N77" s="112">
        <f t="shared" si="66"/>
        <v>-62319.420000000006</v>
      </c>
      <c r="O77" s="112">
        <f t="shared" si="66"/>
        <v>-62319.420000000006</v>
      </c>
    </row>
    <row r="78" spans="2:17">
      <c r="B78" s="108" t="s">
        <v>162</v>
      </c>
      <c r="C78" s="855"/>
      <c r="D78" s="115">
        <f>INDEX(cockpit!$J$6:$Y$16,MATCH($D62,cockpit!$J$6:$J$16,0),MATCH($B78,cockpit!$J$6:$Y$6,0))</f>
        <v>2.5000000000000001E-2</v>
      </c>
      <c r="E78" s="113">
        <f>-E71*$D78</f>
        <v>0</v>
      </c>
      <c r="F78" s="113">
        <f t="shared" ref="F78:O78" si="67">-F71*$D78</f>
        <v>0</v>
      </c>
      <c r="G78" s="113">
        <f t="shared" si="67"/>
        <v>0</v>
      </c>
      <c r="H78" s="113">
        <f t="shared" si="67"/>
        <v>0</v>
      </c>
      <c r="I78" s="113">
        <f t="shared" si="67"/>
        <v>0</v>
      </c>
      <c r="J78" s="113">
        <f t="shared" si="67"/>
        <v>0</v>
      </c>
      <c r="K78" s="113">
        <f t="shared" si="67"/>
        <v>0</v>
      </c>
      <c r="L78" s="113">
        <f t="shared" si="67"/>
        <v>0</v>
      </c>
      <c r="M78" s="113">
        <f t="shared" si="67"/>
        <v>-2960.17245</v>
      </c>
      <c r="N78" s="113">
        <f t="shared" si="67"/>
        <v>-5920.3449000000001</v>
      </c>
      <c r="O78" s="113">
        <f t="shared" si="67"/>
        <v>-5920.3449000000001</v>
      </c>
    </row>
    <row r="79" spans="2:17">
      <c r="B79" s="114" t="s">
        <v>195</v>
      </c>
      <c r="C79" s="855"/>
      <c r="D79" s="115"/>
      <c r="E79" s="112">
        <f t="shared" ref="E79:O79" si="68">SUM(E77:E78)</f>
        <v>0</v>
      </c>
      <c r="F79" s="112">
        <f t="shared" si="68"/>
        <v>0</v>
      </c>
      <c r="G79" s="112">
        <f t="shared" si="68"/>
        <v>0</v>
      </c>
      <c r="H79" s="112">
        <f t="shared" si="68"/>
        <v>0</v>
      </c>
      <c r="I79" s="112">
        <f t="shared" si="68"/>
        <v>0</v>
      </c>
      <c r="J79" s="112">
        <f t="shared" si="68"/>
        <v>0</v>
      </c>
      <c r="K79" s="112">
        <f t="shared" si="68"/>
        <v>0</v>
      </c>
      <c r="L79" s="112">
        <f t="shared" si="68"/>
        <v>0</v>
      </c>
      <c r="M79" s="112">
        <f t="shared" si="68"/>
        <v>-65279.592450000004</v>
      </c>
      <c r="N79" s="112">
        <f t="shared" si="68"/>
        <v>-68239.764900000009</v>
      </c>
      <c r="O79" s="112">
        <f t="shared" si="68"/>
        <v>-68239.764900000009</v>
      </c>
    </row>
    <row r="80" spans="2:17">
      <c r="B80" s="108"/>
      <c r="C80" s="855"/>
    </row>
    <row r="81" spans="2:15">
      <c r="B81" s="108" t="s">
        <v>170</v>
      </c>
      <c r="C81" s="855"/>
      <c r="D81" s="111">
        <f>(ResidentialmarketrateconstructionPSF*(1-$K61))+((ResidentialmarketrateconstructionPSF*(1+premiumprices)*$K61))</f>
        <v>135</v>
      </c>
      <c r="E81" s="112">
        <f>-IF(OR(E$2=$H61,E$2=$H62,AND(E$2&gt;$H61,E$2&lt;$H62)),(INDEX(summary!$A$2:$D$24,MATCH($D62,summary!$A$2:$A$24,0),MATCH($D61,summary!$A$2:$D$2,0)))/constructiontimephase3)*($D81*((1+Inflation)^(E$2-1)))*(1+Developerfee)</f>
        <v>0</v>
      </c>
      <c r="F81" s="112">
        <f>-IF(OR(F$2=$H61,F$2=$H62,AND(F$2&gt;$H61,F$2&lt;$H62)),(INDEX(summary!$A$2:$D$24,MATCH($D62,summary!$A$2:$A$24,0),MATCH($D61,summary!$A$2:$D$2,0)))/constructiontimephase3)*($D81*((1+Inflation)^(F$2-1)))*(1+Developerfee)</f>
        <v>0</v>
      </c>
      <c r="G81" s="112">
        <f>-IF(OR(G$2=$H61,G$2=$H62,AND(G$2&gt;$H61,G$2&lt;$H62)),(INDEX(summary!$A$2:$D$24,MATCH($D62,summary!$A$2:$A$24,0),MATCH($D61,summary!$A$2:$D$2,0)))/constructiontimephase3)*($D81*((1+Inflation)^(G$2-1)))*(1+Developerfee)</f>
        <v>0</v>
      </c>
      <c r="H81" s="112">
        <f>-IF(OR(H$2=$H61,H$2=$H62,AND(H$2&gt;$H61,H$2&lt;$H62)),(INDEX(summary!$A$2:$D$24,MATCH($D62,summary!$A$2:$A$24,0),MATCH($D61,summary!$A$2:$D$2,0)))/constructiontimephase3)*($D81*((1+Inflation)^(H$2-1)))*(1+Developerfee)</f>
        <v>0</v>
      </c>
      <c r="I81" s="112">
        <f>-IF(OR(I$2=$H61,I$2=$H62,AND(I$2&gt;$H61,I$2&lt;$H62)),(INDEX(summary!$A$2:$D$24,MATCH($D62,summary!$A$2:$A$24,0),MATCH($D61,summary!$A$2:$D$2,0)))/constructiontimephase3)*($D81*((1+Inflation)^(I$2-1)))*(1+Developerfee)</f>
        <v>0</v>
      </c>
      <c r="J81" s="112">
        <f>-IF(OR(J$2=$H61,J$2=$H62,AND(J$2&gt;$H61,J$2&lt;$H62)),(INDEX(summary!$A$2:$D$24,MATCH($D62,summary!$A$2:$A$24,0),MATCH($D61,summary!$A$2:$D$2,0)))/constructiontimephase3)*($D81*((1+Inflation)^(J$2-1)))*(1+Developerfee)</f>
        <v>0</v>
      </c>
      <c r="K81" s="112">
        <f>-IF(OR(K$2=$H61,K$2=$H62,AND(K$2&gt;$H61,K$2&lt;$H62)),(INDEX(summary!$A$2:$D$24,MATCH($D62,summary!$A$2:$A$24,0),MATCH($D61,summary!$A$2:$D$2,0)))/constructiontimephase3)*($D81*((1+Inflation)^(K$2-1)))*(1+Developerfee)</f>
        <v>-21260953.664164465</v>
      </c>
      <c r="L81" s="112">
        <f>-IF(OR(L$2=$H61,L$2=$H62,AND(L$2&gt;$H61,L$2&lt;$H62)),(INDEX(summary!$A$2:$D$24,MATCH($D62,summary!$A$2:$A$24,0),MATCH($D61,summary!$A$2:$D$2,0)))/constructiontimephase3)*($D81*((1+Inflation)^(L$2-1)))*(1+Developerfee)</f>
        <v>-21686172.737447757</v>
      </c>
      <c r="M81" s="112">
        <f>-IF(OR(M$2=$H61,M$2=$H62,AND(M$2&gt;$H61,M$2&lt;$H62)),(INDEX(summary!$A$2:$D$24,MATCH($D62,summary!$A$2:$A$24,0),MATCH($D61,summary!$A$2:$D$2,0)))/constructiontimephase3)*($D81*((1+Inflation)^(M$2-1)))*(1+Developerfee)</f>
        <v>0</v>
      </c>
      <c r="N81" s="112">
        <f>-IF(OR(N$2=$H61,N$2=$H62,AND(N$2&gt;$H61,N$2&lt;$H62)),(INDEX(summary!$A$2:$D$24,MATCH($D62,summary!$A$2:$A$24,0),MATCH($D61,summary!$A$2:$D$2,0)))/constructiontimephase3)*($D81*((1+Inflation)^(N$2-1)))*(1+Developerfee)</f>
        <v>0</v>
      </c>
      <c r="O81" s="112">
        <f>-IF(OR(O$2=$H61,O$2=$H62,AND(O$2&gt;$H61,O$2&lt;$H62)),(INDEX(summary!$A$2:$D$24,MATCH($D62,summary!$A$2:$A$24,0),MATCH($D61,summary!$A$2:$D$2,0)))/constructiontimephase3)*($D81*((1+Inflation)^(O$2-1)))*(1+Developerfee)</f>
        <v>0</v>
      </c>
    </row>
    <row r="82" spans="2:15">
      <c r="B82" s="108" t="s">
        <v>197</v>
      </c>
      <c r="C82" s="855" t="s">
        <v>189</v>
      </c>
      <c r="D82" s="122">
        <f>(INDEX(cockpit!$J$6:$Y$16,MATCH($D62,cockpit!$J$6:$J$16,0),MATCH($C82,cockpit!$J$6:$Y$6,0))*(1-$K61))+((INDEX(cockpit!$J$6:$Y$16,MATCH($D62,cockpit!$J$6:$J$16,0),MATCH($C82,cockpit!$J$6:$Y$6,0))-(Premiumexitcaprate))*$K61)</f>
        <v>6.25E-2</v>
      </c>
      <c r="E82" s="113">
        <f t="shared" ref="E82:O82" si="69">IF(E$2=dispositionyear,E75/$D82,0)*(1-Closingcosts)</f>
        <v>0</v>
      </c>
      <c r="F82" s="113">
        <f t="shared" si="69"/>
        <v>0</v>
      </c>
      <c r="G82" s="113">
        <f t="shared" si="69"/>
        <v>0</v>
      </c>
      <c r="H82" s="113">
        <f t="shared" si="69"/>
        <v>0</v>
      </c>
      <c r="I82" s="113">
        <f t="shared" si="69"/>
        <v>0</v>
      </c>
      <c r="J82" s="113">
        <f t="shared" si="69"/>
        <v>0</v>
      </c>
      <c r="K82" s="113">
        <f t="shared" si="69"/>
        <v>0</v>
      </c>
      <c r="L82" s="113">
        <f t="shared" si="69"/>
        <v>0</v>
      </c>
      <c r="M82" s="113">
        <f t="shared" si="69"/>
        <v>0</v>
      </c>
      <c r="N82" s="113">
        <f t="shared" si="69"/>
        <v>0</v>
      </c>
      <c r="O82" s="113">
        <f t="shared" si="69"/>
        <v>76168532.834546342</v>
      </c>
    </row>
    <row r="83" spans="2:15">
      <c r="B83" s="114" t="s">
        <v>196</v>
      </c>
      <c r="C83" s="855"/>
      <c r="D83" s="110"/>
      <c r="E83" s="112">
        <f t="shared" ref="E83:O83" si="70">SUM(E81:E82)</f>
        <v>0</v>
      </c>
      <c r="F83" s="112">
        <f t="shared" si="70"/>
        <v>0</v>
      </c>
      <c r="G83" s="112">
        <f t="shared" si="70"/>
        <v>0</v>
      </c>
      <c r="H83" s="112">
        <f t="shared" si="70"/>
        <v>0</v>
      </c>
      <c r="I83" s="112">
        <f t="shared" si="70"/>
        <v>0</v>
      </c>
      <c r="J83" s="112">
        <f t="shared" si="70"/>
        <v>0</v>
      </c>
      <c r="K83" s="112">
        <f t="shared" si="70"/>
        <v>-21260953.664164465</v>
      </c>
      <c r="L83" s="112">
        <f t="shared" si="70"/>
        <v>-21686172.737447757</v>
      </c>
      <c r="M83" s="112">
        <f t="shared" si="70"/>
        <v>0</v>
      </c>
      <c r="N83" s="112">
        <f t="shared" si="70"/>
        <v>0</v>
      </c>
      <c r="O83" s="112">
        <f t="shared" si="70"/>
        <v>76168532.834546342</v>
      </c>
    </row>
    <row r="84" spans="2:15">
      <c r="B84" s="108"/>
      <c r="C84" s="855"/>
      <c r="D84" s="110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</row>
    <row r="85" spans="2:15">
      <c r="B85" s="114" t="s">
        <v>169</v>
      </c>
      <c r="C85" s="856"/>
      <c r="D85" s="116">
        <f ca="1">IRR(OFFSET(E85,0,0,1,Investmenthorizon+1))</f>
        <v>0.22909628307422625</v>
      </c>
      <c r="E85" s="117">
        <f>SUM(E75,E79,E83)</f>
        <v>0</v>
      </c>
      <c r="F85" s="117">
        <f t="shared" ref="F85:O85" si="71">SUM(F75,F79,F83)</f>
        <v>0</v>
      </c>
      <c r="G85" s="117">
        <f t="shared" si="71"/>
        <v>0</v>
      </c>
      <c r="H85" s="117">
        <f t="shared" si="71"/>
        <v>0</v>
      </c>
      <c r="I85" s="117">
        <f t="shared" si="71"/>
        <v>0</v>
      </c>
      <c r="J85" s="117">
        <f t="shared" si="71"/>
        <v>0</v>
      </c>
      <c r="K85" s="117">
        <f t="shared" si="71"/>
        <v>-21260953.664164465</v>
      </c>
      <c r="L85" s="117">
        <f t="shared" si="71"/>
        <v>-21686172.737447757</v>
      </c>
      <c r="M85" s="117">
        <f t="shared" si="71"/>
        <v>1326748.5887056582</v>
      </c>
      <c r="N85" s="117">
        <f t="shared" si="71"/>
        <v>4718621.2729674159</v>
      </c>
      <c r="O85" s="117">
        <f t="shared" si="71"/>
        <v>80982891.328271106</v>
      </c>
    </row>
    <row r="90" spans="2:15">
      <c r="L90" s="196"/>
    </row>
    <row r="92" spans="2:15">
      <c r="L92" s="19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32394-2E65-4254-B2C8-F7D52F586448}">
  <sheetPr>
    <tabColor theme="9" tint="0.59999389629810485"/>
  </sheetPr>
  <dimension ref="B2:V83"/>
  <sheetViews>
    <sheetView showGridLines="0" topLeftCell="A4" zoomScale="55" zoomScaleNormal="55" workbookViewId="0">
      <selection activeCell="Y21" sqref="Y21"/>
    </sheetView>
  </sheetViews>
  <sheetFormatPr defaultRowHeight="9.5"/>
  <cols>
    <col min="1" max="1" width="8.7265625" style="106"/>
    <col min="2" max="2" width="24.1796875" style="106" bestFit="1" customWidth="1"/>
    <col min="3" max="3" width="1.1796875" style="106" customWidth="1"/>
    <col min="4" max="4" width="8.7265625" style="106"/>
    <col min="5" max="5" width="9" style="106" bestFit="1" customWidth="1"/>
    <col min="6" max="7" width="11.453125" style="106" bestFit="1" customWidth="1"/>
    <col min="8" max="8" width="10.36328125" style="106" bestFit="1" customWidth="1"/>
    <col min="9" max="14" width="11.08984375" style="106" bestFit="1" customWidth="1"/>
    <col min="15" max="15" width="11.7265625" style="106" bestFit="1" customWidth="1"/>
    <col min="16" max="16384" width="8.7265625" style="106"/>
  </cols>
  <sheetData>
    <row r="2" spans="2:22" ht="10" thickBot="1">
      <c r="B2" s="129" t="s">
        <v>175</v>
      </c>
      <c r="C2" s="12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22" ht="10" thickBot="1"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22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22">
      <c r="B5" s="126" t="s">
        <v>89</v>
      </c>
      <c r="D5" s="133">
        <f>Phase1</f>
        <v>1</v>
      </c>
      <c r="G5" s="107" t="s">
        <v>204</v>
      </c>
      <c r="H5" s="133">
        <f>Phase1begin</f>
        <v>1</v>
      </c>
      <c r="J5" s="107" t="s">
        <v>201</v>
      </c>
      <c r="K5" s="136">
        <f>summary!AF13</f>
        <v>0.422643427396104</v>
      </c>
    </row>
    <row r="6" spans="2:22">
      <c r="B6" s="126" t="s">
        <v>93</v>
      </c>
      <c r="D6" s="130" t="s">
        <v>156</v>
      </c>
      <c r="G6" s="107" t="s">
        <v>205</v>
      </c>
      <c r="H6" s="133">
        <f>Phase1end</f>
        <v>3</v>
      </c>
      <c r="K6" s="127"/>
    </row>
    <row r="7" spans="2:22" ht="10" thickBot="1">
      <c r="B7" s="137"/>
      <c r="C7" s="138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</row>
    <row r="8" spans="2:22">
      <c r="C8" s="120"/>
    </row>
    <row r="9" spans="2:22">
      <c r="B9" s="108" t="s">
        <v>182</v>
      </c>
      <c r="C9" s="108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134576.79999999999</v>
      </c>
      <c r="J9" s="109">
        <f>IF(OR(J$2=$H7,J$2&gt;$H7),INDEX(summary!$A$2:$D$24,MATCH($D6,summary!$A$2:$A$24,0),MATCH($D5,summary!$A$2:$D$2,0)),0)</f>
        <v>134576.79999999999</v>
      </c>
      <c r="K9" s="109">
        <f>IF(OR(K$2=$H7,K$2&gt;$H7),INDEX(summary!$A$2:$D$24,MATCH($D6,summary!$A$2:$A$24,0),MATCH($D5,summary!$A$2:$D$2,0)),0)</f>
        <v>134576.79999999999</v>
      </c>
      <c r="L9" s="109">
        <f>IF(OR(L$2=$H7,L$2&gt;$H7),INDEX(summary!$A$2:$D$24,MATCH($D6,summary!$A$2:$A$24,0),MATCH($D5,summary!$A$2:$D$2,0)),0)</f>
        <v>134576.79999999999</v>
      </c>
      <c r="M9" s="109">
        <f>IF(OR(M$2=$H7,M$2&gt;$H7),INDEX(summary!$A$2:$D$24,MATCH($D6,summary!$A$2:$A$24,0),MATCH($D5,summary!$A$2:$D$2,0)),0)</f>
        <v>134576.79999999999</v>
      </c>
      <c r="N9" s="109">
        <f>IF(OR(N$2=$H7,N$2&gt;$H7),INDEX(summary!$A$2:$D$24,MATCH($D6,summary!$A$2:$A$24,0),MATCH($D5,summary!$A$2:$D$2,0)),0)</f>
        <v>134576.79999999999</v>
      </c>
      <c r="O9" s="109">
        <f>IF(OR(O$2=$H7,O$2&gt;$H7),INDEX(summary!$A$2:$D$24,MATCH($D6,summary!$A$2:$A$24,0),MATCH($D5,summary!$A$2:$D$2,0)),0)</f>
        <v>134576.79999999999</v>
      </c>
    </row>
    <row r="10" spans="2:22">
      <c r="B10" s="108" t="s">
        <v>194</v>
      </c>
      <c r="C10" s="121" t="s">
        <v>191</v>
      </c>
      <c r="D10" s="110">
        <f>INDEX(cockpit!$J$6:$Y$16,MATCH($D6,cockpit!$J$6:$J$16,0),MATCH($C$10,cockpit!$J$6:$Y$6,0))</f>
        <v>0.1</v>
      </c>
      <c r="E10" s="109">
        <f>E9*(1-$D10)</f>
        <v>0</v>
      </c>
      <c r="F10" s="109">
        <f t="shared" ref="F10:O10" si="0">F9*(1-$D10)</f>
        <v>0</v>
      </c>
      <c r="G10" s="109">
        <f t="shared" si="0"/>
        <v>0</v>
      </c>
      <c r="H10" s="109">
        <f t="shared" si="0"/>
        <v>0</v>
      </c>
      <c r="I10" s="109">
        <f t="shared" si="0"/>
        <v>121119.12</v>
      </c>
      <c r="J10" s="109">
        <f t="shared" si="0"/>
        <v>121119.12</v>
      </c>
      <c r="K10" s="109">
        <f t="shared" si="0"/>
        <v>121119.12</v>
      </c>
      <c r="L10" s="109">
        <f t="shared" si="0"/>
        <v>121119.12</v>
      </c>
      <c r="M10" s="109">
        <f t="shared" si="0"/>
        <v>121119.12</v>
      </c>
      <c r="N10" s="109">
        <f t="shared" si="0"/>
        <v>121119.12</v>
      </c>
      <c r="O10" s="109">
        <f t="shared" si="0"/>
        <v>121119.12</v>
      </c>
      <c r="Q10" s="120"/>
    </row>
    <row r="11" spans="2:22" ht="10.5">
      <c r="B11" s="108" t="s">
        <v>265</v>
      </c>
      <c r="C11" s="121"/>
      <c r="E11" s="109">
        <f t="shared" ref="E11:O11" si="1">E13/Condoaveragesize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72.744216216216216</v>
      </c>
      <c r="J11" s="109">
        <f t="shared" si="1"/>
        <v>145.48843243243243</v>
      </c>
      <c r="K11" s="109">
        <f t="shared" si="1"/>
        <v>145.48843243243243</v>
      </c>
      <c r="L11" s="109">
        <f t="shared" si="1"/>
        <v>145.48843243243243</v>
      </c>
      <c r="M11" s="109">
        <f t="shared" si="1"/>
        <v>145.48843243243243</v>
      </c>
      <c r="N11" s="109">
        <f t="shared" si="1"/>
        <v>145.48843243243243</v>
      </c>
      <c r="O11" s="109">
        <f t="shared" si="1"/>
        <v>145.48843243243243</v>
      </c>
      <c r="Q11" s="39"/>
    </row>
    <row r="12" spans="2:22">
      <c r="B12" s="108" t="s">
        <v>180</v>
      </c>
      <c r="C12" s="121" t="s">
        <v>152</v>
      </c>
      <c r="D12" s="122">
        <f>ResidentialCondominiumrampup</f>
        <v>0.5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60559.56</v>
      </c>
      <c r="J12" s="109">
        <f>IF(OR(J$2=$H7,AND(J$2&gt;$H7,J$2&lt;(SUM($H7,INDEX(cockpit!$J$6:$Y$16,MATCH($D6,cockpit!$J$6:$J$16,0),MATCH($C$12,cockpit!$J$6:$Y$6,0)))))),J10*$D12,0)</f>
        <v>60559.56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</row>
    <row r="13" spans="2:22" ht="10.5">
      <c r="B13" s="108" t="s">
        <v>181</v>
      </c>
      <c r="C13" s="121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60559.56</v>
      </c>
      <c r="J13" s="109">
        <f>SUM($E12:J12)</f>
        <v>121119.12</v>
      </c>
      <c r="K13" s="109">
        <f>SUM($E12:K12)</f>
        <v>121119.12</v>
      </c>
      <c r="L13" s="109">
        <f>SUM($E12:L12)</f>
        <v>121119.12</v>
      </c>
      <c r="M13" s="109">
        <f>SUM($E12:M12)</f>
        <v>121119.12</v>
      </c>
      <c r="N13" s="109">
        <f>SUM($E12:N12)</f>
        <v>121119.12</v>
      </c>
      <c r="O13" s="109">
        <f>SUM($E12:O12)</f>
        <v>121119.12</v>
      </c>
      <c r="Q13" s="39"/>
      <c r="S13" s="106" t="s">
        <v>851</v>
      </c>
      <c r="V13" s="106" t="s">
        <v>852</v>
      </c>
    </row>
    <row r="14" spans="2:22" ht="10.5">
      <c r="B14" s="108" t="s">
        <v>677</v>
      </c>
      <c r="C14" s="121"/>
      <c r="E14" s="195">
        <f t="shared" ref="E14:O14" si="2">ROUNDDOWN(E12/Condoaveragesize,0)</f>
        <v>0</v>
      </c>
      <c r="F14" s="195">
        <f t="shared" si="2"/>
        <v>0</v>
      </c>
      <c r="G14" s="195">
        <f t="shared" si="2"/>
        <v>0</v>
      </c>
      <c r="H14" s="195">
        <f t="shared" si="2"/>
        <v>0</v>
      </c>
      <c r="I14" s="195">
        <f t="shared" si="2"/>
        <v>72</v>
      </c>
      <c r="J14" s="195">
        <f t="shared" si="2"/>
        <v>72</v>
      </c>
      <c r="K14" s="195">
        <f t="shared" si="2"/>
        <v>0</v>
      </c>
      <c r="L14" s="195">
        <f t="shared" si="2"/>
        <v>0</v>
      </c>
      <c r="M14" s="195">
        <f t="shared" si="2"/>
        <v>0</v>
      </c>
      <c r="N14" s="195">
        <f t="shared" si="2"/>
        <v>0</v>
      </c>
      <c r="O14" s="195">
        <f t="shared" si="2"/>
        <v>0</v>
      </c>
      <c r="Q14" s="39"/>
      <c r="R14" s="106">
        <v>0</v>
      </c>
      <c r="U14" s="106">
        <v>1</v>
      </c>
      <c r="V14" s="199">
        <f>O11</f>
        <v>145.48843243243243</v>
      </c>
    </row>
    <row r="15" spans="2:22">
      <c r="B15" s="108" t="s">
        <v>678</v>
      </c>
      <c r="E15" s="196">
        <f>E14/12</f>
        <v>0</v>
      </c>
      <c r="F15" s="196">
        <f t="shared" ref="F15:O15" si="3">F14/12</f>
        <v>0</v>
      </c>
      <c r="G15" s="196">
        <f t="shared" si="3"/>
        <v>0</v>
      </c>
      <c r="H15" s="196">
        <f t="shared" si="3"/>
        <v>0</v>
      </c>
      <c r="I15" s="196">
        <f t="shared" si="3"/>
        <v>6</v>
      </c>
      <c r="J15" s="196">
        <f t="shared" si="3"/>
        <v>6</v>
      </c>
      <c r="K15" s="196">
        <f t="shared" si="3"/>
        <v>0</v>
      </c>
      <c r="L15" s="196">
        <f t="shared" si="3"/>
        <v>0</v>
      </c>
      <c r="M15" s="196">
        <f t="shared" si="3"/>
        <v>0</v>
      </c>
      <c r="N15" s="196">
        <f t="shared" si="3"/>
        <v>0</v>
      </c>
      <c r="O15" s="196">
        <f t="shared" si="3"/>
        <v>0</v>
      </c>
      <c r="R15" s="106">
        <v>1</v>
      </c>
      <c r="U15" s="106">
        <v>2</v>
      </c>
      <c r="V15" s="199">
        <f>O38</f>
        <v>521.98281718918929</v>
      </c>
    </row>
    <row r="16" spans="2:22">
      <c r="C16" s="121"/>
      <c r="R16" s="106">
        <v>2</v>
      </c>
      <c r="U16" s="106">
        <v>3</v>
      </c>
      <c r="V16" s="106">
        <f>0</f>
        <v>0</v>
      </c>
    </row>
    <row r="17" spans="2:19">
      <c r="B17" s="108" t="s">
        <v>166</v>
      </c>
      <c r="C17" s="121"/>
      <c r="D17" s="111">
        <f>(CondosalePSF*(1-$K5))+((CondosalePSF*(1+premiumprices)*$K5))</f>
        <v>320.6416484862176</v>
      </c>
      <c r="E17" s="112">
        <f t="shared" ref="E17:O17" si="4">(E14*Condoaveragesize)*($D17*((1+Inflation)^(E$2-1)))</f>
        <v>0</v>
      </c>
      <c r="F17" s="112">
        <f t="shared" si="4"/>
        <v>0</v>
      </c>
      <c r="G17" s="112">
        <f t="shared" si="4"/>
        <v>0</v>
      </c>
      <c r="H17" s="112">
        <f t="shared" si="4"/>
        <v>0</v>
      </c>
      <c r="I17" s="112">
        <f t="shared" si="4"/>
        <v>20395632.901455313</v>
      </c>
      <c r="J17" s="112">
        <f t="shared" si="4"/>
        <v>20803545.559484418</v>
      </c>
      <c r="K17" s="112">
        <f t="shared" si="4"/>
        <v>0</v>
      </c>
      <c r="L17" s="112">
        <f t="shared" si="4"/>
        <v>0</v>
      </c>
      <c r="M17" s="112">
        <f t="shared" si="4"/>
        <v>0</v>
      </c>
      <c r="N17" s="112">
        <f t="shared" si="4"/>
        <v>0</v>
      </c>
      <c r="O17" s="112">
        <f t="shared" si="4"/>
        <v>0</v>
      </c>
      <c r="R17" s="106">
        <v>3</v>
      </c>
    </row>
    <row r="18" spans="2:19">
      <c r="B18" s="108" t="s">
        <v>267</v>
      </c>
      <c r="C18" s="121"/>
      <c r="D18" s="122">
        <f>Condocostofsale</f>
        <v>0.05</v>
      </c>
      <c r="E18" s="113">
        <f>-E17*$D18</f>
        <v>0</v>
      </c>
      <c r="F18" s="113">
        <f t="shared" ref="F18:O18" si="5">-F17*$D18</f>
        <v>0</v>
      </c>
      <c r="G18" s="113">
        <f t="shared" si="5"/>
        <v>0</v>
      </c>
      <c r="H18" s="113">
        <f t="shared" si="5"/>
        <v>0</v>
      </c>
      <c r="I18" s="113">
        <f t="shared" si="5"/>
        <v>-1019781.6450727656</v>
      </c>
      <c r="J18" s="113">
        <f t="shared" si="5"/>
        <v>-1040177.2779742209</v>
      </c>
      <c r="K18" s="113">
        <f t="shared" si="5"/>
        <v>0</v>
      </c>
      <c r="L18" s="113">
        <f t="shared" si="5"/>
        <v>0</v>
      </c>
      <c r="M18" s="113">
        <f t="shared" si="5"/>
        <v>0</v>
      </c>
      <c r="N18" s="113">
        <f t="shared" si="5"/>
        <v>0</v>
      </c>
      <c r="O18" s="113">
        <f t="shared" si="5"/>
        <v>0</v>
      </c>
      <c r="R18" s="106">
        <v>4</v>
      </c>
    </row>
    <row r="19" spans="2:19">
      <c r="B19" s="114" t="s">
        <v>167</v>
      </c>
      <c r="C19" s="121"/>
      <c r="E19" s="112">
        <f>SUM(E17:E18)</f>
        <v>0</v>
      </c>
      <c r="F19" s="112">
        <f t="shared" ref="F19:O19" si="6">SUM(F17:F18)</f>
        <v>0</v>
      </c>
      <c r="G19" s="112">
        <f t="shared" si="6"/>
        <v>0</v>
      </c>
      <c r="H19" s="112">
        <f t="shared" si="6"/>
        <v>0</v>
      </c>
      <c r="I19" s="112">
        <f t="shared" si="6"/>
        <v>19375851.256382547</v>
      </c>
      <c r="J19" s="112">
        <f t="shared" si="6"/>
        <v>19763368.281510197</v>
      </c>
      <c r="K19" s="112">
        <f t="shared" si="6"/>
        <v>0</v>
      </c>
      <c r="L19" s="112">
        <f t="shared" si="6"/>
        <v>0</v>
      </c>
      <c r="M19" s="112">
        <f t="shared" si="6"/>
        <v>0</v>
      </c>
      <c r="N19" s="112">
        <f t="shared" si="6"/>
        <v>0</v>
      </c>
      <c r="O19" s="112">
        <f t="shared" si="6"/>
        <v>0</v>
      </c>
      <c r="R19" s="106">
        <v>5</v>
      </c>
    </row>
    <row r="20" spans="2:19">
      <c r="C20" s="121"/>
      <c r="E20" s="187">
        <f>IFERROR(E19/E17,0)</f>
        <v>0</v>
      </c>
      <c r="F20" s="187">
        <f t="shared" ref="F20:O20" si="7">IFERROR(F19/F17,0)</f>
        <v>0</v>
      </c>
      <c r="G20" s="187">
        <f t="shared" si="7"/>
        <v>0</v>
      </c>
      <c r="H20" s="187">
        <f t="shared" si="7"/>
        <v>0</v>
      </c>
      <c r="I20" s="187">
        <f t="shared" si="7"/>
        <v>0.95</v>
      </c>
      <c r="J20" s="187">
        <f t="shared" si="7"/>
        <v>0.95</v>
      </c>
      <c r="K20" s="187">
        <f t="shared" si="7"/>
        <v>0</v>
      </c>
      <c r="L20" s="187">
        <f t="shared" si="7"/>
        <v>0</v>
      </c>
      <c r="M20" s="187">
        <f t="shared" si="7"/>
        <v>0</v>
      </c>
      <c r="N20" s="187">
        <f t="shared" si="7"/>
        <v>0</v>
      </c>
      <c r="O20" s="187">
        <f t="shared" si="7"/>
        <v>0</v>
      </c>
      <c r="R20" s="106">
        <v>6</v>
      </c>
      <c r="S20" s="109">
        <f>I15</f>
        <v>6</v>
      </c>
    </row>
    <row r="21" spans="2:19">
      <c r="B21" s="108" t="s">
        <v>168</v>
      </c>
      <c r="C21" s="121"/>
      <c r="D21" s="115">
        <f>INDEX(cockpit!$J$6:$Y$16,MATCH($D6,cockpit!$J$6:$J$16,0),MATCH($B21,cockpit!$J$6:$Y$6,0))</f>
        <v>0</v>
      </c>
      <c r="E21" s="112">
        <f>-E10*$D21</f>
        <v>0</v>
      </c>
      <c r="F21" s="112">
        <f t="shared" ref="F21:O21" si="8">-F10*$D21</f>
        <v>0</v>
      </c>
      <c r="G21" s="112">
        <f t="shared" si="8"/>
        <v>0</v>
      </c>
      <c r="H21" s="112">
        <f t="shared" si="8"/>
        <v>0</v>
      </c>
      <c r="I21" s="112">
        <f t="shared" si="8"/>
        <v>0</v>
      </c>
      <c r="J21" s="112">
        <f t="shared" si="8"/>
        <v>0</v>
      </c>
      <c r="K21" s="112">
        <f t="shared" si="8"/>
        <v>0</v>
      </c>
      <c r="L21" s="112">
        <f t="shared" si="8"/>
        <v>0</v>
      </c>
      <c r="M21" s="112">
        <f t="shared" si="8"/>
        <v>0</v>
      </c>
      <c r="N21" s="112">
        <f t="shared" si="8"/>
        <v>0</v>
      </c>
      <c r="O21" s="112">
        <f t="shared" si="8"/>
        <v>0</v>
      </c>
      <c r="R21" s="106">
        <v>7</v>
      </c>
      <c r="S21" s="109">
        <f>J15</f>
        <v>6</v>
      </c>
    </row>
    <row r="22" spans="2:19">
      <c r="B22" s="108" t="s">
        <v>162</v>
      </c>
      <c r="C22" s="121"/>
      <c r="D22" s="115">
        <f>INDEX(cockpit!$J$6:$Y$16,MATCH($D6,cockpit!$J$6:$J$16,0),MATCH($B22,cockpit!$J$6:$Y$6,0))</f>
        <v>0</v>
      </c>
      <c r="E22" s="113">
        <f>-E13*$D22</f>
        <v>0</v>
      </c>
      <c r="F22" s="113">
        <f t="shared" ref="F22:O22" si="9">-F13*$D22</f>
        <v>0</v>
      </c>
      <c r="G22" s="113">
        <f t="shared" si="9"/>
        <v>0</v>
      </c>
      <c r="H22" s="113">
        <f t="shared" si="9"/>
        <v>0</v>
      </c>
      <c r="I22" s="113">
        <f t="shared" si="9"/>
        <v>0</v>
      </c>
      <c r="J22" s="113">
        <f t="shared" si="9"/>
        <v>0</v>
      </c>
      <c r="K22" s="113">
        <f t="shared" si="9"/>
        <v>0</v>
      </c>
      <c r="L22" s="113">
        <f t="shared" si="9"/>
        <v>0</v>
      </c>
      <c r="M22" s="113">
        <f t="shared" si="9"/>
        <v>0</v>
      </c>
      <c r="N22" s="113">
        <f t="shared" si="9"/>
        <v>0</v>
      </c>
      <c r="O22" s="113">
        <f t="shared" si="9"/>
        <v>0</v>
      </c>
      <c r="R22" s="106">
        <v>8</v>
      </c>
      <c r="S22" s="109">
        <f>K42</f>
        <v>21.666666666666668</v>
      </c>
    </row>
    <row r="23" spans="2:19">
      <c r="B23" s="114" t="s">
        <v>195</v>
      </c>
      <c r="C23" s="121"/>
      <c r="D23" s="115"/>
      <c r="E23" s="112">
        <f>SUM(E21:E22)</f>
        <v>0</v>
      </c>
      <c r="F23" s="112">
        <f t="shared" ref="F23:O23" si="10">SUM(F21:F22)</f>
        <v>0</v>
      </c>
      <c r="G23" s="112">
        <f t="shared" si="10"/>
        <v>0</v>
      </c>
      <c r="H23" s="112">
        <f t="shared" si="10"/>
        <v>0</v>
      </c>
      <c r="I23" s="112">
        <f t="shared" si="10"/>
        <v>0</v>
      </c>
      <c r="J23" s="112">
        <f t="shared" si="10"/>
        <v>0</v>
      </c>
      <c r="K23" s="112">
        <f t="shared" si="10"/>
        <v>0</v>
      </c>
      <c r="L23" s="112">
        <f t="shared" si="10"/>
        <v>0</v>
      </c>
      <c r="M23" s="112">
        <f t="shared" si="10"/>
        <v>0</v>
      </c>
      <c r="N23" s="112">
        <f t="shared" si="10"/>
        <v>0</v>
      </c>
      <c r="O23" s="112">
        <f t="shared" si="10"/>
        <v>0</v>
      </c>
      <c r="R23" s="106">
        <v>9</v>
      </c>
      <c r="S23" s="109">
        <f>L42</f>
        <v>21.666666666666668</v>
      </c>
    </row>
    <row r="24" spans="2:19">
      <c r="B24" s="108"/>
      <c r="C24" s="121"/>
      <c r="R24" s="106">
        <v>10</v>
      </c>
    </row>
    <row r="25" spans="2:19">
      <c r="B25" s="108" t="s">
        <v>170</v>
      </c>
      <c r="C25" s="121"/>
      <c r="D25" s="111">
        <f>(CondoconstructionPSF*(1-$K5))+((ResidentialaffordablecostPSF*(1+premiumprices)*$K5))</f>
        <v>166.58491285273539</v>
      </c>
      <c r="E25" s="112">
        <f>-IF(OR(E$2=$H5,E$2=$H6,AND(E$2&gt;$H5,E$2&lt;$H6)),(INDEX(summary!$A$2:$D$24,MATCH($D6,summary!$A$2:$A$24,0),MATCH($D5,summary!$A$2:$D$2,0)))/constructiontimephase1)*($D25*((1+Inflation)^(E$2-1)))*(1+Developerfee)</f>
        <v>0</v>
      </c>
      <c r="F25" s="112">
        <f>-IF(OR(F$2=$H5,F$2=$H6,AND(F$2&gt;$H5,F$2&lt;$H6)),(INDEX(summary!$A$2:$D$24,MATCH($D6,summary!$A$2:$A$24,0),MATCH($D5,summary!$A$2:$D$2,0)))/constructiontimephase1)*($D25*((1+Inflation)^(F$2-1)))*(1+Developerfee)</f>
        <v>-7697006.1449999996</v>
      </c>
      <c r="G25" s="112">
        <f>-IF(OR(G$2=$H5,G$2=$H6,AND(G$2&gt;$H5,G$2&lt;$H6)),(INDEX(summary!$A$2:$D$24,MATCH($D6,summary!$A$2:$A$24,0),MATCH($D5,summary!$A$2:$D$2,0)))/constructiontimephase1)*($D25*((1+Inflation)^(G$2-1)))*(1+Developerfee)</f>
        <v>-7850946.2678999994</v>
      </c>
      <c r="H25" s="112">
        <f>-IF(OR(H$2=$H5,H$2=$H6,AND(H$2&gt;$H5,H$2&lt;$H6)),(INDEX(summary!$A$2:$D$24,MATCH($D6,summary!$A$2:$A$24,0),MATCH($D5,summary!$A$2:$D$2,0)))/constructiontimephase1)*($D25*((1+Inflation)^(H$2-1)))*(1+Developerfee)</f>
        <v>-8007965.1932579977</v>
      </c>
      <c r="I25" s="112">
        <f>-IF(OR(I$2=$H5,I$2=$H6,AND(I$2&gt;$H5,I$2&lt;$H6)),(INDEX(summary!$A$2:$D$24,MATCH($D6,summary!$A$2:$A$24,0),MATCH($D5,summary!$A$2:$D$2,0)))/constructiontimephase1)*($D25*((1+Inflation)^(I$2-1)))*(1+Developerfee)</f>
        <v>0</v>
      </c>
      <c r="J25" s="112">
        <f>-IF(OR(J$2=$H5,J$2=$H6,AND(J$2&gt;$H5,J$2&lt;$H6)),(INDEX(summary!$A$2:$D$24,MATCH($D6,summary!$A$2:$A$24,0),MATCH($D5,summary!$A$2:$D$2,0)))/constructiontimephase1)*($D25*((1+Inflation)^(J$2-1)))*(1+Developerfee)</f>
        <v>0</v>
      </c>
      <c r="K25" s="112">
        <f>-IF(OR(K$2=$H5,K$2=$H6,AND(K$2&gt;$H5,K$2&lt;$H6)),(INDEX(summary!$A$2:$D$24,MATCH($D6,summary!$A$2:$A$24,0),MATCH($D5,summary!$A$2:$D$2,0)))/constructiontimephase1)*($D25*((1+Inflation)^(K$2-1)))*(1+Developerfee)</f>
        <v>0</v>
      </c>
      <c r="L25" s="112">
        <f>-IF(OR(L$2=$H5,L$2=$H6,AND(L$2&gt;$H5,L$2&lt;$H6)),(INDEX(summary!$A$2:$D$24,MATCH($D6,summary!$A$2:$A$24,0),MATCH($D5,summary!$A$2:$D$2,0)))/constructiontimephase1)*($D25*((1+Inflation)^(L$2-1)))*(1+Developerfee)</f>
        <v>0</v>
      </c>
      <c r="M25" s="112">
        <f>-IF(OR(M$2=$H5,M$2=$H6,AND(M$2&gt;$H5,M$2&lt;$H6)),(INDEX(summary!$A$2:$D$24,MATCH($D6,summary!$A$2:$A$24,0),MATCH($D5,summary!$A$2:$D$2,0)))/constructiontimephase1)*($D25*((1+Inflation)^(M$2-1)))*(1+Developerfee)</f>
        <v>0</v>
      </c>
      <c r="N25" s="112">
        <f>-IF(OR(N$2=$H5,N$2=$H6,AND(N$2&gt;$H5,N$2&lt;$H6)),(INDEX(summary!$A$2:$D$24,MATCH($D6,summary!$A$2:$A$24,0),MATCH($D5,summary!$A$2:$D$2,0)))/constructiontimephase1)*($D25*((1+Inflation)^(N$2-1)))*(1+Developerfee)</f>
        <v>0</v>
      </c>
      <c r="O25" s="112">
        <f>-IF(OR(O$2=$H5,O$2=$H6,AND(O$2&gt;$H5,O$2&lt;$H6)),(INDEX(summary!$A$2:$D$24,MATCH($D6,summary!$A$2:$A$24,0),MATCH($D5,summary!$A$2:$D$2,0)))/constructiontimephase1)*($D25*((1+Inflation)^(O$2-1)))*(1+Developerfee)</f>
        <v>0</v>
      </c>
    </row>
    <row r="26" spans="2:19">
      <c r="B26" s="108" t="s">
        <v>197</v>
      </c>
      <c r="C26" s="121" t="s">
        <v>189</v>
      </c>
      <c r="D26" s="122">
        <f>(INDEX(cockpit!$J$6:$Y$16,MATCH($D6,cockpit!$J$6:$J$16,0),MATCH($C26,cockpit!$J$6:$Y$6,0))*(1-$K5))+((INDEX(cockpit!$J$6:$Y$16,MATCH($D6,cockpit!$J$6:$J$16,0),MATCH($C26,cockpit!$J$6:$Y$6,0))-(Premiumexitcaprate))*$K5)</f>
        <v>5.933017429452922E-2</v>
      </c>
      <c r="E26" s="113">
        <f t="shared" ref="E26:O26" si="11">IF(E$2=dispositionyear,E19/$D26,0)*(1-Closingcosts)</f>
        <v>0</v>
      </c>
      <c r="F26" s="113">
        <f t="shared" si="11"/>
        <v>0</v>
      </c>
      <c r="G26" s="113">
        <f t="shared" si="11"/>
        <v>0</v>
      </c>
      <c r="H26" s="113">
        <f t="shared" si="11"/>
        <v>0</v>
      </c>
      <c r="I26" s="113">
        <f t="shared" si="11"/>
        <v>0</v>
      </c>
      <c r="J26" s="113">
        <f t="shared" si="11"/>
        <v>0</v>
      </c>
      <c r="K26" s="113">
        <f t="shared" si="11"/>
        <v>0</v>
      </c>
      <c r="L26" s="113">
        <f t="shared" si="11"/>
        <v>0</v>
      </c>
      <c r="M26" s="113">
        <f t="shared" si="11"/>
        <v>0</v>
      </c>
      <c r="N26" s="113">
        <f t="shared" si="11"/>
        <v>0</v>
      </c>
      <c r="O26" s="113">
        <f t="shared" si="11"/>
        <v>0</v>
      </c>
    </row>
    <row r="27" spans="2:19">
      <c r="B27" s="114" t="s">
        <v>196</v>
      </c>
      <c r="C27" s="121"/>
      <c r="D27" s="110"/>
      <c r="E27" s="112">
        <f>SUM(E25:E26)</f>
        <v>0</v>
      </c>
      <c r="F27" s="112">
        <f t="shared" ref="F27:O27" si="12">SUM(F25:F26)</f>
        <v>-7697006.1449999996</v>
      </c>
      <c r="G27" s="112">
        <f t="shared" si="12"/>
        <v>-7850946.2678999994</v>
      </c>
      <c r="H27" s="112">
        <f t="shared" si="12"/>
        <v>-8007965.1932579977</v>
      </c>
      <c r="I27" s="112">
        <f t="shared" si="12"/>
        <v>0</v>
      </c>
      <c r="J27" s="112">
        <f t="shared" si="12"/>
        <v>0</v>
      </c>
      <c r="K27" s="112">
        <f t="shared" si="12"/>
        <v>0</v>
      </c>
      <c r="L27" s="112">
        <f t="shared" si="12"/>
        <v>0</v>
      </c>
      <c r="M27" s="112">
        <f t="shared" si="12"/>
        <v>0</v>
      </c>
      <c r="N27" s="112">
        <f t="shared" si="12"/>
        <v>0</v>
      </c>
      <c r="O27" s="112">
        <f t="shared" si="12"/>
        <v>0</v>
      </c>
    </row>
    <row r="28" spans="2:19">
      <c r="B28" s="108"/>
      <c r="C28" s="121"/>
      <c r="D28" s="110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</row>
    <row r="29" spans="2:19" ht="10" customHeight="1">
      <c r="B29" s="114" t="s">
        <v>169</v>
      </c>
      <c r="C29" s="114"/>
      <c r="D29" s="116">
        <f ca="1">IRR(OFFSET(E29,0,0,1,Investmenthorizon+1))</f>
        <v>0.22191925200070117</v>
      </c>
      <c r="E29" s="117">
        <f>SUM(E19,E23,E27)</f>
        <v>0</v>
      </c>
      <c r="F29" s="117">
        <f t="shared" ref="F29:O29" si="13">SUM(F19,F23,F27)</f>
        <v>-7697006.1449999996</v>
      </c>
      <c r="G29" s="117">
        <f t="shared" si="13"/>
        <v>-7850946.2678999994</v>
      </c>
      <c r="H29" s="117">
        <f t="shared" si="13"/>
        <v>-8007965.1932579977</v>
      </c>
      <c r="I29" s="117">
        <f t="shared" si="13"/>
        <v>19375851.256382547</v>
      </c>
      <c r="J29" s="117">
        <f t="shared" si="13"/>
        <v>19763368.281510197</v>
      </c>
      <c r="K29" s="117">
        <f t="shared" si="13"/>
        <v>0</v>
      </c>
      <c r="L29" s="117">
        <f t="shared" si="13"/>
        <v>0</v>
      </c>
      <c r="M29" s="117">
        <f t="shared" si="13"/>
        <v>0</v>
      </c>
      <c r="N29" s="117">
        <f t="shared" si="13"/>
        <v>0</v>
      </c>
      <c r="O29" s="117">
        <f t="shared" si="13"/>
        <v>0</v>
      </c>
    </row>
    <row r="30" spans="2:19" ht="10" thickBot="1"/>
    <row r="31" spans="2:19">
      <c r="B31" s="123" t="s">
        <v>198</v>
      </c>
      <c r="C31" s="124"/>
      <c r="D31" s="124"/>
      <c r="E31" s="134"/>
      <c r="F31" s="135"/>
      <c r="G31" s="135"/>
      <c r="H31" s="135"/>
      <c r="I31" s="135"/>
      <c r="J31" s="135"/>
      <c r="K31" s="125"/>
      <c r="L31" s="107"/>
      <c r="M31" s="107"/>
      <c r="N31" s="107"/>
      <c r="O31" s="107"/>
    </row>
    <row r="32" spans="2:19">
      <c r="B32" s="126" t="s">
        <v>89</v>
      </c>
      <c r="D32" s="133">
        <v>2</v>
      </c>
      <c r="G32" s="107" t="s">
        <v>204</v>
      </c>
      <c r="H32" s="133">
        <f>Phase2begin</f>
        <v>4</v>
      </c>
      <c r="J32" s="107" t="s">
        <v>201</v>
      </c>
      <c r="K32" s="136">
        <f>summary!AH13</f>
        <v>0.54095334121673522</v>
      </c>
    </row>
    <row r="33" spans="2:15">
      <c r="B33" s="126" t="s">
        <v>93</v>
      </c>
      <c r="D33" s="130" t="s">
        <v>156</v>
      </c>
      <c r="G33" s="107" t="s">
        <v>205</v>
      </c>
      <c r="H33" s="133">
        <f>Phase2end</f>
        <v>5</v>
      </c>
      <c r="K33" s="127"/>
    </row>
    <row r="34" spans="2:15" ht="10" thickBot="1">
      <c r="B34" s="137"/>
      <c r="C34" s="138"/>
      <c r="D34" s="138"/>
      <c r="E34" s="138"/>
      <c r="F34" s="138"/>
      <c r="G34" s="129" t="s">
        <v>199</v>
      </c>
      <c r="H34" s="131">
        <f>Phase2open</f>
        <v>6</v>
      </c>
      <c r="I34" s="138"/>
      <c r="J34" s="138"/>
      <c r="K34" s="128"/>
    </row>
    <row r="35" spans="2:15">
      <c r="C35" s="120"/>
    </row>
    <row r="36" spans="2:15">
      <c r="B36" s="108" t="s">
        <v>182</v>
      </c>
      <c r="C36" s="108"/>
      <c r="E36" s="109">
        <f>IF(OR(E$2=$H34,E$2&gt;$H34),INDEX(summary!$A$2:$D$24,MATCH($D33,summary!$A$2:$A$24,0),MATCH($D32,summary!$A$2:$D$2,0)),0)</f>
        <v>0</v>
      </c>
      <c r="F36" s="109">
        <f>IF(OR(F$2=$H34,F$2&gt;$H34),INDEX(summary!$A$2:$D$24,MATCH($D33,summary!$A$2:$A$24,0),MATCH($D32,summary!$A$2:$D$2,0)),0)</f>
        <v>0</v>
      </c>
      <c r="G36" s="109">
        <f>IF(OR(G$2=$H34,G$2&gt;$H34),INDEX(summary!$A$2:$D$24,MATCH($D33,summary!$A$2:$A$24,0),MATCH($D32,summary!$A$2:$D$2,0)),0)</f>
        <v>0</v>
      </c>
      <c r="H36" s="109">
        <f>IF(OR(H$2=$H34,H$2&gt;$H34),INDEX(summary!$A$2:$D$24,MATCH($D33,summary!$A$2:$A$24,0),MATCH($D32,summary!$A$2:$D$2,0)),0)</f>
        <v>0</v>
      </c>
      <c r="I36" s="109">
        <f>IF(OR(I$2=$H34,I$2&gt;$H34),INDEX(summary!$A$2:$D$24,MATCH($D33,summary!$A$2:$A$24,0),MATCH($D32,summary!$A$2:$D$2,0)),0)</f>
        <v>0</v>
      </c>
      <c r="J36" s="109">
        <f>IF(OR(J$2=$H34,J$2&gt;$H34),INDEX(summary!$A$2:$D$24,MATCH($D33,summary!$A$2:$A$24,0),MATCH($D32,summary!$A$2:$D$2,0)),0)</f>
        <v>0</v>
      </c>
      <c r="K36" s="109">
        <f>IF(OR(K$2=$H34,K$2&gt;$H34),INDEX(summary!$A$2:$D$24,MATCH($D33,summary!$A$2:$A$24,0),MATCH($D32,summary!$A$2:$D$2,0)),0)</f>
        <v>482834.10590000002</v>
      </c>
      <c r="L36" s="109">
        <f>IF(OR(L$2=$H34,L$2&gt;$H34),INDEX(summary!$A$2:$D$24,MATCH($D33,summary!$A$2:$A$24,0),MATCH($D32,summary!$A$2:$D$2,0)),0)</f>
        <v>482834.10590000002</v>
      </c>
      <c r="M36" s="109">
        <f>IF(OR(M$2=$H34,M$2&gt;$H34),INDEX(summary!$A$2:$D$24,MATCH($D33,summary!$A$2:$A$24,0),MATCH($D32,summary!$A$2:$D$2,0)),0)</f>
        <v>482834.10590000002</v>
      </c>
      <c r="N36" s="109">
        <f>IF(OR(N$2=$H34,N$2&gt;$H34),INDEX(summary!$A$2:$D$24,MATCH($D33,summary!$A$2:$A$24,0),MATCH($D32,summary!$A$2:$D$2,0)),0)</f>
        <v>482834.10590000002</v>
      </c>
      <c r="O36" s="109">
        <f>IF(OR(O$2=$H34,O$2&gt;$H34),INDEX(summary!$A$2:$D$24,MATCH($D33,summary!$A$2:$A$24,0),MATCH($D32,summary!$A$2:$D$2,0)),0)</f>
        <v>482834.10590000002</v>
      </c>
    </row>
    <row r="37" spans="2:15">
      <c r="B37" s="108" t="s">
        <v>194</v>
      </c>
      <c r="C37" s="121" t="s">
        <v>191</v>
      </c>
      <c r="D37" s="110">
        <f>INDEX(cockpit!$J$6:$Y$16,MATCH($D33,cockpit!$J$6:$J$16,0),MATCH($C$10,cockpit!$J$6:$Y$6,0))</f>
        <v>0.1</v>
      </c>
      <c r="E37" s="109">
        <f>E36*(1-$D37)</f>
        <v>0</v>
      </c>
      <c r="F37" s="109">
        <f t="shared" ref="F37:O37" si="14">F36*(1-$D37)</f>
        <v>0</v>
      </c>
      <c r="G37" s="109">
        <f t="shared" si="14"/>
        <v>0</v>
      </c>
      <c r="H37" s="109">
        <f t="shared" si="14"/>
        <v>0</v>
      </c>
      <c r="I37" s="109">
        <f t="shared" si="14"/>
        <v>0</v>
      </c>
      <c r="J37" s="109">
        <f t="shared" si="14"/>
        <v>0</v>
      </c>
      <c r="K37" s="109">
        <f t="shared" si="14"/>
        <v>434550.69531000004</v>
      </c>
      <c r="L37" s="109">
        <f t="shared" si="14"/>
        <v>434550.69531000004</v>
      </c>
      <c r="M37" s="109">
        <f t="shared" si="14"/>
        <v>434550.69531000004</v>
      </c>
      <c r="N37" s="109">
        <f t="shared" si="14"/>
        <v>434550.69531000004</v>
      </c>
      <c r="O37" s="109">
        <f t="shared" si="14"/>
        <v>434550.69531000004</v>
      </c>
    </row>
    <row r="38" spans="2:15">
      <c r="B38" s="108" t="s">
        <v>265</v>
      </c>
      <c r="C38" s="121"/>
      <c r="E38" s="109">
        <f t="shared" ref="E38:O38" si="15">E40/Condoaveragesize</f>
        <v>0</v>
      </c>
      <c r="F38" s="109">
        <f t="shared" si="15"/>
        <v>0</v>
      </c>
      <c r="G38" s="109">
        <f t="shared" si="15"/>
        <v>0</v>
      </c>
      <c r="H38" s="109">
        <f t="shared" si="15"/>
        <v>0</v>
      </c>
      <c r="I38" s="109">
        <f t="shared" si="15"/>
        <v>0</v>
      </c>
      <c r="J38" s="109">
        <f t="shared" si="15"/>
        <v>0</v>
      </c>
      <c r="K38" s="109">
        <f t="shared" si="15"/>
        <v>260.99140859459465</v>
      </c>
      <c r="L38" s="109">
        <f t="shared" si="15"/>
        <v>521.98281718918929</v>
      </c>
      <c r="M38" s="109">
        <f t="shared" si="15"/>
        <v>521.98281718918929</v>
      </c>
      <c r="N38" s="109">
        <f t="shared" si="15"/>
        <v>521.98281718918929</v>
      </c>
      <c r="O38" s="109">
        <f t="shared" si="15"/>
        <v>521.98281718918929</v>
      </c>
    </row>
    <row r="39" spans="2:15">
      <c r="B39" s="108" t="s">
        <v>180</v>
      </c>
      <c r="C39" s="121" t="s">
        <v>152</v>
      </c>
      <c r="D39" s="122">
        <f>ResidentialCondominiumrampup</f>
        <v>0.5</v>
      </c>
      <c r="E39" s="109">
        <f>IF(OR(E$2=$H34,AND(E$2&gt;$H34,E$2&lt;(SUM($H34,INDEX(cockpit!$J$6:$Y$16,MATCH($D33,cockpit!$J$6:$J$16,0),MATCH($C$12,cockpit!$J$6:$Y$6,0)))))),E37*$D39,0)</f>
        <v>0</v>
      </c>
      <c r="F39" s="109">
        <f>IF(OR(F$2=$H34,AND(F$2&gt;$H34,F$2&lt;(SUM($H34,INDEX(cockpit!$J$6:$Y$16,MATCH($D33,cockpit!$J$6:$J$16,0),MATCH($C$12,cockpit!$J$6:$Y$6,0)))))),F37*$D39,0)</f>
        <v>0</v>
      </c>
      <c r="G39" s="109">
        <f>IF(OR(G$2=$H34,AND(G$2&gt;$H34,G$2&lt;(SUM($H34,INDEX(cockpit!$J$6:$Y$16,MATCH($D33,cockpit!$J$6:$J$16,0),MATCH($C$12,cockpit!$J$6:$Y$6,0)))))),G37*$D39,0)</f>
        <v>0</v>
      </c>
      <c r="H39" s="109">
        <f>IF(OR(H$2=$H34,AND(H$2&gt;$H34,H$2&lt;(SUM($H34,INDEX(cockpit!$J$6:$Y$16,MATCH($D33,cockpit!$J$6:$J$16,0),MATCH($C$12,cockpit!$J$6:$Y$6,0)))))),H37*$D39,0)</f>
        <v>0</v>
      </c>
      <c r="I39" s="109">
        <f>IF(OR(I$2=$H34,AND(I$2&gt;$H34,I$2&lt;(SUM($H34,INDEX(cockpit!$J$6:$Y$16,MATCH($D33,cockpit!$J$6:$J$16,0),MATCH($C$12,cockpit!$J$6:$Y$6,0)))))),I37*$D39,0)</f>
        <v>0</v>
      </c>
      <c r="J39" s="109">
        <f>IF(OR(J$2=$H34,AND(J$2&gt;$H34,J$2&lt;(SUM($H34,INDEX(cockpit!$J$6:$Y$16,MATCH($D33,cockpit!$J$6:$J$16,0),MATCH($C$12,cockpit!$J$6:$Y$6,0)))))),J37*$D39,0)</f>
        <v>0</v>
      </c>
      <c r="K39" s="109">
        <f>IF(OR(K$2=$H34,AND(K$2&gt;$H34,K$2&lt;(SUM($H34,INDEX(cockpit!$J$6:$Y$16,MATCH($D33,cockpit!$J$6:$J$16,0),MATCH($C$12,cockpit!$J$6:$Y$6,0)))))),K37*$D39,0)</f>
        <v>217275.34765500002</v>
      </c>
      <c r="L39" s="109">
        <f>IF(OR(L$2=$H34,AND(L$2&gt;$H34,L$2&lt;(SUM($H34,INDEX(cockpit!$J$6:$Y$16,MATCH($D33,cockpit!$J$6:$J$16,0),MATCH($C$12,cockpit!$J$6:$Y$6,0)))))),L37*$D39,0)</f>
        <v>217275.34765500002</v>
      </c>
      <c r="M39" s="109">
        <f>IF(OR(M$2=$H34,AND(M$2&gt;$H34,M$2&lt;(SUM($H34,INDEX(cockpit!$J$6:$Y$16,MATCH($D33,cockpit!$J$6:$J$16,0),MATCH($C$12,cockpit!$J$6:$Y$6,0)))))),M37*$D39,0)</f>
        <v>0</v>
      </c>
      <c r="N39" s="109">
        <f>IF(OR(N$2=$H34,AND(N$2&gt;$H34,N$2&lt;(SUM($H34,INDEX(cockpit!$J$6:$Y$16,MATCH($D33,cockpit!$J$6:$J$16,0),MATCH($C$12,cockpit!$J$6:$Y$6,0)))))),N37*$D39,0)</f>
        <v>0</v>
      </c>
      <c r="O39" s="109">
        <f>IF(OR(O$2=$H34,AND(O$2&gt;$H34,O$2&lt;(SUM($H34,INDEX(cockpit!$J$6:$Y$16,MATCH($D33,cockpit!$J$6:$J$16,0),MATCH($C$12,cockpit!$J$6:$Y$6,0)))))),O37*$D39,0)</f>
        <v>0</v>
      </c>
    </row>
    <row r="40" spans="2:15">
      <c r="B40" s="108" t="s">
        <v>181</v>
      </c>
      <c r="C40" s="121"/>
      <c r="E40" s="109">
        <f>SUM($E39:E39)</f>
        <v>0</v>
      </c>
      <c r="F40" s="109">
        <f>SUM($E39:F39)</f>
        <v>0</v>
      </c>
      <c r="G40" s="109">
        <f>SUM($E39:G39)</f>
        <v>0</v>
      </c>
      <c r="H40" s="109">
        <f>SUM($E39:H39)</f>
        <v>0</v>
      </c>
      <c r="I40" s="109">
        <f>SUM($E39:I39)</f>
        <v>0</v>
      </c>
      <c r="J40" s="109">
        <f>SUM($E39:J39)</f>
        <v>0</v>
      </c>
      <c r="K40" s="109">
        <f>SUM($E39:K39)</f>
        <v>217275.34765500002</v>
      </c>
      <c r="L40" s="109">
        <f>SUM($E39:L39)</f>
        <v>434550.69531000004</v>
      </c>
      <c r="M40" s="109">
        <f>SUM($E39:M39)</f>
        <v>434550.69531000004</v>
      </c>
      <c r="N40" s="109">
        <f>SUM($E39:N39)</f>
        <v>434550.69531000004</v>
      </c>
      <c r="O40" s="109">
        <f>SUM($E39:O39)</f>
        <v>434550.69531000004</v>
      </c>
    </row>
    <row r="41" spans="2:15">
      <c r="B41" s="108" t="s">
        <v>266</v>
      </c>
      <c r="C41" s="121"/>
      <c r="E41" s="195">
        <f t="shared" ref="E41:O41" si="16">ROUNDDOWN(E39/Condoaveragesize,0)</f>
        <v>0</v>
      </c>
      <c r="F41" s="195">
        <f t="shared" si="16"/>
        <v>0</v>
      </c>
      <c r="G41" s="195">
        <f t="shared" si="16"/>
        <v>0</v>
      </c>
      <c r="H41" s="195">
        <f t="shared" si="16"/>
        <v>0</v>
      </c>
      <c r="I41" s="195">
        <f t="shared" si="16"/>
        <v>0</v>
      </c>
      <c r="J41" s="195">
        <f t="shared" si="16"/>
        <v>0</v>
      </c>
      <c r="K41" s="195">
        <f t="shared" si="16"/>
        <v>260</v>
      </c>
      <c r="L41" s="195">
        <f t="shared" si="16"/>
        <v>260</v>
      </c>
      <c r="M41" s="195">
        <f t="shared" si="16"/>
        <v>0</v>
      </c>
      <c r="N41" s="195">
        <f t="shared" si="16"/>
        <v>0</v>
      </c>
      <c r="O41" s="195">
        <f t="shared" si="16"/>
        <v>0</v>
      </c>
    </row>
    <row r="42" spans="2:15">
      <c r="B42" s="108" t="s">
        <v>678</v>
      </c>
      <c r="E42" s="196">
        <f>E41/12</f>
        <v>0</v>
      </c>
      <c r="F42" s="196">
        <f t="shared" ref="F42:O42" si="17">F41/12</f>
        <v>0</v>
      </c>
      <c r="G42" s="196">
        <f t="shared" si="17"/>
        <v>0</v>
      </c>
      <c r="H42" s="196">
        <f t="shared" si="17"/>
        <v>0</v>
      </c>
      <c r="I42" s="196">
        <f t="shared" si="17"/>
        <v>0</v>
      </c>
      <c r="J42" s="196">
        <f t="shared" si="17"/>
        <v>0</v>
      </c>
      <c r="K42" s="196">
        <f t="shared" si="17"/>
        <v>21.666666666666668</v>
      </c>
      <c r="L42" s="196">
        <f t="shared" si="17"/>
        <v>21.666666666666668</v>
      </c>
      <c r="M42" s="196">
        <f t="shared" si="17"/>
        <v>0</v>
      </c>
      <c r="N42" s="196">
        <f t="shared" si="17"/>
        <v>0</v>
      </c>
      <c r="O42" s="196">
        <f t="shared" si="17"/>
        <v>0</v>
      </c>
    </row>
    <row r="43" spans="2:15">
      <c r="C43" s="121"/>
    </row>
    <row r="44" spans="2:15">
      <c r="B44" s="108" t="s">
        <v>166</v>
      </c>
      <c r="C44" s="121"/>
      <c r="D44" s="111">
        <f>(CondosalePSF*(1-$K32))+((CondosalePSF*(1+premiumprices)*$K32))</f>
        <v>329.2191172382133</v>
      </c>
      <c r="E44" s="112">
        <f t="shared" ref="E44:O44" si="18">(E41*Condoaveragesize)*($D44*((1+Inflation)^(E$2-1)))</f>
        <v>0</v>
      </c>
      <c r="F44" s="112">
        <f t="shared" si="18"/>
        <v>0</v>
      </c>
      <c r="G44" s="112">
        <f t="shared" si="18"/>
        <v>0</v>
      </c>
      <c r="H44" s="112">
        <f t="shared" si="18"/>
        <v>0</v>
      </c>
      <c r="I44" s="112">
        <f t="shared" si="18"/>
        <v>0</v>
      </c>
      <c r="J44" s="112">
        <f t="shared" si="18"/>
        <v>0</v>
      </c>
      <c r="K44" s="112">
        <f t="shared" si="18"/>
        <v>78676221.624384016</v>
      </c>
      <c r="L44" s="112">
        <f t="shared" si="18"/>
        <v>80249746.056871697</v>
      </c>
      <c r="M44" s="112">
        <f t="shared" si="18"/>
        <v>0</v>
      </c>
      <c r="N44" s="112">
        <f t="shared" si="18"/>
        <v>0</v>
      </c>
      <c r="O44" s="112">
        <f t="shared" si="18"/>
        <v>0</v>
      </c>
    </row>
    <row r="45" spans="2:15">
      <c r="B45" s="108" t="s">
        <v>267</v>
      </c>
      <c r="C45" s="121"/>
      <c r="D45" s="122">
        <f>Condocostofsale</f>
        <v>0.05</v>
      </c>
      <c r="E45" s="113">
        <f t="shared" ref="E45:O45" si="19">-E44*$D45</f>
        <v>0</v>
      </c>
      <c r="F45" s="113">
        <f t="shared" si="19"/>
        <v>0</v>
      </c>
      <c r="G45" s="113">
        <f t="shared" si="19"/>
        <v>0</v>
      </c>
      <c r="H45" s="113">
        <f t="shared" si="19"/>
        <v>0</v>
      </c>
      <c r="I45" s="113">
        <f t="shared" si="19"/>
        <v>0</v>
      </c>
      <c r="J45" s="113">
        <f t="shared" si="19"/>
        <v>0</v>
      </c>
      <c r="K45" s="113">
        <f t="shared" si="19"/>
        <v>-3933811.081219201</v>
      </c>
      <c r="L45" s="113">
        <f t="shared" si="19"/>
        <v>-4012487.3028435851</v>
      </c>
      <c r="M45" s="113">
        <f t="shared" si="19"/>
        <v>0</v>
      </c>
      <c r="N45" s="113">
        <f t="shared" si="19"/>
        <v>0</v>
      </c>
      <c r="O45" s="113">
        <f t="shared" si="19"/>
        <v>0</v>
      </c>
    </row>
    <row r="46" spans="2:15">
      <c r="B46" s="114" t="s">
        <v>167</v>
      </c>
      <c r="C46" s="121"/>
      <c r="E46" s="112">
        <f>SUM(E44:E45)</f>
        <v>0</v>
      </c>
      <c r="F46" s="112">
        <f t="shared" ref="F46:O46" si="20">SUM(F44:F45)</f>
        <v>0</v>
      </c>
      <c r="G46" s="112">
        <f t="shared" si="20"/>
        <v>0</v>
      </c>
      <c r="H46" s="112">
        <f t="shared" si="20"/>
        <v>0</v>
      </c>
      <c r="I46" s="112">
        <f t="shared" si="20"/>
        <v>0</v>
      </c>
      <c r="J46" s="112">
        <f t="shared" si="20"/>
        <v>0</v>
      </c>
      <c r="K46" s="112">
        <f t="shared" si="20"/>
        <v>74742410.543164819</v>
      </c>
      <c r="L46" s="112">
        <f t="shared" si="20"/>
        <v>76237258.754028112</v>
      </c>
      <c r="M46" s="112">
        <f t="shared" si="20"/>
        <v>0</v>
      </c>
      <c r="N46" s="112">
        <f t="shared" si="20"/>
        <v>0</v>
      </c>
      <c r="O46" s="112">
        <f t="shared" si="20"/>
        <v>0</v>
      </c>
    </row>
    <row r="47" spans="2:15">
      <c r="C47" s="121"/>
      <c r="E47" s="187">
        <f t="shared" ref="E47:O47" si="21">IFERROR(E46/E44,0)</f>
        <v>0</v>
      </c>
      <c r="F47" s="187">
        <f t="shared" si="21"/>
        <v>0</v>
      </c>
      <c r="G47" s="187">
        <f t="shared" si="21"/>
        <v>0</v>
      </c>
      <c r="H47" s="187">
        <f t="shared" si="21"/>
        <v>0</v>
      </c>
      <c r="I47" s="187">
        <f t="shared" si="21"/>
        <v>0</v>
      </c>
      <c r="J47" s="187">
        <f t="shared" si="21"/>
        <v>0</v>
      </c>
      <c r="K47" s="187">
        <f t="shared" si="21"/>
        <v>0.95000000000000007</v>
      </c>
      <c r="L47" s="187">
        <f t="shared" si="21"/>
        <v>0.95</v>
      </c>
      <c r="M47" s="187">
        <f t="shared" si="21"/>
        <v>0</v>
      </c>
      <c r="N47" s="187">
        <f t="shared" si="21"/>
        <v>0</v>
      </c>
      <c r="O47" s="187">
        <f t="shared" si="21"/>
        <v>0</v>
      </c>
    </row>
    <row r="48" spans="2:15">
      <c r="B48" s="108" t="s">
        <v>168</v>
      </c>
      <c r="C48" s="121"/>
      <c r="D48" s="115">
        <f>INDEX(cockpit!$J$6:$Y$16,MATCH($D33,cockpit!$J$6:$J$16,0),MATCH($B48,cockpit!$J$6:$Y$6,0))</f>
        <v>0</v>
      </c>
      <c r="E48" s="112">
        <f>-E37*$D48</f>
        <v>0</v>
      </c>
      <c r="F48" s="112">
        <f t="shared" ref="F48:O48" si="22">-F37*$D48</f>
        <v>0</v>
      </c>
      <c r="G48" s="112">
        <f t="shared" si="22"/>
        <v>0</v>
      </c>
      <c r="H48" s="112">
        <f t="shared" si="22"/>
        <v>0</v>
      </c>
      <c r="I48" s="112">
        <f t="shared" si="22"/>
        <v>0</v>
      </c>
      <c r="J48" s="112">
        <f t="shared" si="22"/>
        <v>0</v>
      </c>
      <c r="K48" s="112">
        <f t="shared" si="22"/>
        <v>0</v>
      </c>
      <c r="L48" s="112">
        <f t="shared" si="22"/>
        <v>0</v>
      </c>
      <c r="M48" s="112">
        <f t="shared" si="22"/>
        <v>0</v>
      </c>
      <c r="N48" s="112">
        <f t="shared" si="22"/>
        <v>0</v>
      </c>
      <c r="O48" s="112">
        <f t="shared" si="22"/>
        <v>0</v>
      </c>
    </row>
    <row r="49" spans="2:15">
      <c r="B49" s="108" t="s">
        <v>162</v>
      </c>
      <c r="C49" s="121"/>
      <c r="D49" s="115">
        <f>INDEX(cockpit!$J$6:$Y$16,MATCH($D33,cockpit!$J$6:$J$16,0),MATCH($B49,cockpit!$J$6:$Y$6,0))</f>
        <v>0</v>
      </c>
      <c r="E49" s="113">
        <f>-E40*$D49</f>
        <v>0</v>
      </c>
      <c r="F49" s="113">
        <f t="shared" ref="F49:O49" si="23">-F40*$D49</f>
        <v>0</v>
      </c>
      <c r="G49" s="113">
        <f t="shared" si="23"/>
        <v>0</v>
      </c>
      <c r="H49" s="113">
        <f t="shared" si="23"/>
        <v>0</v>
      </c>
      <c r="I49" s="113">
        <f t="shared" si="23"/>
        <v>0</v>
      </c>
      <c r="J49" s="113">
        <f t="shared" si="23"/>
        <v>0</v>
      </c>
      <c r="K49" s="113">
        <f t="shared" si="23"/>
        <v>0</v>
      </c>
      <c r="L49" s="113">
        <f t="shared" si="23"/>
        <v>0</v>
      </c>
      <c r="M49" s="113">
        <f t="shared" si="23"/>
        <v>0</v>
      </c>
      <c r="N49" s="113">
        <f t="shared" si="23"/>
        <v>0</v>
      </c>
      <c r="O49" s="113">
        <f t="shared" si="23"/>
        <v>0</v>
      </c>
    </row>
    <row r="50" spans="2:15">
      <c r="B50" s="114" t="s">
        <v>195</v>
      </c>
      <c r="C50" s="121"/>
      <c r="D50" s="115"/>
      <c r="E50" s="112">
        <f>SUM(E48:E49)</f>
        <v>0</v>
      </c>
      <c r="F50" s="112">
        <f t="shared" ref="F50:O50" si="24">SUM(F48:F49)</f>
        <v>0</v>
      </c>
      <c r="G50" s="112">
        <f t="shared" si="24"/>
        <v>0</v>
      </c>
      <c r="H50" s="112">
        <f t="shared" si="24"/>
        <v>0</v>
      </c>
      <c r="I50" s="112">
        <f t="shared" si="24"/>
        <v>0</v>
      </c>
      <c r="J50" s="112">
        <f t="shared" si="24"/>
        <v>0</v>
      </c>
      <c r="K50" s="112">
        <f t="shared" si="24"/>
        <v>0</v>
      </c>
      <c r="L50" s="112">
        <f t="shared" si="24"/>
        <v>0</v>
      </c>
      <c r="M50" s="112">
        <f t="shared" si="24"/>
        <v>0</v>
      </c>
      <c r="N50" s="112">
        <f t="shared" si="24"/>
        <v>0</v>
      </c>
      <c r="O50" s="112">
        <f t="shared" si="24"/>
        <v>0</v>
      </c>
    </row>
    <row r="51" spans="2:15">
      <c r="B51" s="108"/>
      <c r="C51" s="121"/>
    </row>
    <row r="52" spans="2:15">
      <c r="B52" s="108" t="s">
        <v>170</v>
      </c>
      <c r="C52" s="121"/>
      <c r="D52" s="111">
        <f>(CondoconstructionPSF*(1-$K32))+((ResidentialaffordablecostPSF*(1+premiumprices)*$K32))</f>
        <v>167.02857502956277</v>
      </c>
      <c r="E52" s="112">
        <f>-IF(OR(E$2=$H32,E$2=$H33,AND(E$2&gt;$H32,E$2&lt;$H33)),(INDEX(summary!$A$2:$D$24,MATCH($D33,summary!$A$2:$A$24,0),MATCH($D32,summary!$A$2:$D$2,0)))/constructiontimephase2)*($D52*((1+Inflation)^(E$2-1)))*(1+Developerfee)</f>
        <v>0</v>
      </c>
      <c r="F52" s="112">
        <f>-IF(OR(F$2=$H32,F$2=$H33,AND(F$2&gt;$H32,F$2&lt;$H33)),(INDEX(summary!$A$2:$D$24,MATCH($D33,summary!$A$2:$A$24,0),MATCH($D32,summary!$A$2:$D$2,0)))/constructiontimephase2)*($D52*((1+Inflation)^(F$2-1)))*(1+Developerfee)</f>
        <v>0</v>
      </c>
      <c r="G52" s="112">
        <f>-IF(OR(G$2=$H32,G$2=$H33,AND(G$2&gt;$H32,G$2&lt;$H33)),(INDEX(summary!$A$2:$D$24,MATCH($D33,summary!$A$2:$A$24,0),MATCH($D32,summary!$A$2:$D$2,0)))/constructiontimephase2)*($D52*((1+Inflation)^(G$2-1)))*(1+Developerfee)</f>
        <v>0</v>
      </c>
      <c r="H52" s="112">
        <f>-IF(OR(H$2=$H32,H$2=$H33,AND(H$2&gt;$H32,H$2&lt;$H33)),(INDEX(summary!$A$2:$D$24,MATCH($D33,summary!$A$2:$A$24,0),MATCH($D32,summary!$A$2:$D$2,0)))/constructiontimephase2)*($D52*((1+Inflation)^(H$2-1)))*(1+Developerfee)</f>
        <v>0</v>
      </c>
      <c r="I52" s="112">
        <f>-IF(OR(I$2=$H32,I$2=$H33,AND(I$2&gt;$H32,I$2&lt;$H33)),(INDEX(summary!$A$2:$D$24,MATCH($D33,summary!$A$2:$A$24,0),MATCH($D32,summary!$A$2:$D$2,0)))/constructiontimephase2)*($D52*((1+Inflation)^(I$2-1)))*(1+Developerfee)</f>
        <v>-44075420.065578155</v>
      </c>
      <c r="J52" s="112">
        <f>-IF(OR(J$2=$H32,J$2=$H33,AND(J$2&gt;$H32,J$2&lt;$H33)),(INDEX(summary!$A$2:$D$24,MATCH($D33,summary!$A$2:$A$24,0),MATCH($D32,summary!$A$2:$D$2,0)))/constructiontimephase2)*($D52*((1+Inflation)^(J$2-1)))*(1+Developerfee)</f>
        <v>-44956928.466889717</v>
      </c>
      <c r="K52" s="112">
        <f>-IF(OR(K$2=$H32,K$2=$H33,AND(K$2&gt;$H32,K$2&lt;$H33)),(INDEX(summary!$A$2:$D$24,MATCH($D33,summary!$A$2:$A$24,0),MATCH($D32,summary!$A$2:$D$2,0)))/constructiontimephase2)*($D52*((1+Inflation)^(K$2-1)))*(1+Developerfee)</f>
        <v>0</v>
      </c>
      <c r="L52" s="112">
        <f>-IF(OR(L$2=$H32,L$2=$H33,AND(L$2&gt;$H32,L$2&lt;$H33)),(INDEX(summary!$A$2:$D$24,MATCH($D33,summary!$A$2:$A$24,0),MATCH($D32,summary!$A$2:$D$2,0)))/constructiontimephase2)*($D52*((1+Inflation)^(L$2-1)))*(1+Developerfee)</f>
        <v>0</v>
      </c>
      <c r="M52" s="112">
        <f>-IF(OR(M$2=$H32,M$2=$H33,AND(M$2&gt;$H32,M$2&lt;$H33)),(INDEX(summary!$A$2:$D$24,MATCH($D33,summary!$A$2:$A$24,0),MATCH($D32,summary!$A$2:$D$2,0)))/constructiontimephase2)*($D52*((1+Inflation)^(M$2-1)))*(1+Developerfee)</f>
        <v>0</v>
      </c>
      <c r="N52" s="112">
        <f>-IF(OR(N$2=$H32,N$2=$H33,AND(N$2&gt;$H32,N$2&lt;$H33)),(INDEX(summary!$A$2:$D$24,MATCH($D33,summary!$A$2:$A$24,0),MATCH($D32,summary!$A$2:$D$2,0)))/constructiontimephase2)*($D52*((1+Inflation)^(N$2-1)))*(1+Developerfee)</f>
        <v>0</v>
      </c>
      <c r="O52" s="112">
        <f>-IF(OR(O$2=$H32,O$2=$H33,AND(O$2&gt;$H32,O$2&lt;$H33)),(INDEX(summary!$A$2:$D$24,MATCH($D33,summary!$A$2:$A$24,0),MATCH($D32,summary!$A$2:$D$2,0)))/constructiontimephase2)*($D52*((1+Inflation)^(O$2-1)))*(1+Developerfee)</f>
        <v>0</v>
      </c>
    </row>
    <row r="53" spans="2:15">
      <c r="B53" s="108" t="s">
        <v>197</v>
      </c>
      <c r="C53" s="121" t="s">
        <v>189</v>
      </c>
      <c r="D53" s="122">
        <f>(INDEX(cockpit!$J$6:$Y$16,MATCH($D33,cockpit!$J$6:$J$16,0),MATCH($C53,cockpit!$J$6:$Y$6,0))*(1-$K32))+((INDEX(cockpit!$J$6:$Y$16,MATCH($D33,cockpit!$J$6:$J$16,0),MATCH($C53,cockpit!$J$6:$Y$6,0))-(Premiumexitcaprate))*$K32)</f>
        <v>5.8442849940874488E-2</v>
      </c>
      <c r="E53" s="113">
        <f t="shared" ref="E53:O53" si="25">IF(E$2=dispositionyear,E46/$D53,0)*(1-Closingcosts)</f>
        <v>0</v>
      </c>
      <c r="F53" s="113">
        <f t="shared" si="25"/>
        <v>0</v>
      </c>
      <c r="G53" s="113">
        <f t="shared" si="25"/>
        <v>0</v>
      </c>
      <c r="H53" s="113">
        <f t="shared" si="25"/>
        <v>0</v>
      </c>
      <c r="I53" s="113">
        <f t="shared" si="25"/>
        <v>0</v>
      </c>
      <c r="J53" s="113">
        <f t="shared" si="25"/>
        <v>0</v>
      </c>
      <c r="K53" s="113">
        <f t="shared" si="25"/>
        <v>0</v>
      </c>
      <c r="L53" s="113">
        <f t="shared" si="25"/>
        <v>0</v>
      </c>
      <c r="M53" s="113">
        <f t="shared" si="25"/>
        <v>0</v>
      </c>
      <c r="N53" s="113">
        <f t="shared" si="25"/>
        <v>0</v>
      </c>
      <c r="O53" s="113">
        <f t="shared" si="25"/>
        <v>0</v>
      </c>
    </row>
    <row r="54" spans="2:15">
      <c r="B54" s="114" t="s">
        <v>196</v>
      </c>
      <c r="C54" s="121"/>
      <c r="D54" s="110"/>
      <c r="E54" s="112">
        <f>SUM(E52:E53)</f>
        <v>0</v>
      </c>
      <c r="F54" s="112">
        <f t="shared" ref="F54:O54" si="26">SUM(F52:F53)</f>
        <v>0</v>
      </c>
      <c r="G54" s="112">
        <f t="shared" si="26"/>
        <v>0</v>
      </c>
      <c r="H54" s="112">
        <f t="shared" si="26"/>
        <v>0</v>
      </c>
      <c r="I54" s="112">
        <f t="shared" si="26"/>
        <v>-44075420.065578155</v>
      </c>
      <c r="J54" s="112">
        <f t="shared" si="26"/>
        <v>-44956928.466889717</v>
      </c>
      <c r="K54" s="112">
        <f t="shared" si="26"/>
        <v>0</v>
      </c>
      <c r="L54" s="112">
        <f t="shared" si="26"/>
        <v>0</v>
      </c>
      <c r="M54" s="112">
        <f t="shared" si="26"/>
        <v>0</v>
      </c>
      <c r="N54" s="112">
        <f t="shared" si="26"/>
        <v>0</v>
      </c>
      <c r="O54" s="112">
        <f t="shared" si="26"/>
        <v>0</v>
      </c>
    </row>
    <row r="55" spans="2:15">
      <c r="B55" s="108"/>
      <c r="C55" s="121"/>
      <c r="D55" s="110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</row>
    <row r="56" spans="2:15">
      <c r="B56" s="114" t="s">
        <v>169</v>
      </c>
      <c r="C56" s="114"/>
      <c r="D56" s="116">
        <f ca="1">IRR(OFFSET(E56,0,0,1,Investmenthorizon+1))</f>
        <v>0.30222287551978289</v>
      </c>
      <c r="E56" s="117">
        <f>SUM(E46,E50,E54)</f>
        <v>0</v>
      </c>
      <c r="F56" s="117">
        <f t="shared" ref="F56:O56" si="27">SUM(F46,F50,F54)</f>
        <v>0</v>
      </c>
      <c r="G56" s="117">
        <f t="shared" si="27"/>
        <v>0</v>
      </c>
      <c r="H56" s="117">
        <f t="shared" si="27"/>
        <v>0</v>
      </c>
      <c r="I56" s="117">
        <f t="shared" si="27"/>
        <v>-44075420.065578155</v>
      </c>
      <c r="J56" s="117">
        <f t="shared" si="27"/>
        <v>-44956928.466889717</v>
      </c>
      <c r="K56" s="117">
        <f t="shared" si="27"/>
        <v>74742410.543164819</v>
      </c>
      <c r="L56" s="117">
        <f t="shared" si="27"/>
        <v>76237258.754028112</v>
      </c>
      <c r="M56" s="117">
        <f t="shared" si="27"/>
        <v>0</v>
      </c>
      <c r="N56" s="117">
        <f t="shared" si="27"/>
        <v>0</v>
      </c>
      <c r="O56" s="117">
        <f t="shared" si="27"/>
        <v>0</v>
      </c>
    </row>
    <row r="57" spans="2:15" ht="10" thickBot="1">
      <c r="B57" s="107"/>
      <c r="D57" s="130"/>
      <c r="G57" s="107"/>
      <c r="H57" s="133"/>
    </row>
    <row r="58" spans="2:15">
      <c r="B58" s="123" t="s">
        <v>198</v>
      </c>
      <c r="C58" s="124"/>
      <c r="D58" s="124"/>
      <c r="E58" s="134"/>
      <c r="F58" s="135"/>
      <c r="G58" s="135"/>
      <c r="H58" s="135"/>
      <c r="I58" s="135"/>
      <c r="J58" s="135"/>
      <c r="K58" s="125"/>
      <c r="L58" s="107"/>
      <c r="M58" s="107"/>
      <c r="N58" s="107"/>
      <c r="O58" s="107"/>
    </row>
    <row r="59" spans="2:15">
      <c r="B59" s="126" t="s">
        <v>89</v>
      </c>
      <c r="D59" s="133">
        <v>3</v>
      </c>
      <c r="G59" s="107" t="s">
        <v>204</v>
      </c>
      <c r="H59" s="133">
        <f>Phase3begin</f>
        <v>6</v>
      </c>
      <c r="J59" s="107" t="s">
        <v>201</v>
      </c>
      <c r="K59" s="136">
        <f>summary!AF84</f>
        <v>0</v>
      </c>
    </row>
    <row r="60" spans="2:15">
      <c r="B60" s="126" t="s">
        <v>93</v>
      </c>
      <c r="D60" s="130" t="s">
        <v>156</v>
      </c>
      <c r="G60" s="107" t="s">
        <v>205</v>
      </c>
      <c r="H60" s="133">
        <f>Phase3end</f>
        <v>7</v>
      </c>
      <c r="K60" s="127"/>
    </row>
    <row r="61" spans="2:15" ht="10" thickBot="1">
      <c r="B61" s="137"/>
      <c r="C61" s="138"/>
      <c r="D61" s="138"/>
      <c r="E61" s="138"/>
      <c r="F61" s="138"/>
      <c r="G61" s="129" t="s">
        <v>199</v>
      </c>
      <c r="H61" s="131">
        <f>Phase3open</f>
        <v>8</v>
      </c>
      <c r="I61" s="138"/>
      <c r="J61" s="138"/>
      <c r="K61" s="128"/>
    </row>
    <row r="62" spans="2:15">
      <c r="C62" s="120"/>
    </row>
    <row r="63" spans="2:15">
      <c r="B63" s="108" t="s">
        <v>182</v>
      </c>
      <c r="C63" s="108"/>
      <c r="E63" s="109">
        <f>IF(OR(E$2=$H61,E$2&gt;$H61),INDEX(summary!$A$2:$D$24,MATCH($D60,summary!$A$2:$A$24,0),MATCH($D59,summary!$A$2:$D$2,0)),0)</f>
        <v>0</v>
      </c>
      <c r="F63" s="109">
        <f>IF(OR(F$2=$H61,F$2&gt;$H61),INDEX(summary!$A$2:$D$24,MATCH($D60,summary!$A$2:$A$24,0),MATCH($D59,summary!$A$2:$D$2,0)),0)</f>
        <v>0</v>
      </c>
      <c r="G63" s="109">
        <f>IF(OR(G$2=$H61,G$2&gt;$H61),INDEX(summary!$A$2:$D$24,MATCH($D60,summary!$A$2:$A$24,0),MATCH($D59,summary!$A$2:$D$2,0)),0)</f>
        <v>0</v>
      </c>
      <c r="H63" s="109">
        <f>IF(OR(H$2=$H61,H$2&gt;$H61),INDEX(summary!$A$2:$D$24,MATCH($D60,summary!$A$2:$A$24,0),MATCH($D59,summary!$A$2:$D$2,0)),0)</f>
        <v>0</v>
      </c>
      <c r="I63" s="109">
        <f>IF(OR(I$2=$H61,I$2&gt;$H61),INDEX(summary!$A$2:$D$24,MATCH($D60,summary!$A$2:$A$24,0),MATCH($D59,summary!$A$2:$D$2,0)),0)</f>
        <v>0</v>
      </c>
      <c r="J63" s="109">
        <f>IF(OR(J$2=$H61,J$2&gt;$H61),INDEX(summary!$A$2:$D$24,MATCH($D60,summary!$A$2:$A$24,0),MATCH($D59,summary!$A$2:$D$2,0)),0)</f>
        <v>0</v>
      </c>
      <c r="K63" s="109">
        <f>IF(OR(K$2=$H61,K$2&gt;$H61),INDEX(summary!$A$2:$D$24,MATCH($D60,summary!$A$2:$A$24,0),MATCH($D59,summary!$A$2:$D$2,0)),0)</f>
        <v>0</v>
      </c>
      <c r="L63" s="109">
        <f>IF(OR(L$2=$H61,L$2&gt;$H61),INDEX(summary!$A$2:$D$24,MATCH($D60,summary!$A$2:$A$24,0),MATCH($D59,summary!$A$2:$D$2,0)),0)</f>
        <v>0</v>
      </c>
      <c r="M63" s="109">
        <f>IF(OR(M$2=$H61,M$2&gt;$H61),INDEX(summary!$A$2:$D$24,MATCH($D60,summary!$A$2:$A$24,0),MATCH($D59,summary!$A$2:$D$2,0)),0)</f>
        <v>0</v>
      </c>
      <c r="N63" s="109">
        <f>IF(OR(N$2=$H61,N$2&gt;$H61),INDEX(summary!$A$2:$D$24,MATCH($D60,summary!$A$2:$A$24,0),MATCH($D59,summary!$A$2:$D$2,0)),0)</f>
        <v>0</v>
      </c>
      <c r="O63" s="109">
        <f>IF(OR(O$2=$H61,O$2&gt;$H61),INDEX(summary!$A$2:$D$24,MATCH($D60,summary!$A$2:$A$24,0),MATCH($D59,summary!$A$2:$D$2,0)),0)</f>
        <v>0</v>
      </c>
    </row>
    <row r="64" spans="2:15">
      <c r="B64" s="108" t="s">
        <v>194</v>
      </c>
      <c r="C64" s="121" t="s">
        <v>191</v>
      </c>
      <c r="D64" s="110">
        <f>INDEX(cockpit!$J$6:$Y$16,MATCH($D60,cockpit!$J$6:$J$16,0),MATCH($C$10,cockpit!$J$6:$Y$6,0))</f>
        <v>0.1</v>
      </c>
      <c r="E64" s="109">
        <f>E63*(1-$D64)</f>
        <v>0</v>
      </c>
      <c r="F64" s="109">
        <f t="shared" ref="F64:O64" si="28">F63*(1-$D64)</f>
        <v>0</v>
      </c>
      <c r="G64" s="109">
        <f t="shared" si="28"/>
        <v>0</v>
      </c>
      <c r="H64" s="109">
        <f t="shared" si="28"/>
        <v>0</v>
      </c>
      <c r="I64" s="109">
        <f t="shared" si="28"/>
        <v>0</v>
      </c>
      <c r="J64" s="109">
        <f t="shared" si="28"/>
        <v>0</v>
      </c>
      <c r="K64" s="109">
        <f t="shared" si="28"/>
        <v>0</v>
      </c>
      <c r="L64" s="109">
        <f t="shared" si="28"/>
        <v>0</v>
      </c>
      <c r="M64" s="109">
        <f t="shared" si="28"/>
        <v>0</v>
      </c>
      <c r="N64" s="109">
        <f t="shared" si="28"/>
        <v>0</v>
      </c>
      <c r="O64" s="109">
        <f t="shared" si="28"/>
        <v>0</v>
      </c>
    </row>
    <row r="65" spans="2:15">
      <c r="B65" s="108" t="s">
        <v>265</v>
      </c>
      <c r="C65" s="121"/>
      <c r="E65" s="109">
        <f t="shared" ref="E65:O65" si="29">E67/Condoaveragesize</f>
        <v>0</v>
      </c>
      <c r="F65" s="109">
        <f t="shared" si="29"/>
        <v>0</v>
      </c>
      <c r="G65" s="109">
        <f t="shared" si="29"/>
        <v>0</v>
      </c>
      <c r="H65" s="109">
        <f t="shared" si="29"/>
        <v>0</v>
      </c>
      <c r="I65" s="109">
        <f t="shared" si="29"/>
        <v>0</v>
      </c>
      <c r="J65" s="109">
        <f t="shared" si="29"/>
        <v>0</v>
      </c>
      <c r="K65" s="109">
        <f t="shared" si="29"/>
        <v>0</v>
      </c>
      <c r="L65" s="109">
        <f t="shared" si="29"/>
        <v>0</v>
      </c>
      <c r="M65" s="109">
        <f t="shared" si="29"/>
        <v>0</v>
      </c>
      <c r="N65" s="109">
        <f t="shared" si="29"/>
        <v>0</v>
      </c>
      <c r="O65" s="109">
        <f t="shared" si="29"/>
        <v>0</v>
      </c>
    </row>
    <row r="66" spans="2:15">
      <c r="B66" s="108" t="s">
        <v>180</v>
      </c>
      <c r="C66" s="121" t="s">
        <v>152</v>
      </c>
      <c r="D66" s="122">
        <f>ResidentialCondominiumrampup</f>
        <v>0.5</v>
      </c>
      <c r="E66" s="109">
        <f>IF(OR(E$2=$H61,AND(E$2&gt;$H61,E$2&lt;(SUM($H61,INDEX(cockpit!$J$6:$Y$16,MATCH($D60,cockpit!$J$6:$J$16,0),MATCH($C$12,cockpit!$J$6:$Y$6,0)))))),E64*$D66,0)</f>
        <v>0</v>
      </c>
      <c r="F66" s="109">
        <f>IF(OR(F$2=$H61,AND(F$2&gt;$H61,F$2&lt;(SUM($H61,INDEX(cockpit!$J$6:$Y$16,MATCH($D60,cockpit!$J$6:$J$16,0),MATCH($C$12,cockpit!$J$6:$Y$6,0)))))),F64*$D66,0)</f>
        <v>0</v>
      </c>
      <c r="G66" s="109">
        <f>IF(OR(G$2=$H61,AND(G$2&gt;$H61,G$2&lt;(SUM($H61,INDEX(cockpit!$J$6:$Y$16,MATCH($D60,cockpit!$J$6:$J$16,0),MATCH($C$12,cockpit!$J$6:$Y$6,0)))))),G64*$D66,0)</f>
        <v>0</v>
      </c>
      <c r="H66" s="109">
        <f>IF(OR(H$2=$H61,AND(H$2&gt;$H61,H$2&lt;(SUM($H61,INDEX(cockpit!$J$6:$Y$16,MATCH($D60,cockpit!$J$6:$J$16,0),MATCH($C$12,cockpit!$J$6:$Y$6,0)))))),H64*$D66,0)</f>
        <v>0</v>
      </c>
      <c r="I66" s="109">
        <f>IF(OR(I$2=$H61,AND(I$2&gt;$H61,I$2&lt;(SUM($H61,INDEX(cockpit!$J$6:$Y$16,MATCH($D60,cockpit!$J$6:$J$16,0),MATCH($C$12,cockpit!$J$6:$Y$6,0)))))),I64*$D66,0)</f>
        <v>0</v>
      </c>
      <c r="J66" s="109">
        <f>IF(OR(J$2=$H61,AND(J$2&gt;$H61,J$2&lt;(SUM($H61,INDEX(cockpit!$J$6:$Y$16,MATCH($D60,cockpit!$J$6:$J$16,0),MATCH($C$12,cockpit!$J$6:$Y$6,0)))))),J64*$D66,0)</f>
        <v>0</v>
      </c>
      <c r="K66" s="109">
        <f>IF(OR(K$2=$H61,AND(K$2&gt;$H61,K$2&lt;(SUM($H61,INDEX(cockpit!$J$6:$Y$16,MATCH($D60,cockpit!$J$6:$J$16,0),MATCH($C$12,cockpit!$J$6:$Y$6,0)))))),K64*$D66,0)</f>
        <v>0</v>
      </c>
      <c r="L66" s="109">
        <f>IF(OR(L$2=$H61,AND(L$2&gt;$H61,L$2&lt;(SUM($H61,INDEX(cockpit!$J$6:$Y$16,MATCH($D60,cockpit!$J$6:$J$16,0),MATCH($C$12,cockpit!$J$6:$Y$6,0)))))),L64*$D66,0)</f>
        <v>0</v>
      </c>
      <c r="M66" s="109">
        <f>IF(OR(M$2=$H61,AND(M$2&gt;$H61,M$2&lt;(SUM($H61,INDEX(cockpit!$J$6:$Y$16,MATCH($D60,cockpit!$J$6:$J$16,0),MATCH($C$12,cockpit!$J$6:$Y$6,0)))))),M64*$D66,0)</f>
        <v>0</v>
      </c>
      <c r="N66" s="109">
        <f>IF(OR(N$2=$H61,AND(N$2&gt;$H61,N$2&lt;(SUM($H61,INDEX(cockpit!$J$6:$Y$16,MATCH($D60,cockpit!$J$6:$J$16,0),MATCH($C$12,cockpit!$J$6:$Y$6,0)))))),N64*$D66,0)</f>
        <v>0</v>
      </c>
      <c r="O66" s="109">
        <f>IF(OR(O$2=$H61,AND(O$2&gt;$H61,O$2&lt;(SUM($H61,INDEX(cockpit!$J$6:$Y$16,MATCH($D60,cockpit!$J$6:$J$16,0),MATCH($C$12,cockpit!$J$6:$Y$6,0)))))),O64*$D66,0)</f>
        <v>0</v>
      </c>
    </row>
    <row r="67" spans="2:15">
      <c r="B67" s="108" t="s">
        <v>181</v>
      </c>
      <c r="C67" s="121"/>
      <c r="E67" s="109">
        <f>SUM($E66:E66)</f>
        <v>0</v>
      </c>
      <c r="F67" s="109">
        <f>SUM($E66:F66)</f>
        <v>0</v>
      </c>
      <c r="G67" s="109">
        <f>SUM($E66:G66)</f>
        <v>0</v>
      </c>
      <c r="H67" s="109">
        <f>SUM($E66:H66)</f>
        <v>0</v>
      </c>
      <c r="I67" s="109">
        <f>SUM($E66:I66)</f>
        <v>0</v>
      </c>
      <c r="J67" s="109">
        <f>SUM($E66:J66)</f>
        <v>0</v>
      </c>
      <c r="K67" s="109">
        <f>SUM($E66:K66)</f>
        <v>0</v>
      </c>
      <c r="L67" s="109">
        <f>SUM($E66:L66)</f>
        <v>0</v>
      </c>
      <c r="M67" s="109">
        <f>SUM($E66:M66)</f>
        <v>0</v>
      </c>
      <c r="N67" s="109">
        <f>SUM($E66:N66)</f>
        <v>0</v>
      </c>
      <c r="O67" s="109">
        <f>SUM($E66:O66)</f>
        <v>0</v>
      </c>
    </row>
    <row r="68" spans="2:15">
      <c r="B68" s="108" t="s">
        <v>266</v>
      </c>
      <c r="C68" s="121"/>
      <c r="E68" s="195">
        <f t="shared" ref="E68:O68" si="30">ROUNDDOWN(E66/Condoaveragesize,0)</f>
        <v>0</v>
      </c>
      <c r="F68" s="195">
        <f t="shared" si="30"/>
        <v>0</v>
      </c>
      <c r="G68" s="195">
        <f t="shared" si="30"/>
        <v>0</v>
      </c>
      <c r="H68" s="195">
        <f t="shared" si="30"/>
        <v>0</v>
      </c>
      <c r="I68" s="195">
        <f t="shared" si="30"/>
        <v>0</v>
      </c>
      <c r="J68" s="195">
        <f t="shared" si="30"/>
        <v>0</v>
      </c>
      <c r="K68" s="195">
        <f t="shared" si="30"/>
        <v>0</v>
      </c>
      <c r="L68" s="195">
        <f t="shared" si="30"/>
        <v>0</v>
      </c>
      <c r="M68" s="195">
        <f t="shared" si="30"/>
        <v>0</v>
      </c>
      <c r="N68" s="195">
        <f t="shared" si="30"/>
        <v>0</v>
      </c>
      <c r="O68" s="195">
        <f t="shared" si="30"/>
        <v>0</v>
      </c>
    </row>
    <row r="69" spans="2:15">
      <c r="B69" s="108" t="s">
        <v>678</v>
      </c>
      <c r="E69" s="196">
        <f>E68/12</f>
        <v>0</v>
      </c>
      <c r="F69" s="196">
        <f t="shared" ref="F69:O69" si="31">F68/12</f>
        <v>0</v>
      </c>
      <c r="G69" s="196">
        <f t="shared" si="31"/>
        <v>0</v>
      </c>
      <c r="H69" s="196">
        <f t="shared" si="31"/>
        <v>0</v>
      </c>
      <c r="I69" s="196">
        <f t="shared" si="31"/>
        <v>0</v>
      </c>
      <c r="J69" s="196">
        <f t="shared" si="31"/>
        <v>0</v>
      </c>
      <c r="K69" s="196">
        <f t="shared" si="31"/>
        <v>0</v>
      </c>
      <c r="L69" s="196">
        <f t="shared" si="31"/>
        <v>0</v>
      </c>
      <c r="M69" s="196">
        <f t="shared" si="31"/>
        <v>0</v>
      </c>
      <c r="N69" s="196">
        <f t="shared" si="31"/>
        <v>0</v>
      </c>
      <c r="O69" s="196">
        <f t="shared" si="31"/>
        <v>0</v>
      </c>
    </row>
    <row r="70" spans="2:15">
      <c r="C70" s="121"/>
    </row>
    <row r="71" spans="2:15">
      <c r="B71" s="108" t="s">
        <v>166</v>
      </c>
      <c r="C71" s="121"/>
      <c r="D71" s="111">
        <f>(CondosalePSF*(1-$K59))+((CondosalePSF*(1+premiumprices)*$K59))</f>
        <v>290</v>
      </c>
      <c r="E71" s="112">
        <f t="shared" ref="E71:O71" si="32">(E68*Condoaveragesize)*($D71*((1+Inflation)^(E$2-1)))</f>
        <v>0</v>
      </c>
      <c r="F71" s="112">
        <f t="shared" si="32"/>
        <v>0</v>
      </c>
      <c r="G71" s="112">
        <f t="shared" si="32"/>
        <v>0</v>
      </c>
      <c r="H71" s="112">
        <f t="shared" si="32"/>
        <v>0</v>
      </c>
      <c r="I71" s="112">
        <f t="shared" si="32"/>
        <v>0</v>
      </c>
      <c r="J71" s="112">
        <f t="shared" si="32"/>
        <v>0</v>
      </c>
      <c r="K71" s="112">
        <f t="shared" si="32"/>
        <v>0</v>
      </c>
      <c r="L71" s="112">
        <f t="shared" si="32"/>
        <v>0</v>
      </c>
      <c r="M71" s="112">
        <f t="shared" si="32"/>
        <v>0</v>
      </c>
      <c r="N71" s="112">
        <f t="shared" si="32"/>
        <v>0</v>
      </c>
      <c r="O71" s="112">
        <f t="shared" si="32"/>
        <v>0</v>
      </c>
    </row>
    <row r="72" spans="2:15">
      <c r="B72" s="108" t="s">
        <v>267</v>
      </c>
      <c r="C72" s="121"/>
      <c r="D72" s="122">
        <f>Condocostofsale</f>
        <v>0.05</v>
      </c>
      <c r="E72" s="113">
        <f t="shared" ref="E72:O72" si="33">-E71*$D72</f>
        <v>0</v>
      </c>
      <c r="F72" s="113">
        <f t="shared" si="33"/>
        <v>0</v>
      </c>
      <c r="G72" s="113">
        <f t="shared" si="33"/>
        <v>0</v>
      </c>
      <c r="H72" s="113">
        <f t="shared" si="33"/>
        <v>0</v>
      </c>
      <c r="I72" s="113">
        <f t="shared" si="33"/>
        <v>0</v>
      </c>
      <c r="J72" s="113">
        <f t="shared" si="33"/>
        <v>0</v>
      </c>
      <c r="K72" s="113">
        <f t="shared" si="33"/>
        <v>0</v>
      </c>
      <c r="L72" s="113">
        <f t="shared" si="33"/>
        <v>0</v>
      </c>
      <c r="M72" s="113">
        <f t="shared" si="33"/>
        <v>0</v>
      </c>
      <c r="N72" s="113">
        <f t="shared" si="33"/>
        <v>0</v>
      </c>
      <c r="O72" s="113">
        <f t="shared" si="33"/>
        <v>0</v>
      </c>
    </row>
    <row r="73" spans="2:15">
      <c r="B73" s="114" t="s">
        <v>167</v>
      </c>
      <c r="C73" s="121"/>
      <c r="E73" s="112">
        <f>SUM(E71:E72)</f>
        <v>0</v>
      </c>
      <c r="F73" s="112">
        <f t="shared" ref="F73:O73" si="34">SUM(F71:F72)</f>
        <v>0</v>
      </c>
      <c r="G73" s="112">
        <f t="shared" si="34"/>
        <v>0</v>
      </c>
      <c r="H73" s="112">
        <f t="shared" si="34"/>
        <v>0</v>
      </c>
      <c r="I73" s="112">
        <f t="shared" si="34"/>
        <v>0</v>
      </c>
      <c r="J73" s="112">
        <f t="shared" si="34"/>
        <v>0</v>
      </c>
      <c r="K73" s="112">
        <f t="shared" si="34"/>
        <v>0</v>
      </c>
      <c r="L73" s="112">
        <f t="shared" si="34"/>
        <v>0</v>
      </c>
      <c r="M73" s="112">
        <f t="shared" si="34"/>
        <v>0</v>
      </c>
      <c r="N73" s="112">
        <f t="shared" si="34"/>
        <v>0</v>
      </c>
      <c r="O73" s="112">
        <f t="shared" si="34"/>
        <v>0</v>
      </c>
    </row>
    <row r="74" spans="2:15">
      <c r="C74" s="121"/>
      <c r="E74" s="187">
        <f t="shared" ref="E74:O74" si="35">IFERROR(E73/E71,0)</f>
        <v>0</v>
      </c>
      <c r="F74" s="187">
        <f t="shared" si="35"/>
        <v>0</v>
      </c>
      <c r="G74" s="187">
        <f t="shared" si="35"/>
        <v>0</v>
      </c>
      <c r="H74" s="187">
        <f t="shared" si="35"/>
        <v>0</v>
      </c>
      <c r="I74" s="187">
        <f t="shared" si="35"/>
        <v>0</v>
      </c>
      <c r="J74" s="187">
        <f t="shared" si="35"/>
        <v>0</v>
      </c>
      <c r="K74" s="187">
        <f t="shared" si="35"/>
        <v>0</v>
      </c>
      <c r="L74" s="187">
        <f t="shared" si="35"/>
        <v>0</v>
      </c>
      <c r="M74" s="187">
        <f t="shared" si="35"/>
        <v>0</v>
      </c>
      <c r="N74" s="187">
        <f t="shared" si="35"/>
        <v>0</v>
      </c>
      <c r="O74" s="187">
        <f t="shared" si="35"/>
        <v>0</v>
      </c>
    </row>
    <row r="75" spans="2:15">
      <c r="B75" s="108" t="s">
        <v>168</v>
      </c>
      <c r="C75" s="121"/>
      <c r="D75" s="115">
        <f>INDEX(cockpit!$J$6:$Y$16,MATCH($D60,cockpit!$J$6:$J$16,0),MATCH($B75,cockpit!$J$6:$Y$6,0))</f>
        <v>0</v>
      </c>
      <c r="E75" s="112">
        <f>-E64*$D75</f>
        <v>0</v>
      </c>
      <c r="F75" s="112">
        <f t="shared" ref="F75:O75" si="36">-F64*$D75</f>
        <v>0</v>
      </c>
      <c r="G75" s="112">
        <f t="shared" si="36"/>
        <v>0</v>
      </c>
      <c r="H75" s="112">
        <f t="shared" si="36"/>
        <v>0</v>
      </c>
      <c r="I75" s="112">
        <f t="shared" si="36"/>
        <v>0</v>
      </c>
      <c r="J75" s="112">
        <f t="shared" si="36"/>
        <v>0</v>
      </c>
      <c r="K75" s="112">
        <f t="shared" si="36"/>
        <v>0</v>
      </c>
      <c r="L75" s="112">
        <f t="shared" si="36"/>
        <v>0</v>
      </c>
      <c r="M75" s="112">
        <f t="shared" si="36"/>
        <v>0</v>
      </c>
      <c r="N75" s="112">
        <f t="shared" si="36"/>
        <v>0</v>
      </c>
      <c r="O75" s="112">
        <f t="shared" si="36"/>
        <v>0</v>
      </c>
    </row>
    <row r="76" spans="2:15">
      <c r="B76" s="108" t="s">
        <v>162</v>
      </c>
      <c r="C76" s="121"/>
      <c r="D76" s="115">
        <f>INDEX(cockpit!$J$6:$Y$16,MATCH($D60,cockpit!$J$6:$J$16,0),MATCH($B76,cockpit!$J$6:$Y$6,0))</f>
        <v>0</v>
      </c>
      <c r="E76" s="113">
        <f>-E67*$D76</f>
        <v>0</v>
      </c>
      <c r="F76" s="113">
        <f t="shared" ref="F76:O76" si="37">-F67*$D76</f>
        <v>0</v>
      </c>
      <c r="G76" s="113">
        <f t="shared" si="37"/>
        <v>0</v>
      </c>
      <c r="H76" s="113">
        <f t="shared" si="37"/>
        <v>0</v>
      </c>
      <c r="I76" s="113">
        <f t="shared" si="37"/>
        <v>0</v>
      </c>
      <c r="J76" s="113">
        <f t="shared" si="37"/>
        <v>0</v>
      </c>
      <c r="K76" s="113">
        <f t="shared" si="37"/>
        <v>0</v>
      </c>
      <c r="L76" s="113">
        <f t="shared" si="37"/>
        <v>0</v>
      </c>
      <c r="M76" s="113">
        <f t="shared" si="37"/>
        <v>0</v>
      </c>
      <c r="N76" s="113">
        <f t="shared" si="37"/>
        <v>0</v>
      </c>
      <c r="O76" s="113">
        <f t="shared" si="37"/>
        <v>0</v>
      </c>
    </row>
    <row r="77" spans="2:15">
      <c r="B77" s="114" t="s">
        <v>195</v>
      </c>
      <c r="C77" s="121"/>
      <c r="D77" s="115"/>
      <c r="E77" s="112">
        <f>SUM(E75:E76)</f>
        <v>0</v>
      </c>
      <c r="F77" s="112">
        <f t="shared" ref="F77:O77" si="38">SUM(F75:F76)</f>
        <v>0</v>
      </c>
      <c r="G77" s="112">
        <f t="shared" si="38"/>
        <v>0</v>
      </c>
      <c r="H77" s="112">
        <f t="shared" si="38"/>
        <v>0</v>
      </c>
      <c r="I77" s="112">
        <f t="shared" si="38"/>
        <v>0</v>
      </c>
      <c r="J77" s="112">
        <f t="shared" si="38"/>
        <v>0</v>
      </c>
      <c r="K77" s="112">
        <f t="shared" si="38"/>
        <v>0</v>
      </c>
      <c r="L77" s="112">
        <f t="shared" si="38"/>
        <v>0</v>
      </c>
      <c r="M77" s="112">
        <f t="shared" si="38"/>
        <v>0</v>
      </c>
      <c r="N77" s="112">
        <f t="shared" si="38"/>
        <v>0</v>
      </c>
      <c r="O77" s="112">
        <f t="shared" si="38"/>
        <v>0</v>
      </c>
    </row>
    <row r="78" spans="2:15">
      <c r="B78" s="108"/>
      <c r="C78" s="121"/>
    </row>
    <row r="79" spans="2:15">
      <c r="B79" s="108" t="s">
        <v>170</v>
      </c>
      <c r="C79" s="121"/>
      <c r="D79" s="111">
        <f>(CondoconstructionPSF*(1-$K59))+((ResidentialaffordablecostPSF*(1+premiumprices)*$K59))</f>
        <v>165</v>
      </c>
      <c r="E79" s="112">
        <f>-IF(OR(E$2=$H59,E$2=$H60,AND(E$2&gt;$H59,E$2&lt;$H60)),(INDEX(summary!$A$2:$D$24,MATCH($D60,summary!$A$2:$A$24,0),MATCH($D59,summary!$A$2:$D$2,0)))/constructiontimephase3)*($D79*((1+Inflation)^(E$2-1)))*(1+Developerfee)</f>
        <v>0</v>
      </c>
      <c r="F79" s="112">
        <f>-IF(OR(F$2=$H59,F$2=$H60,AND(F$2&gt;$H59,F$2&lt;$H60)),(INDEX(summary!$A$2:$D$24,MATCH($D60,summary!$A$2:$A$24,0),MATCH($D59,summary!$A$2:$D$2,0)))/constructiontimephase3)*($D79*((1+Inflation)^(F$2-1)))*(1+Developerfee)</f>
        <v>0</v>
      </c>
      <c r="G79" s="112">
        <f>-IF(OR(G$2=$H59,G$2=$H60,AND(G$2&gt;$H59,G$2&lt;$H60)),(INDEX(summary!$A$2:$D$24,MATCH($D60,summary!$A$2:$A$24,0),MATCH($D59,summary!$A$2:$D$2,0)))/constructiontimephase3)*($D79*((1+Inflation)^(G$2-1)))*(1+Developerfee)</f>
        <v>0</v>
      </c>
      <c r="H79" s="112">
        <f>-IF(OR(H$2=$H59,H$2=$H60,AND(H$2&gt;$H59,H$2&lt;$H60)),(INDEX(summary!$A$2:$D$24,MATCH($D60,summary!$A$2:$A$24,0),MATCH($D59,summary!$A$2:$D$2,0)))/constructiontimephase3)*($D79*((1+Inflation)^(H$2-1)))*(1+Developerfee)</f>
        <v>0</v>
      </c>
      <c r="I79" s="112">
        <f>-IF(OR(I$2=$H59,I$2=$H60,AND(I$2&gt;$H59,I$2&lt;$H60)),(INDEX(summary!$A$2:$D$24,MATCH($D60,summary!$A$2:$A$24,0),MATCH($D59,summary!$A$2:$D$2,0)))/constructiontimephase3)*($D79*((1+Inflation)^(I$2-1)))*(1+Developerfee)</f>
        <v>0</v>
      </c>
      <c r="J79" s="112">
        <f>-IF(OR(J$2=$H59,J$2=$H60,AND(J$2&gt;$H59,J$2&lt;$H60)),(INDEX(summary!$A$2:$D$24,MATCH($D60,summary!$A$2:$A$24,0),MATCH($D59,summary!$A$2:$D$2,0)))/constructiontimephase3)*($D79*((1+Inflation)^(J$2-1)))*(1+Developerfee)</f>
        <v>0</v>
      </c>
      <c r="K79" s="112">
        <f>-IF(OR(K$2=$H59,K$2=$H60,AND(K$2&gt;$H59,K$2&lt;$H60)),(INDEX(summary!$A$2:$D$24,MATCH($D60,summary!$A$2:$A$24,0),MATCH($D59,summary!$A$2:$D$2,0)))/constructiontimephase3)*($D79*((1+Inflation)^(K$2-1)))*(1+Developerfee)</f>
        <v>0</v>
      </c>
      <c r="L79" s="112">
        <f>-IF(OR(L$2=$H59,L$2=$H60,AND(L$2&gt;$H59,L$2&lt;$H60)),(INDEX(summary!$A$2:$D$24,MATCH($D60,summary!$A$2:$A$24,0),MATCH($D59,summary!$A$2:$D$2,0)))/constructiontimephase3)*($D79*((1+Inflation)^(L$2-1)))*(1+Developerfee)</f>
        <v>0</v>
      </c>
      <c r="M79" s="112">
        <f>-IF(OR(M$2=$H59,M$2=$H60,AND(M$2&gt;$H59,M$2&lt;$H60)),(INDEX(summary!$A$2:$D$24,MATCH($D60,summary!$A$2:$A$24,0),MATCH($D59,summary!$A$2:$D$2,0)))/constructiontimephase3)*($D79*((1+Inflation)^(M$2-1)))*(1+Developerfee)</f>
        <v>0</v>
      </c>
      <c r="N79" s="112">
        <f>-IF(OR(N$2=$H59,N$2=$H60,AND(N$2&gt;$H59,N$2&lt;$H60)),(INDEX(summary!$A$2:$D$24,MATCH($D60,summary!$A$2:$A$24,0),MATCH($D59,summary!$A$2:$D$2,0)))/constructiontimephase3)*($D79*((1+Inflation)^(N$2-1)))*(1+Developerfee)</f>
        <v>0</v>
      </c>
      <c r="O79" s="112">
        <f>-IF(OR(O$2=$H59,O$2=$H60,AND(O$2&gt;$H59,O$2&lt;$H60)),(INDEX(summary!$A$2:$D$24,MATCH($D60,summary!$A$2:$A$24,0),MATCH($D59,summary!$A$2:$D$2,0)))/constructiontimephase3)*($D79*((1+Inflation)^(O$2-1)))*(1+Developerfee)</f>
        <v>0</v>
      </c>
    </row>
    <row r="80" spans="2:15">
      <c r="B80" s="108" t="s">
        <v>197</v>
      </c>
      <c r="C80" s="121" t="s">
        <v>189</v>
      </c>
      <c r="D80" s="122">
        <f>(INDEX(cockpit!$J$6:$Y$16,MATCH($D60,cockpit!$J$6:$J$16,0),MATCH($C80,cockpit!$J$6:$Y$6,0))*(1-$K59))+((INDEX(cockpit!$J$6:$Y$16,MATCH($D60,cockpit!$J$6:$J$16,0),MATCH($C80,cockpit!$J$6:$Y$6,0))-(Premiumexitcaprate))*$K59)</f>
        <v>6.25E-2</v>
      </c>
      <c r="E80" s="113">
        <f t="shared" ref="E80:O80" si="39">IF(E$2=dispositionyear,E73/$D80,0)*(1-Closingcosts)</f>
        <v>0</v>
      </c>
      <c r="F80" s="113">
        <f t="shared" si="39"/>
        <v>0</v>
      </c>
      <c r="G80" s="113">
        <f t="shared" si="39"/>
        <v>0</v>
      </c>
      <c r="H80" s="113">
        <f t="shared" si="39"/>
        <v>0</v>
      </c>
      <c r="I80" s="113">
        <f t="shared" si="39"/>
        <v>0</v>
      </c>
      <c r="J80" s="113">
        <f t="shared" si="39"/>
        <v>0</v>
      </c>
      <c r="K80" s="113">
        <f t="shared" si="39"/>
        <v>0</v>
      </c>
      <c r="L80" s="113">
        <f t="shared" si="39"/>
        <v>0</v>
      </c>
      <c r="M80" s="113">
        <f t="shared" si="39"/>
        <v>0</v>
      </c>
      <c r="N80" s="113">
        <f t="shared" si="39"/>
        <v>0</v>
      </c>
      <c r="O80" s="113">
        <f t="shared" si="39"/>
        <v>0</v>
      </c>
    </row>
    <row r="81" spans="2:15">
      <c r="B81" s="114" t="s">
        <v>196</v>
      </c>
      <c r="C81" s="121"/>
      <c r="D81" s="110"/>
      <c r="E81" s="112">
        <f>SUM(E79:E80)</f>
        <v>0</v>
      </c>
      <c r="F81" s="112">
        <f t="shared" ref="F81:O81" si="40">SUM(F79:F80)</f>
        <v>0</v>
      </c>
      <c r="G81" s="112">
        <f t="shared" si="40"/>
        <v>0</v>
      </c>
      <c r="H81" s="112">
        <f t="shared" si="40"/>
        <v>0</v>
      </c>
      <c r="I81" s="112">
        <f t="shared" si="40"/>
        <v>0</v>
      </c>
      <c r="J81" s="112">
        <f t="shared" si="40"/>
        <v>0</v>
      </c>
      <c r="K81" s="112">
        <f t="shared" si="40"/>
        <v>0</v>
      </c>
      <c r="L81" s="112">
        <f t="shared" si="40"/>
        <v>0</v>
      </c>
      <c r="M81" s="112">
        <f t="shared" si="40"/>
        <v>0</v>
      </c>
      <c r="N81" s="112">
        <f t="shared" si="40"/>
        <v>0</v>
      </c>
      <c r="O81" s="112">
        <f t="shared" si="40"/>
        <v>0</v>
      </c>
    </row>
    <row r="82" spans="2:15">
      <c r="B82" s="108"/>
      <c r="C82" s="121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5">
      <c r="B83" s="114" t="s">
        <v>169</v>
      </c>
      <c r="C83" s="114"/>
      <c r="D83" s="116" t="e">
        <f ca="1">IRR(OFFSET(E83,0,0,1,Investmenthorizon+1))</f>
        <v>#NUM!</v>
      </c>
      <c r="E83" s="117">
        <f>SUM(E73,E77,E81)</f>
        <v>0</v>
      </c>
      <c r="F83" s="117">
        <f t="shared" ref="F83:O83" si="41">SUM(F73,F77,F81)</f>
        <v>0</v>
      </c>
      <c r="G83" s="117">
        <f t="shared" si="41"/>
        <v>0</v>
      </c>
      <c r="H83" s="117">
        <f t="shared" si="41"/>
        <v>0</v>
      </c>
      <c r="I83" s="117">
        <f t="shared" si="41"/>
        <v>0</v>
      </c>
      <c r="J83" s="117">
        <f t="shared" si="41"/>
        <v>0</v>
      </c>
      <c r="K83" s="117">
        <f t="shared" si="41"/>
        <v>0</v>
      </c>
      <c r="L83" s="117">
        <f t="shared" si="41"/>
        <v>0</v>
      </c>
      <c r="M83" s="117">
        <f t="shared" si="41"/>
        <v>0</v>
      </c>
      <c r="N83" s="117">
        <f t="shared" si="41"/>
        <v>0</v>
      </c>
      <c r="O83" s="117">
        <f t="shared" si="41"/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898C-24D3-4EA2-99F1-BF483188AFFC}">
  <sheetPr>
    <tabColor theme="9" tint="0.59999389629810485"/>
  </sheetPr>
  <dimension ref="B2:Q83"/>
  <sheetViews>
    <sheetView showGridLines="0" topLeftCell="A46" zoomScale="70" zoomScaleNormal="70" workbookViewId="0">
      <selection activeCell="D29" sqref="D29"/>
    </sheetView>
  </sheetViews>
  <sheetFormatPr defaultRowHeight="9.5"/>
  <cols>
    <col min="1" max="1" width="8.7265625" style="106"/>
    <col min="2" max="2" width="24.1796875" style="106" bestFit="1" customWidth="1"/>
    <col min="3" max="3" width="1.1796875" style="851" customWidth="1"/>
    <col min="4" max="4" width="8.7265625" style="106"/>
    <col min="5" max="5" width="9" style="106" bestFit="1" customWidth="1"/>
    <col min="6" max="7" width="11.453125" style="106" bestFit="1" customWidth="1"/>
    <col min="8" max="8" width="10.36328125" style="106" bestFit="1" customWidth="1"/>
    <col min="9" max="14" width="11.08984375" style="106" bestFit="1" customWidth="1"/>
    <col min="15" max="15" width="11.7265625" style="106" bestFit="1" customWidth="1"/>
    <col min="16" max="16384" width="8.7265625" style="106"/>
  </cols>
  <sheetData>
    <row r="2" spans="2:17" ht="10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7" ht="10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7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7">
      <c r="B5" s="126" t="s">
        <v>89</v>
      </c>
      <c r="D5" s="133">
        <f>Phase1</f>
        <v>1</v>
      </c>
      <c r="G5" s="107" t="s">
        <v>204</v>
      </c>
      <c r="H5" s="133">
        <f>Phase1begin</f>
        <v>1</v>
      </c>
      <c r="J5" s="107" t="s">
        <v>201</v>
      </c>
      <c r="K5" s="136">
        <f>summary!AF13</f>
        <v>0.422643427396104</v>
      </c>
    </row>
    <row r="6" spans="2:17">
      <c r="B6" s="126" t="s">
        <v>93</v>
      </c>
      <c r="D6" s="130" t="s">
        <v>156</v>
      </c>
      <c r="G6" s="107" t="s">
        <v>205</v>
      </c>
      <c r="H6" s="133">
        <f>Phase1end</f>
        <v>3</v>
      </c>
      <c r="K6" s="127"/>
    </row>
    <row r="7" spans="2:17" ht="10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</row>
    <row r="8" spans="2:17">
      <c r="C8" s="853"/>
    </row>
    <row r="9" spans="2:17">
      <c r="B9" s="108" t="s">
        <v>182</v>
      </c>
      <c r="C9" s="854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134576.79999999999</v>
      </c>
      <c r="J9" s="109">
        <f>IF(OR(J$2=$H7,J$2&gt;$H7),INDEX(summary!$A$2:$D$24,MATCH($D6,summary!$A$2:$A$24,0),MATCH($D5,summary!$A$2:$D$2,0)),0)</f>
        <v>134576.79999999999</v>
      </c>
      <c r="K9" s="109">
        <f>IF(OR(K$2=$H7,K$2&gt;$H7),INDEX(summary!$A$2:$D$24,MATCH($D6,summary!$A$2:$A$24,0),MATCH($D5,summary!$A$2:$D$2,0)),0)</f>
        <v>134576.79999999999</v>
      </c>
      <c r="L9" s="109">
        <f>IF(OR(L$2=$H7,L$2&gt;$H7),INDEX(summary!$A$2:$D$24,MATCH($D6,summary!$A$2:$A$24,0),MATCH($D5,summary!$A$2:$D$2,0)),0)</f>
        <v>134576.79999999999</v>
      </c>
      <c r="M9" s="109">
        <f>IF(OR(M$2=$H7,M$2&gt;$H7),INDEX(summary!$A$2:$D$24,MATCH($D6,summary!$A$2:$A$24,0),MATCH($D5,summary!$A$2:$D$2,0)),0)</f>
        <v>134576.79999999999</v>
      </c>
      <c r="N9" s="109">
        <f>IF(OR(N$2=$H7,N$2&gt;$H7),INDEX(summary!$A$2:$D$24,MATCH($D6,summary!$A$2:$A$24,0),MATCH($D5,summary!$A$2:$D$2,0)),0)</f>
        <v>134576.79999999999</v>
      </c>
      <c r="O9" s="109">
        <f>IF(OR(O$2=$H7,O$2&gt;$H7),INDEX(summary!$A$2:$D$24,MATCH($D6,summary!$A$2:$A$24,0),MATCH($D5,summary!$A$2:$D$2,0)),0)</f>
        <v>134576.79999999999</v>
      </c>
    </row>
    <row r="10" spans="2:17">
      <c r="B10" s="108" t="s">
        <v>194</v>
      </c>
      <c r="C10" s="855" t="s">
        <v>191</v>
      </c>
      <c r="D10" s="110">
        <f>INDEX(cockpit!$J$6:$Y$16,MATCH($D6,cockpit!$J$6:$J$16,0),MATCH($C$10,cockpit!$J$6:$Y$6,0))</f>
        <v>0.1</v>
      </c>
      <c r="E10" s="109">
        <f>E9*(1-$D10)</f>
        <v>0</v>
      </c>
      <c r="F10" s="109">
        <f t="shared" ref="F10:O10" si="0">F9*(1-$D10)</f>
        <v>0</v>
      </c>
      <c r="G10" s="109">
        <f t="shared" si="0"/>
        <v>0</v>
      </c>
      <c r="H10" s="109">
        <f t="shared" si="0"/>
        <v>0</v>
      </c>
      <c r="I10" s="109">
        <f t="shared" si="0"/>
        <v>121119.12</v>
      </c>
      <c r="J10" s="109">
        <f t="shared" si="0"/>
        <v>121119.12</v>
      </c>
      <c r="K10" s="109">
        <f t="shared" si="0"/>
        <v>121119.12</v>
      </c>
      <c r="L10" s="109">
        <f t="shared" si="0"/>
        <v>121119.12</v>
      </c>
      <c r="M10" s="109">
        <f t="shared" si="0"/>
        <v>121119.12</v>
      </c>
      <c r="N10" s="109">
        <f t="shared" si="0"/>
        <v>121119.12</v>
      </c>
      <c r="O10" s="109">
        <f t="shared" si="0"/>
        <v>121119.12</v>
      </c>
      <c r="Q10" s="120"/>
    </row>
    <row r="11" spans="2:17" ht="10.5">
      <c r="B11" s="108" t="s">
        <v>265</v>
      </c>
      <c r="C11" s="855"/>
      <c r="E11" s="109">
        <f t="shared" ref="E11:O11" si="1">E13/Condoaveragesize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72.744216216216216</v>
      </c>
      <c r="J11" s="109">
        <f t="shared" si="1"/>
        <v>145.48843243243243</v>
      </c>
      <c r="K11" s="109">
        <f t="shared" si="1"/>
        <v>145.48843243243243</v>
      </c>
      <c r="L11" s="109">
        <f t="shared" si="1"/>
        <v>145.48843243243243</v>
      </c>
      <c r="M11" s="109">
        <f t="shared" si="1"/>
        <v>145.48843243243243</v>
      </c>
      <c r="N11" s="109">
        <f t="shared" si="1"/>
        <v>145.48843243243243</v>
      </c>
      <c r="O11" s="109">
        <f t="shared" si="1"/>
        <v>145.48843243243243</v>
      </c>
      <c r="Q11" s="39"/>
    </row>
    <row r="12" spans="2:17">
      <c r="B12" s="108" t="s">
        <v>180</v>
      </c>
      <c r="C12" s="855" t="s">
        <v>152</v>
      </c>
      <c r="D12" s="122">
        <f>ResidentialCondominiumrampup</f>
        <v>0.5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60559.56</v>
      </c>
      <c r="J12" s="109">
        <f>IF(OR(J$2=$H7,AND(J$2&gt;$H7,J$2&lt;(SUM($H7,INDEX(cockpit!$J$6:$Y$16,MATCH($D6,cockpit!$J$6:$J$16,0),MATCH($C$12,cockpit!$J$6:$Y$6,0)))))),J10*$D12,0)</f>
        <v>60559.56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</row>
    <row r="13" spans="2:17" ht="10.5">
      <c r="B13" s="108" t="s">
        <v>181</v>
      </c>
      <c r="C13" s="855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60559.56</v>
      </c>
      <c r="J13" s="109">
        <f>SUM($E12:J12)</f>
        <v>121119.12</v>
      </c>
      <c r="K13" s="109">
        <f>SUM($E12:K12)</f>
        <v>121119.12</v>
      </c>
      <c r="L13" s="109">
        <f>SUM($E12:L12)</f>
        <v>121119.12</v>
      </c>
      <c r="M13" s="109">
        <f>SUM($E12:M12)</f>
        <v>121119.12</v>
      </c>
      <c r="N13" s="109">
        <f>SUM($E12:N12)</f>
        <v>121119.12</v>
      </c>
      <c r="O13" s="109">
        <f>SUM($E12:O12)</f>
        <v>121119.12</v>
      </c>
      <c r="Q13" s="39"/>
    </row>
    <row r="14" spans="2:17" ht="10.5">
      <c r="B14" s="108" t="s">
        <v>677</v>
      </c>
      <c r="C14" s="855"/>
      <c r="E14" s="195">
        <f t="shared" ref="E14:O14" si="2">ROUNDDOWN(E12/Condoaveragesize,0)</f>
        <v>0</v>
      </c>
      <c r="F14" s="195">
        <f t="shared" si="2"/>
        <v>0</v>
      </c>
      <c r="G14" s="195">
        <f t="shared" si="2"/>
        <v>0</v>
      </c>
      <c r="H14" s="195">
        <f t="shared" si="2"/>
        <v>0</v>
      </c>
      <c r="I14" s="195">
        <f t="shared" si="2"/>
        <v>72</v>
      </c>
      <c r="J14" s="195">
        <f t="shared" si="2"/>
        <v>72</v>
      </c>
      <c r="K14" s="195">
        <f t="shared" si="2"/>
        <v>0</v>
      </c>
      <c r="L14" s="195">
        <f t="shared" si="2"/>
        <v>0</v>
      </c>
      <c r="M14" s="195">
        <f t="shared" si="2"/>
        <v>0</v>
      </c>
      <c r="N14" s="195">
        <f t="shared" si="2"/>
        <v>0</v>
      </c>
      <c r="O14" s="195">
        <f t="shared" si="2"/>
        <v>0</v>
      </c>
      <c r="Q14" s="39"/>
    </row>
    <row r="15" spans="2:17">
      <c r="B15" s="108" t="s">
        <v>678</v>
      </c>
      <c r="E15" s="196">
        <f>E14/12</f>
        <v>0</v>
      </c>
      <c r="F15" s="196">
        <f t="shared" ref="F15:O15" si="3">F14/12</f>
        <v>0</v>
      </c>
      <c r="G15" s="196">
        <f t="shared" si="3"/>
        <v>0</v>
      </c>
      <c r="H15" s="196">
        <f t="shared" si="3"/>
        <v>0</v>
      </c>
      <c r="I15" s="196">
        <f t="shared" si="3"/>
        <v>6</v>
      </c>
      <c r="J15" s="196">
        <f t="shared" si="3"/>
        <v>6</v>
      </c>
      <c r="K15" s="196">
        <f t="shared" si="3"/>
        <v>0</v>
      </c>
      <c r="L15" s="196">
        <f t="shared" si="3"/>
        <v>0</v>
      </c>
      <c r="M15" s="196">
        <f t="shared" si="3"/>
        <v>0</v>
      </c>
      <c r="N15" s="196">
        <f t="shared" si="3"/>
        <v>0</v>
      </c>
      <c r="O15" s="196">
        <f t="shared" si="3"/>
        <v>0</v>
      </c>
    </row>
    <row r="16" spans="2:17">
      <c r="C16" s="855"/>
    </row>
    <row r="17" spans="2:15">
      <c r="B17" s="108" t="s">
        <v>166</v>
      </c>
      <c r="C17" s="855"/>
      <c r="D17" s="111">
        <f>(CondosalePSF*(1-$K5))+((CondosalePSF*(1+premiumprices)*$K5))</f>
        <v>320.6416484862176</v>
      </c>
      <c r="E17" s="112">
        <f t="shared" ref="E17:O17" si="4">(E14*Condoaveragesize)*($D17*((1+Inflation)^(E$2-1)))</f>
        <v>0</v>
      </c>
      <c r="F17" s="112">
        <f t="shared" si="4"/>
        <v>0</v>
      </c>
      <c r="G17" s="112">
        <f t="shared" si="4"/>
        <v>0</v>
      </c>
      <c r="H17" s="112">
        <f t="shared" si="4"/>
        <v>0</v>
      </c>
      <c r="I17" s="112">
        <f t="shared" si="4"/>
        <v>20395632.901455313</v>
      </c>
      <c r="J17" s="112">
        <f t="shared" si="4"/>
        <v>20803545.559484418</v>
      </c>
      <c r="K17" s="112">
        <f t="shared" si="4"/>
        <v>0</v>
      </c>
      <c r="L17" s="112">
        <f t="shared" si="4"/>
        <v>0</v>
      </c>
      <c r="M17" s="112">
        <f t="shared" si="4"/>
        <v>0</v>
      </c>
      <c r="N17" s="112">
        <f t="shared" si="4"/>
        <v>0</v>
      </c>
      <c r="O17" s="112">
        <f t="shared" si="4"/>
        <v>0</v>
      </c>
    </row>
    <row r="18" spans="2:15">
      <c r="B18" s="108" t="s">
        <v>267</v>
      </c>
      <c r="C18" s="855"/>
      <c r="D18" s="122">
        <f>Condocostofsale</f>
        <v>0.05</v>
      </c>
      <c r="E18" s="113">
        <f>-E17*$D18</f>
        <v>0</v>
      </c>
      <c r="F18" s="113">
        <f t="shared" ref="F18:O18" si="5">-F17*$D18</f>
        <v>0</v>
      </c>
      <c r="G18" s="113">
        <f t="shared" si="5"/>
        <v>0</v>
      </c>
      <c r="H18" s="113">
        <f t="shared" si="5"/>
        <v>0</v>
      </c>
      <c r="I18" s="113">
        <f t="shared" si="5"/>
        <v>-1019781.6450727656</v>
      </c>
      <c r="J18" s="113">
        <f t="shared" si="5"/>
        <v>-1040177.2779742209</v>
      </c>
      <c r="K18" s="113">
        <f t="shared" si="5"/>
        <v>0</v>
      </c>
      <c r="L18" s="113">
        <f t="shared" si="5"/>
        <v>0</v>
      </c>
      <c r="M18" s="113">
        <f t="shared" si="5"/>
        <v>0</v>
      </c>
      <c r="N18" s="113">
        <f t="shared" si="5"/>
        <v>0</v>
      </c>
      <c r="O18" s="113">
        <f t="shared" si="5"/>
        <v>0</v>
      </c>
    </row>
    <row r="19" spans="2:15">
      <c r="B19" s="114" t="s">
        <v>167</v>
      </c>
      <c r="C19" s="855"/>
      <c r="E19" s="112">
        <f>SUM(E17:E18)</f>
        <v>0</v>
      </c>
      <c r="F19" s="112">
        <f t="shared" ref="F19:O19" si="6">SUM(F17:F18)</f>
        <v>0</v>
      </c>
      <c r="G19" s="112">
        <f t="shared" si="6"/>
        <v>0</v>
      </c>
      <c r="H19" s="112">
        <f t="shared" si="6"/>
        <v>0</v>
      </c>
      <c r="I19" s="112">
        <f t="shared" si="6"/>
        <v>19375851.256382547</v>
      </c>
      <c r="J19" s="112">
        <f t="shared" si="6"/>
        <v>19763368.281510197</v>
      </c>
      <c r="K19" s="112">
        <f t="shared" si="6"/>
        <v>0</v>
      </c>
      <c r="L19" s="112">
        <f t="shared" si="6"/>
        <v>0</v>
      </c>
      <c r="M19" s="112">
        <f t="shared" si="6"/>
        <v>0</v>
      </c>
      <c r="N19" s="112">
        <f t="shared" si="6"/>
        <v>0</v>
      </c>
      <c r="O19" s="112">
        <f t="shared" si="6"/>
        <v>0</v>
      </c>
    </row>
    <row r="20" spans="2:15">
      <c r="C20" s="855"/>
      <c r="E20" s="187">
        <f>IFERROR(E19/E17,0)</f>
        <v>0</v>
      </c>
      <c r="F20" s="187">
        <f t="shared" ref="F20:O20" si="7">IFERROR(F19/F17,0)</f>
        <v>0</v>
      </c>
      <c r="G20" s="187">
        <f t="shared" si="7"/>
        <v>0</v>
      </c>
      <c r="H20" s="187">
        <f t="shared" si="7"/>
        <v>0</v>
      </c>
      <c r="I20" s="187">
        <f t="shared" si="7"/>
        <v>0.95</v>
      </c>
      <c r="J20" s="187">
        <f t="shared" si="7"/>
        <v>0.95</v>
      </c>
      <c r="K20" s="187">
        <f t="shared" si="7"/>
        <v>0</v>
      </c>
      <c r="L20" s="187">
        <f t="shared" si="7"/>
        <v>0</v>
      </c>
      <c r="M20" s="187">
        <f t="shared" si="7"/>
        <v>0</v>
      </c>
      <c r="N20" s="187">
        <f t="shared" si="7"/>
        <v>0</v>
      </c>
      <c r="O20" s="187">
        <f t="shared" si="7"/>
        <v>0</v>
      </c>
    </row>
    <row r="21" spans="2:15">
      <c r="B21" s="108" t="s">
        <v>168</v>
      </c>
      <c r="C21" s="855"/>
      <c r="D21" s="115">
        <f>INDEX(cockpit!$J$6:$Y$16,MATCH($D6,cockpit!$J$6:$J$16,0),MATCH($B21,cockpit!$J$6:$Y$6,0))</f>
        <v>0</v>
      </c>
      <c r="E21" s="112">
        <f>-E10*$D21</f>
        <v>0</v>
      </c>
      <c r="F21" s="112">
        <f t="shared" ref="F21:O21" si="8">-F10*$D21</f>
        <v>0</v>
      </c>
      <c r="G21" s="112">
        <f t="shared" si="8"/>
        <v>0</v>
      </c>
      <c r="H21" s="112">
        <f t="shared" si="8"/>
        <v>0</v>
      </c>
      <c r="I21" s="112">
        <f t="shared" si="8"/>
        <v>0</v>
      </c>
      <c r="J21" s="112">
        <f t="shared" si="8"/>
        <v>0</v>
      </c>
      <c r="K21" s="112">
        <f t="shared" si="8"/>
        <v>0</v>
      </c>
      <c r="L21" s="112">
        <f t="shared" si="8"/>
        <v>0</v>
      </c>
      <c r="M21" s="112">
        <f t="shared" si="8"/>
        <v>0</v>
      </c>
      <c r="N21" s="112">
        <f t="shared" si="8"/>
        <v>0</v>
      </c>
      <c r="O21" s="112">
        <f t="shared" si="8"/>
        <v>0</v>
      </c>
    </row>
    <row r="22" spans="2:15">
      <c r="B22" s="108" t="s">
        <v>162</v>
      </c>
      <c r="C22" s="855"/>
      <c r="D22" s="115">
        <f>INDEX(cockpit!$J$6:$Y$16,MATCH($D6,cockpit!$J$6:$J$16,0),MATCH($B22,cockpit!$J$6:$Y$6,0))</f>
        <v>0</v>
      </c>
      <c r="E22" s="113">
        <f>-E13*$D22</f>
        <v>0</v>
      </c>
      <c r="F22" s="113">
        <f t="shared" ref="F22:O22" si="9">-F13*$D22</f>
        <v>0</v>
      </c>
      <c r="G22" s="113">
        <f t="shared" si="9"/>
        <v>0</v>
      </c>
      <c r="H22" s="113">
        <f t="shared" si="9"/>
        <v>0</v>
      </c>
      <c r="I22" s="113">
        <f t="shared" si="9"/>
        <v>0</v>
      </c>
      <c r="J22" s="113">
        <f t="shared" si="9"/>
        <v>0</v>
      </c>
      <c r="K22" s="113">
        <f t="shared" si="9"/>
        <v>0</v>
      </c>
      <c r="L22" s="113">
        <f t="shared" si="9"/>
        <v>0</v>
      </c>
      <c r="M22" s="113">
        <f t="shared" si="9"/>
        <v>0</v>
      </c>
      <c r="N22" s="113">
        <f t="shared" si="9"/>
        <v>0</v>
      </c>
      <c r="O22" s="113">
        <f t="shared" si="9"/>
        <v>0</v>
      </c>
    </row>
    <row r="23" spans="2:15">
      <c r="B23" s="114" t="s">
        <v>195</v>
      </c>
      <c r="C23" s="855"/>
      <c r="D23" s="115"/>
      <c r="E23" s="112">
        <f>SUM(E21:E22)</f>
        <v>0</v>
      </c>
      <c r="F23" s="112">
        <f t="shared" ref="F23:O23" si="10">SUM(F21:F22)</f>
        <v>0</v>
      </c>
      <c r="G23" s="112">
        <f t="shared" si="10"/>
        <v>0</v>
      </c>
      <c r="H23" s="112">
        <f t="shared" si="10"/>
        <v>0</v>
      </c>
      <c r="I23" s="112">
        <f t="shared" si="10"/>
        <v>0</v>
      </c>
      <c r="J23" s="112">
        <f t="shared" si="10"/>
        <v>0</v>
      </c>
      <c r="K23" s="112">
        <f t="shared" si="10"/>
        <v>0</v>
      </c>
      <c r="L23" s="112">
        <f t="shared" si="10"/>
        <v>0</v>
      </c>
      <c r="M23" s="112">
        <f t="shared" si="10"/>
        <v>0</v>
      </c>
      <c r="N23" s="112">
        <f t="shared" si="10"/>
        <v>0</v>
      </c>
      <c r="O23" s="112">
        <f t="shared" si="10"/>
        <v>0</v>
      </c>
    </row>
    <row r="24" spans="2:15">
      <c r="B24" s="108"/>
      <c r="C24" s="855"/>
    </row>
    <row r="25" spans="2:15">
      <c r="B25" s="108" t="s">
        <v>170</v>
      </c>
      <c r="C25" s="855"/>
      <c r="D25" s="111">
        <f>(CondoconstructionPSF*(1-$K5))+((ResidentialaffordablecostPSF*(1+premiumprices)*$K5))</f>
        <v>166.58491285273539</v>
      </c>
      <c r="E25" s="112">
        <f>-IF(OR(E$2=$H5,E$2=$H6,AND(E$2&gt;$H5,E$2&lt;$H6)),(INDEX(summary!$A$2:$D$24,MATCH($D6,summary!$A$2:$A$24,0),MATCH($D5,summary!$A$2:$D$2,0)))/constructiontimephase1)*($D25*((1+Inflation)^(E$2-1)))*(1+Developerfee)</f>
        <v>0</v>
      </c>
      <c r="F25" s="112">
        <f>-IF(OR(F$2=$H5,F$2=$H6,AND(F$2&gt;$H5,F$2&lt;$H6)),(INDEX(summary!$A$2:$D$24,MATCH($D6,summary!$A$2:$A$24,0),MATCH($D5,summary!$A$2:$D$2,0)))/constructiontimephase1)*($D25*((1+Inflation)^(F$2-1)))*(1+Developerfee)</f>
        <v>-7697006.1449999996</v>
      </c>
      <c r="G25" s="112">
        <f>-IF(OR(G$2=$H5,G$2=$H6,AND(G$2&gt;$H5,G$2&lt;$H6)),(INDEX(summary!$A$2:$D$24,MATCH($D6,summary!$A$2:$A$24,0),MATCH($D5,summary!$A$2:$D$2,0)))/constructiontimephase1)*($D25*((1+Inflation)^(G$2-1)))*(1+Developerfee)</f>
        <v>-7850946.2678999994</v>
      </c>
      <c r="H25" s="112">
        <f>-IF(OR(H$2=$H5,H$2=$H6,AND(H$2&gt;$H5,H$2&lt;$H6)),(INDEX(summary!$A$2:$D$24,MATCH($D6,summary!$A$2:$A$24,0),MATCH($D5,summary!$A$2:$D$2,0)))/constructiontimephase1)*($D25*((1+Inflation)^(H$2-1)))*(1+Developerfee)</f>
        <v>-8007965.1932579977</v>
      </c>
      <c r="I25" s="112">
        <f>-IF(OR(I$2=$H5,I$2=$H6,AND(I$2&gt;$H5,I$2&lt;$H6)),(INDEX(summary!$A$2:$D$24,MATCH($D6,summary!$A$2:$A$24,0),MATCH($D5,summary!$A$2:$D$2,0)))/constructiontimephase1)*($D25*((1+Inflation)^(I$2-1)))*(1+Developerfee)</f>
        <v>0</v>
      </c>
      <c r="J25" s="112">
        <f>-IF(OR(J$2=$H5,J$2=$H6,AND(J$2&gt;$H5,J$2&lt;$H6)),(INDEX(summary!$A$2:$D$24,MATCH($D6,summary!$A$2:$A$24,0),MATCH($D5,summary!$A$2:$D$2,0)))/constructiontimephase1)*($D25*((1+Inflation)^(J$2-1)))*(1+Developerfee)</f>
        <v>0</v>
      </c>
      <c r="K25" s="112">
        <f>-IF(OR(K$2=$H5,K$2=$H6,AND(K$2&gt;$H5,K$2&lt;$H6)),(INDEX(summary!$A$2:$D$24,MATCH($D6,summary!$A$2:$A$24,0),MATCH($D5,summary!$A$2:$D$2,0)))/constructiontimephase1)*($D25*((1+Inflation)^(K$2-1)))*(1+Developerfee)</f>
        <v>0</v>
      </c>
      <c r="L25" s="112">
        <f>-IF(OR(L$2=$H5,L$2=$H6,AND(L$2&gt;$H5,L$2&lt;$H6)),(INDEX(summary!$A$2:$D$24,MATCH($D6,summary!$A$2:$A$24,0),MATCH($D5,summary!$A$2:$D$2,0)))/constructiontimephase1)*($D25*((1+Inflation)^(L$2-1)))*(1+Developerfee)</f>
        <v>0</v>
      </c>
      <c r="M25" s="112">
        <f>-IF(OR(M$2=$H5,M$2=$H6,AND(M$2&gt;$H5,M$2&lt;$H6)),(INDEX(summary!$A$2:$D$24,MATCH($D6,summary!$A$2:$A$24,0),MATCH($D5,summary!$A$2:$D$2,0)))/constructiontimephase1)*($D25*((1+Inflation)^(M$2-1)))*(1+Developerfee)</f>
        <v>0</v>
      </c>
      <c r="N25" s="112">
        <f>-IF(OR(N$2=$H5,N$2=$H6,AND(N$2&gt;$H5,N$2&lt;$H6)),(INDEX(summary!$A$2:$D$24,MATCH($D6,summary!$A$2:$A$24,0),MATCH($D5,summary!$A$2:$D$2,0)))/constructiontimephase1)*($D25*((1+Inflation)^(N$2-1)))*(1+Developerfee)</f>
        <v>0</v>
      </c>
      <c r="O25" s="112">
        <f>-IF(OR(O$2=$H5,O$2=$H6,AND(O$2&gt;$H5,O$2&lt;$H6)),(INDEX(summary!$A$2:$D$24,MATCH($D6,summary!$A$2:$A$24,0),MATCH($D5,summary!$A$2:$D$2,0)))/constructiontimephase1)*($D25*((1+Inflation)^(O$2-1)))*(1+Developerfee)</f>
        <v>0</v>
      </c>
    </row>
    <row r="26" spans="2:15">
      <c r="B26" s="108" t="s">
        <v>197</v>
      </c>
      <c r="C26" s="855" t="s">
        <v>189</v>
      </c>
      <c r="D26" s="122">
        <f>(INDEX(cockpit!$J$6:$Y$16,MATCH($D6,cockpit!$J$6:$J$16,0),MATCH($C26,cockpit!$J$6:$Y$6,0))*(1-$K5))+((INDEX(cockpit!$J$6:$Y$16,MATCH($D6,cockpit!$J$6:$J$16,0),MATCH($C26,cockpit!$J$6:$Y$6,0))-(Premiumexitcaprate))*$K5)</f>
        <v>5.933017429452922E-2</v>
      </c>
      <c r="E26" s="113">
        <f t="shared" ref="E26:O26" si="11">IF(E$2=dispositionyear,E19/$D26,0)*(1-Closingcosts)</f>
        <v>0</v>
      </c>
      <c r="F26" s="113">
        <f t="shared" si="11"/>
        <v>0</v>
      </c>
      <c r="G26" s="113">
        <f t="shared" si="11"/>
        <v>0</v>
      </c>
      <c r="H26" s="113">
        <f t="shared" si="11"/>
        <v>0</v>
      </c>
      <c r="I26" s="113">
        <f t="shared" si="11"/>
        <v>0</v>
      </c>
      <c r="J26" s="113">
        <f t="shared" si="11"/>
        <v>0</v>
      </c>
      <c r="K26" s="113">
        <f t="shared" si="11"/>
        <v>0</v>
      </c>
      <c r="L26" s="113">
        <f t="shared" si="11"/>
        <v>0</v>
      </c>
      <c r="M26" s="113">
        <f t="shared" si="11"/>
        <v>0</v>
      </c>
      <c r="N26" s="113">
        <f t="shared" si="11"/>
        <v>0</v>
      </c>
      <c r="O26" s="113">
        <f t="shared" si="11"/>
        <v>0</v>
      </c>
    </row>
    <row r="27" spans="2:15">
      <c r="B27" s="114" t="s">
        <v>196</v>
      </c>
      <c r="C27" s="855"/>
      <c r="D27" s="110"/>
      <c r="E27" s="112">
        <f>SUM(E25:E26)</f>
        <v>0</v>
      </c>
      <c r="F27" s="112">
        <f t="shared" ref="F27:O27" si="12">SUM(F25:F26)</f>
        <v>-7697006.1449999996</v>
      </c>
      <c r="G27" s="112">
        <f t="shared" si="12"/>
        <v>-7850946.2678999994</v>
      </c>
      <c r="H27" s="112">
        <f t="shared" si="12"/>
        <v>-8007965.1932579977</v>
      </c>
      <c r="I27" s="112">
        <f t="shared" si="12"/>
        <v>0</v>
      </c>
      <c r="J27" s="112">
        <f t="shared" si="12"/>
        <v>0</v>
      </c>
      <c r="K27" s="112">
        <f t="shared" si="12"/>
        <v>0</v>
      </c>
      <c r="L27" s="112">
        <f t="shared" si="12"/>
        <v>0</v>
      </c>
      <c r="M27" s="112">
        <f t="shared" si="12"/>
        <v>0</v>
      </c>
      <c r="N27" s="112">
        <f t="shared" si="12"/>
        <v>0</v>
      </c>
      <c r="O27" s="112">
        <f t="shared" si="12"/>
        <v>0</v>
      </c>
    </row>
    <row r="28" spans="2:15">
      <c r="B28" s="108"/>
      <c r="C28" s="855"/>
      <c r="D28" s="110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</row>
    <row r="29" spans="2:15" ht="10" customHeight="1">
      <c r="B29" s="114" t="s">
        <v>169</v>
      </c>
      <c r="C29" s="856"/>
      <c r="D29" s="116">
        <f ca="1">IRR(OFFSET(E29,0,0,1,Investmenthorizon+1))</f>
        <v>0.22191925200070117</v>
      </c>
      <c r="E29" s="117">
        <f>SUM(E19,E23,E27)</f>
        <v>0</v>
      </c>
      <c r="F29" s="117">
        <f t="shared" ref="F29:O29" si="13">SUM(F19,F23,F27)</f>
        <v>-7697006.1449999996</v>
      </c>
      <c r="G29" s="117">
        <f t="shared" si="13"/>
        <v>-7850946.2678999994</v>
      </c>
      <c r="H29" s="117">
        <f t="shared" si="13"/>
        <v>-8007965.1932579977</v>
      </c>
      <c r="I29" s="117">
        <f t="shared" si="13"/>
        <v>19375851.256382547</v>
      </c>
      <c r="J29" s="117">
        <f t="shared" si="13"/>
        <v>19763368.281510197</v>
      </c>
      <c r="K29" s="117">
        <f t="shared" si="13"/>
        <v>0</v>
      </c>
      <c r="L29" s="117">
        <f t="shared" si="13"/>
        <v>0</v>
      </c>
      <c r="M29" s="117">
        <f t="shared" si="13"/>
        <v>0</v>
      </c>
      <c r="N29" s="117">
        <f t="shared" si="13"/>
        <v>0</v>
      </c>
      <c r="O29" s="117">
        <f t="shared" si="13"/>
        <v>0</v>
      </c>
    </row>
    <row r="30" spans="2:15" ht="10" thickBot="1"/>
    <row r="31" spans="2:15">
      <c r="B31" s="123" t="s">
        <v>198</v>
      </c>
      <c r="C31" s="124"/>
      <c r="D31" s="124"/>
      <c r="E31" s="134"/>
      <c r="F31" s="135"/>
      <c r="G31" s="135"/>
      <c r="H31" s="135"/>
      <c r="I31" s="135"/>
      <c r="J31" s="135"/>
      <c r="K31" s="125"/>
      <c r="L31" s="107"/>
      <c r="M31" s="107"/>
      <c r="N31" s="107"/>
      <c r="O31" s="107"/>
    </row>
    <row r="32" spans="2:15">
      <c r="B32" s="126" t="s">
        <v>89</v>
      </c>
      <c r="D32" s="133">
        <v>2</v>
      </c>
      <c r="G32" s="107" t="s">
        <v>204</v>
      </c>
      <c r="H32" s="133">
        <f>Phase2begin</f>
        <v>4</v>
      </c>
      <c r="J32" s="107" t="s">
        <v>201</v>
      </c>
      <c r="K32" s="136">
        <f>summary!AH13</f>
        <v>0.54095334121673522</v>
      </c>
    </row>
    <row r="33" spans="2:15">
      <c r="B33" s="126" t="s">
        <v>93</v>
      </c>
      <c r="D33" s="130" t="s">
        <v>156</v>
      </c>
      <c r="G33" s="107" t="s">
        <v>205</v>
      </c>
      <c r="H33" s="133">
        <f>Phase2end</f>
        <v>5</v>
      </c>
      <c r="K33" s="127"/>
    </row>
    <row r="34" spans="2:15" ht="10" thickBot="1">
      <c r="B34" s="137"/>
      <c r="C34" s="852"/>
      <c r="D34" s="138"/>
      <c r="E34" s="138"/>
      <c r="F34" s="138"/>
      <c r="G34" s="129" t="s">
        <v>199</v>
      </c>
      <c r="H34" s="131">
        <f>Phase2open</f>
        <v>6</v>
      </c>
      <c r="I34" s="138"/>
      <c r="J34" s="138"/>
      <c r="K34" s="128"/>
    </row>
    <row r="35" spans="2:15">
      <c r="C35" s="853"/>
    </row>
    <row r="36" spans="2:15">
      <c r="B36" s="108" t="s">
        <v>182</v>
      </c>
      <c r="C36" s="854"/>
      <c r="E36" s="109">
        <f>IF(OR(E$2=$H34,E$2&gt;$H34),INDEX(summary!$A$2:$D$24,MATCH($D33,summary!$A$2:$A$24,0),MATCH($D32,summary!$A$2:$D$2,0)),0)</f>
        <v>0</v>
      </c>
      <c r="F36" s="109">
        <f>IF(OR(F$2=$H34,F$2&gt;$H34),INDEX(summary!$A$2:$D$24,MATCH($D33,summary!$A$2:$A$24,0),MATCH($D32,summary!$A$2:$D$2,0)),0)</f>
        <v>0</v>
      </c>
      <c r="G36" s="109">
        <f>IF(OR(G$2=$H34,G$2&gt;$H34),INDEX(summary!$A$2:$D$24,MATCH($D33,summary!$A$2:$A$24,0),MATCH($D32,summary!$A$2:$D$2,0)),0)</f>
        <v>0</v>
      </c>
      <c r="H36" s="109">
        <f>IF(OR(H$2=$H34,H$2&gt;$H34),INDEX(summary!$A$2:$D$24,MATCH($D33,summary!$A$2:$A$24,0),MATCH($D32,summary!$A$2:$D$2,0)),0)</f>
        <v>0</v>
      </c>
      <c r="I36" s="109">
        <f>IF(OR(I$2=$H34,I$2&gt;$H34),INDEX(summary!$A$2:$D$24,MATCH($D33,summary!$A$2:$A$24,0),MATCH($D32,summary!$A$2:$D$2,0)),0)</f>
        <v>0</v>
      </c>
      <c r="J36" s="109">
        <f>IF(OR(J$2=$H34,J$2&gt;$H34),INDEX(summary!$A$2:$D$24,MATCH($D33,summary!$A$2:$A$24,0),MATCH($D32,summary!$A$2:$D$2,0)),0)</f>
        <v>0</v>
      </c>
      <c r="K36" s="109">
        <f>IF(OR(K$2=$H34,K$2&gt;$H34),INDEX(summary!$A$2:$D$24,MATCH($D33,summary!$A$2:$A$24,0),MATCH($D32,summary!$A$2:$D$2,0)),0)</f>
        <v>482834.10590000002</v>
      </c>
      <c r="L36" s="109">
        <f>IF(OR(L$2=$H34,L$2&gt;$H34),INDEX(summary!$A$2:$D$24,MATCH($D33,summary!$A$2:$A$24,0),MATCH($D32,summary!$A$2:$D$2,0)),0)</f>
        <v>482834.10590000002</v>
      </c>
      <c r="M36" s="109">
        <f>IF(OR(M$2=$H34,M$2&gt;$H34),INDEX(summary!$A$2:$D$24,MATCH($D33,summary!$A$2:$A$24,0),MATCH($D32,summary!$A$2:$D$2,0)),0)</f>
        <v>482834.10590000002</v>
      </c>
      <c r="N36" s="109">
        <f>IF(OR(N$2=$H34,N$2&gt;$H34),INDEX(summary!$A$2:$D$24,MATCH($D33,summary!$A$2:$A$24,0),MATCH($D32,summary!$A$2:$D$2,0)),0)</f>
        <v>482834.10590000002</v>
      </c>
      <c r="O36" s="109">
        <f>IF(OR(O$2=$H34,O$2&gt;$H34),INDEX(summary!$A$2:$D$24,MATCH($D33,summary!$A$2:$A$24,0),MATCH($D32,summary!$A$2:$D$2,0)),0)</f>
        <v>482834.10590000002</v>
      </c>
    </row>
    <row r="37" spans="2:15">
      <c r="B37" s="108" t="s">
        <v>194</v>
      </c>
      <c r="C37" s="855" t="s">
        <v>191</v>
      </c>
      <c r="D37" s="110">
        <f>INDEX(cockpit!$J$6:$Y$16,MATCH($D33,cockpit!$J$6:$J$16,0),MATCH($C$10,cockpit!$J$6:$Y$6,0))</f>
        <v>0.1</v>
      </c>
      <c r="E37" s="109">
        <f>E36*(1-$D37)</f>
        <v>0</v>
      </c>
      <c r="F37" s="109">
        <f t="shared" ref="F37:O37" si="14">F36*(1-$D37)</f>
        <v>0</v>
      </c>
      <c r="G37" s="109">
        <f t="shared" si="14"/>
        <v>0</v>
      </c>
      <c r="H37" s="109">
        <f t="shared" si="14"/>
        <v>0</v>
      </c>
      <c r="I37" s="109">
        <f t="shared" si="14"/>
        <v>0</v>
      </c>
      <c r="J37" s="109">
        <f t="shared" si="14"/>
        <v>0</v>
      </c>
      <c r="K37" s="109">
        <f t="shared" si="14"/>
        <v>434550.69531000004</v>
      </c>
      <c r="L37" s="109">
        <f t="shared" si="14"/>
        <v>434550.69531000004</v>
      </c>
      <c r="M37" s="109">
        <f t="shared" si="14"/>
        <v>434550.69531000004</v>
      </c>
      <c r="N37" s="109">
        <f t="shared" si="14"/>
        <v>434550.69531000004</v>
      </c>
      <c r="O37" s="109">
        <f t="shared" si="14"/>
        <v>434550.69531000004</v>
      </c>
    </row>
    <row r="38" spans="2:15">
      <c r="B38" s="108" t="s">
        <v>265</v>
      </c>
      <c r="C38" s="855"/>
      <c r="E38" s="109">
        <f t="shared" ref="E38:O38" si="15">E40/Condoaveragesize</f>
        <v>0</v>
      </c>
      <c r="F38" s="109">
        <f t="shared" si="15"/>
        <v>0</v>
      </c>
      <c r="G38" s="109">
        <f t="shared" si="15"/>
        <v>0</v>
      </c>
      <c r="H38" s="109">
        <f t="shared" si="15"/>
        <v>0</v>
      </c>
      <c r="I38" s="109">
        <f t="shared" si="15"/>
        <v>0</v>
      </c>
      <c r="J38" s="109">
        <f t="shared" si="15"/>
        <v>0</v>
      </c>
      <c r="K38" s="109">
        <f t="shared" si="15"/>
        <v>260.99140859459465</v>
      </c>
      <c r="L38" s="109">
        <f t="shared" si="15"/>
        <v>521.98281718918929</v>
      </c>
      <c r="M38" s="109">
        <f t="shared" si="15"/>
        <v>521.98281718918929</v>
      </c>
      <c r="N38" s="109">
        <f t="shared" si="15"/>
        <v>521.98281718918929</v>
      </c>
      <c r="O38" s="109">
        <f t="shared" si="15"/>
        <v>521.98281718918929</v>
      </c>
    </row>
    <row r="39" spans="2:15">
      <c r="B39" s="108" t="s">
        <v>180</v>
      </c>
      <c r="C39" s="855" t="s">
        <v>152</v>
      </c>
      <c r="D39" s="122">
        <f>ResidentialCondominiumrampup</f>
        <v>0.5</v>
      </c>
      <c r="E39" s="109">
        <f>IF(OR(E$2=$H34,AND(E$2&gt;$H34,E$2&lt;(SUM($H34,INDEX(cockpit!$J$6:$Y$16,MATCH($D33,cockpit!$J$6:$J$16,0),MATCH($C$12,cockpit!$J$6:$Y$6,0)))))),E37*$D39,0)</f>
        <v>0</v>
      </c>
      <c r="F39" s="109">
        <f>IF(OR(F$2=$H34,AND(F$2&gt;$H34,F$2&lt;(SUM($H34,INDEX(cockpit!$J$6:$Y$16,MATCH($D33,cockpit!$J$6:$J$16,0),MATCH($C$12,cockpit!$J$6:$Y$6,0)))))),F37*$D39,0)</f>
        <v>0</v>
      </c>
      <c r="G39" s="109">
        <f>IF(OR(G$2=$H34,AND(G$2&gt;$H34,G$2&lt;(SUM($H34,INDEX(cockpit!$J$6:$Y$16,MATCH($D33,cockpit!$J$6:$J$16,0),MATCH($C$12,cockpit!$J$6:$Y$6,0)))))),G37*$D39,0)</f>
        <v>0</v>
      </c>
      <c r="H39" s="109">
        <f>IF(OR(H$2=$H34,AND(H$2&gt;$H34,H$2&lt;(SUM($H34,INDEX(cockpit!$J$6:$Y$16,MATCH($D33,cockpit!$J$6:$J$16,0),MATCH($C$12,cockpit!$J$6:$Y$6,0)))))),H37*$D39,0)</f>
        <v>0</v>
      </c>
      <c r="I39" s="109">
        <f>IF(OR(I$2=$H34,AND(I$2&gt;$H34,I$2&lt;(SUM($H34,INDEX(cockpit!$J$6:$Y$16,MATCH($D33,cockpit!$J$6:$J$16,0),MATCH($C$12,cockpit!$J$6:$Y$6,0)))))),I37*$D39,0)</f>
        <v>0</v>
      </c>
      <c r="J39" s="109">
        <f>IF(OR(J$2=$H34,AND(J$2&gt;$H34,J$2&lt;(SUM($H34,INDEX(cockpit!$J$6:$Y$16,MATCH($D33,cockpit!$J$6:$J$16,0),MATCH($C$12,cockpit!$J$6:$Y$6,0)))))),J37*$D39,0)</f>
        <v>0</v>
      </c>
      <c r="K39" s="109">
        <f>IF(OR(K$2=$H34,AND(K$2&gt;$H34,K$2&lt;(SUM($H34,INDEX(cockpit!$J$6:$Y$16,MATCH($D33,cockpit!$J$6:$J$16,0),MATCH($C$12,cockpit!$J$6:$Y$6,0)))))),K37*$D39,0)</f>
        <v>217275.34765500002</v>
      </c>
      <c r="L39" s="109">
        <f>IF(OR(L$2=$H34,AND(L$2&gt;$H34,L$2&lt;(SUM($H34,INDEX(cockpit!$J$6:$Y$16,MATCH($D33,cockpit!$J$6:$J$16,0),MATCH($C$12,cockpit!$J$6:$Y$6,0)))))),L37*$D39,0)</f>
        <v>217275.34765500002</v>
      </c>
      <c r="M39" s="109">
        <f>IF(OR(M$2=$H34,AND(M$2&gt;$H34,M$2&lt;(SUM($H34,INDEX(cockpit!$J$6:$Y$16,MATCH($D33,cockpit!$J$6:$J$16,0),MATCH($C$12,cockpit!$J$6:$Y$6,0)))))),M37*$D39,0)</f>
        <v>0</v>
      </c>
      <c r="N39" s="109">
        <f>IF(OR(N$2=$H34,AND(N$2&gt;$H34,N$2&lt;(SUM($H34,INDEX(cockpit!$J$6:$Y$16,MATCH($D33,cockpit!$J$6:$J$16,0),MATCH($C$12,cockpit!$J$6:$Y$6,0)))))),N37*$D39,0)</f>
        <v>0</v>
      </c>
      <c r="O39" s="109">
        <f>IF(OR(O$2=$H34,AND(O$2&gt;$H34,O$2&lt;(SUM($H34,INDEX(cockpit!$J$6:$Y$16,MATCH($D33,cockpit!$J$6:$J$16,0),MATCH($C$12,cockpit!$J$6:$Y$6,0)))))),O37*$D39,0)</f>
        <v>0</v>
      </c>
    </row>
    <row r="40" spans="2:15">
      <c r="B40" s="108" t="s">
        <v>181</v>
      </c>
      <c r="C40" s="855"/>
      <c r="E40" s="109">
        <f>SUM($E39:E39)</f>
        <v>0</v>
      </c>
      <c r="F40" s="109">
        <f>SUM($E39:F39)</f>
        <v>0</v>
      </c>
      <c r="G40" s="109">
        <f>SUM($E39:G39)</f>
        <v>0</v>
      </c>
      <c r="H40" s="109">
        <f>SUM($E39:H39)</f>
        <v>0</v>
      </c>
      <c r="I40" s="109">
        <f>SUM($E39:I39)</f>
        <v>0</v>
      </c>
      <c r="J40" s="109">
        <f>SUM($E39:J39)</f>
        <v>0</v>
      </c>
      <c r="K40" s="109">
        <f>SUM($E39:K39)</f>
        <v>217275.34765500002</v>
      </c>
      <c r="L40" s="109">
        <f>SUM($E39:L39)</f>
        <v>434550.69531000004</v>
      </c>
      <c r="M40" s="109">
        <f>SUM($E39:M39)</f>
        <v>434550.69531000004</v>
      </c>
      <c r="N40" s="109">
        <f>SUM($E39:N39)</f>
        <v>434550.69531000004</v>
      </c>
      <c r="O40" s="109">
        <f>SUM($E39:O39)</f>
        <v>434550.69531000004</v>
      </c>
    </row>
    <row r="41" spans="2:15">
      <c r="B41" s="108" t="s">
        <v>266</v>
      </c>
      <c r="C41" s="855"/>
      <c r="E41" s="195">
        <f t="shared" ref="E41:O41" si="16">ROUNDDOWN(E39/Condoaveragesize,0)</f>
        <v>0</v>
      </c>
      <c r="F41" s="195">
        <f t="shared" si="16"/>
        <v>0</v>
      </c>
      <c r="G41" s="195">
        <f t="shared" si="16"/>
        <v>0</v>
      </c>
      <c r="H41" s="195">
        <f t="shared" si="16"/>
        <v>0</v>
      </c>
      <c r="I41" s="195">
        <f t="shared" si="16"/>
        <v>0</v>
      </c>
      <c r="J41" s="195">
        <f t="shared" si="16"/>
        <v>0</v>
      </c>
      <c r="K41" s="195">
        <f t="shared" si="16"/>
        <v>260</v>
      </c>
      <c r="L41" s="195">
        <f t="shared" si="16"/>
        <v>260</v>
      </c>
      <c r="M41" s="195">
        <f t="shared" si="16"/>
        <v>0</v>
      </c>
      <c r="N41" s="195">
        <f t="shared" si="16"/>
        <v>0</v>
      </c>
      <c r="O41" s="195">
        <f t="shared" si="16"/>
        <v>0</v>
      </c>
    </row>
    <row r="42" spans="2:15">
      <c r="B42" s="108" t="s">
        <v>678</v>
      </c>
      <c r="E42" s="196">
        <f>E41/12</f>
        <v>0</v>
      </c>
      <c r="F42" s="196">
        <f t="shared" ref="F42" si="17">F41/12</f>
        <v>0</v>
      </c>
      <c r="G42" s="196">
        <f t="shared" ref="G42" si="18">G41/12</f>
        <v>0</v>
      </c>
      <c r="H42" s="196">
        <f t="shared" ref="H42" si="19">H41/12</f>
        <v>0</v>
      </c>
      <c r="I42" s="196">
        <f t="shared" ref="I42" si="20">I41/12</f>
        <v>0</v>
      </c>
      <c r="J42" s="196">
        <f t="shared" ref="J42" si="21">J41/12</f>
        <v>0</v>
      </c>
      <c r="K42" s="196">
        <f t="shared" ref="K42" si="22">K41/12</f>
        <v>21.666666666666668</v>
      </c>
      <c r="L42" s="196">
        <f t="shared" ref="L42" si="23">L41/12</f>
        <v>21.666666666666668</v>
      </c>
      <c r="M42" s="196">
        <f t="shared" ref="M42" si="24">M41/12</f>
        <v>0</v>
      </c>
      <c r="N42" s="196">
        <f t="shared" ref="N42" si="25">N41/12</f>
        <v>0</v>
      </c>
      <c r="O42" s="196">
        <f t="shared" ref="O42" si="26">O41/12</f>
        <v>0</v>
      </c>
    </row>
    <row r="43" spans="2:15">
      <c r="C43" s="855"/>
    </row>
    <row r="44" spans="2:15">
      <c r="B44" s="108" t="s">
        <v>166</v>
      </c>
      <c r="C44" s="855"/>
      <c r="D44" s="111">
        <f>(CondosalePSF*(1-$K32))+((CondosalePSF*(1+premiumprices)*$K32))</f>
        <v>329.2191172382133</v>
      </c>
      <c r="E44" s="112">
        <f t="shared" ref="E44:O44" si="27">(E41*Condoaveragesize)*($D44*((1+Inflation)^(E$2-1)))</f>
        <v>0</v>
      </c>
      <c r="F44" s="112">
        <f t="shared" si="27"/>
        <v>0</v>
      </c>
      <c r="G44" s="112">
        <f t="shared" si="27"/>
        <v>0</v>
      </c>
      <c r="H44" s="112">
        <f t="shared" si="27"/>
        <v>0</v>
      </c>
      <c r="I44" s="112">
        <f t="shared" si="27"/>
        <v>0</v>
      </c>
      <c r="J44" s="112">
        <f t="shared" si="27"/>
        <v>0</v>
      </c>
      <c r="K44" s="112">
        <f t="shared" si="27"/>
        <v>78676221.624384016</v>
      </c>
      <c r="L44" s="112">
        <f t="shared" si="27"/>
        <v>80249746.056871697</v>
      </c>
      <c r="M44" s="112">
        <f t="shared" si="27"/>
        <v>0</v>
      </c>
      <c r="N44" s="112">
        <f t="shared" si="27"/>
        <v>0</v>
      </c>
      <c r="O44" s="112">
        <f t="shared" si="27"/>
        <v>0</v>
      </c>
    </row>
    <row r="45" spans="2:15">
      <c r="B45" s="108" t="s">
        <v>267</v>
      </c>
      <c r="C45" s="855"/>
      <c r="D45" s="122">
        <f>Condocostofsale</f>
        <v>0.05</v>
      </c>
      <c r="E45" s="113">
        <f t="shared" ref="E45:O45" si="28">-E44*$D45</f>
        <v>0</v>
      </c>
      <c r="F45" s="113">
        <f t="shared" si="28"/>
        <v>0</v>
      </c>
      <c r="G45" s="113">
        <f t="shared" si="28"/>
        <v>0</v>
      </c>
      <c r="H45" s="113">
        <f t="shared" si="28"/>
        <v>0</v>
      </c>
      <c r="I45" s="113">
        <f t="shared" si="28"/>
        <v>0</v>
      </c>
      <c r="J45" s="113">
        <f t="shared" si="28"/>
        <v>0</v>
      </c>
      <c r="K45" s="113">
        <f t="shared" si="28"/>
        <v>-3933811.081219201</v>
      </c>
      <c r="L45" s="113">
        <f t="shared" si="28"/>
        <v>-4012487.3028435851</v>
      </c>
      <c r="M45" s="113">
        <f t="shared" si="28"/>
        <v>0</v>
      </c>
      <c r="N45" s="113">
        <f t="shared" si="28"/>
        <v>0</v>
      </c>
      <c r="O45" s="113">
        <f t="shared" si="28"/>
        <v>0</v>
      </c>
    </row>
    <row r="46" spans="2:15">
      <c r="B46" s="114" t="s">
        <v>167</v>
      </c>
      <c r="C46" s="855"/>
      <c r="E46" s="112">
        <f>SUM(E44:E45)</f>
        <v>0</v>
      </c>
      <c r="F46" s="112">
        <f t="shared" ref="F46:O46" si="29">SUM(F44:F45)</f>
        <v>0</v>
      </c>
      <c r="G46" s="112">
        <f t="shared" si="29"/>
        <v>0</v>
      </c>
      <c r="H46" s="112">
        <f t="shared" si="29"/>
        <v>0</v>
      </c>
      <c r="I46" s="112">
        <f t="shared" si="29"/>
        <v>0</v>
      </c>
      <c r="J46" s="112">
        <f t="shared" si="29"/>
        <v>0</v>
      </c>
      <c r="K46" s="112">
        <f t="shared" si="29"/>
        <v>74742410.543164819</v>
      </c>
      <c r="L46" s="112">
        <f t="shared" si="29"/>
        <v>76237258.754028112</v>
      </c>
      <c r="M46" s="112">
        <f t="shared" si="29"/>
        <v>0</v>
      </c>
      <c r="N46" s="112">
        <f t="shared" si="29"/>
        <v>0</v>
      </c>
      <c r="O46" s="112">
        <f t="shared" si="29"/>
        <v>0</v>
      </c>
    </row>
    <row r="47" spans="2:15">
      <c r="C47" s="855"/>
      <c r="E47" s="187">
        <f t="shared" ref="E47:O47" si="30">IFERROR(E46/E44,0)</f>
        <v>0</v>
      </c>
      <c r="F47" s="187">
        <f t="shared" si="30"/>
        <v>0</v>
      </c>
      <c r="G47" s="187">
        <f t="shared" si="30"/>
        <v>0</v>
      </c>
      <c r="H47" s="187">
        <f t="shared" si="30"/>
        <v>0</v>
      </c>
      <c r="I47" s="187">
        <f t="shared" si="30"/>
        <v>0</v>
      </c>
      <c r="J47" s="187">
        <f t="shared" si="30"/>
        <v>0</v>
      </c>
      <c r="K47" s="187">
        <f t="shared" si="30"/>
        <v>0.95000000000000007</v>
      </c>
      <c r="L47" s="187">
        <f t="shared" si="30"/>
        <v>0.95</v>
      </c>
      <c r="M47" s="187">
        <f t="shared" si="30"/>
        <v>0</v>
      </c>
      <c r="N47" s="187">
        <f t="shared" si="30"/>
        <v>0</v>
      </c>
      <c r="O47" s="187">
        <f t="shared" si="30"/>
        <v>0</v>
      </c>
    </row>
    <row r="48" spans="2:15">
      <c r="B48" s="108" t="s">
        <v>168</v>
      </c>
      <c r="C48" s="855"/>
      <c r="D48" s="115">
        <f>INDEX(cockpit!$J$6:$Y$16,MATCH($D33,cockpit!$J$6:$J$16,0),MATCH($B48,cockpit!$J$6:$Y$6,0))</f>
        <v>0</v>
      </c>
      <c r="E48" s="112">
        <f>-E37*$D48</f>
        <v>0</v>
      </c>
      <c r="F48" s="112">
        <f t="shared" ref="F48:O48" si="31">-F37*$D48</f>
        <v>0</v>
      </c>
      <c r="G48" s="112">
        <f t="shared" si="31"/>
        <v>0</v>
      </c>
      <c r="H48" s="112">
        <f t="shared" si="31"/>
        <v>0</v>
      </c>
      <c r="I48" s="112">
        <f t="shared" si="31"/>
        <v>0</v>
      </c>
      <c r="J48" s="112">
        <f t="shared" si="31"/>
        <v>0</v>
      </c>
      <c r="K48" s="112">
        <f t="shared" si="31"/>
        <v>0</v>
      </c>
      <c r="L48" s="112">
        <f t="shared" si="31"/>
        <v>0</v>
      </c>
      <c r="M48" s="112">
        <f t="shared" si="31"/>
        <v>0</v>
      </c>
      <c r="N48" s="112">
        <f t="shared" si="31"/>
        <v>0</v>
      </c>
      <c r="O48" s="112">
        <f t="shared" si="31"/>
        <v>0</v>
      </c>
    </row>
    <row r="49" spans="2:15">
      <c r="B49" s="108" t="s">
        <v>162</v>
      </c>
      <c r="C49" s="855"/>
      <c r="D49" s="115">
        <f>INDEX(cockpit!$J$6:$Y$16,MATCH($D33,cockpit!$J$6:$J$16,0),MATCH($B49,cockpit!$J$6:$Y$6,0))</f>
        <v>0</v>
      </c>
      <c r="E49" s="113">
        <f>-E40*$D49</f>
        <v>0</v>
      </c>
      <c r="F49" s="113">
        <f t="shared" ref="F49:O49" si="32">-F40*$D49</f>
        <v>0</v>
      </c>
      <c r="G49" s="113">
        <f t="shared" si="32"/>
        <v>0</v>
      </c>
      <c r="H49" s="113">
        <f t="shared" si="32"/>
        <v>0</v>
      </c>
      <c r="I49" s="113">
        <f t="shared" si="32"/>
        <v>0</v>
      </c>
      <c r="J49" s="113">
        <f t="shared" si="32"/>
        <v>0</v>
      </c>
      <c r="K49" s="113">
        <f t="shared" si="32"/>
        <v>0</v>
      </c>
      <c r="L49" s="113">
        <f t="shared" si="32"/>
        <v>0</v>
      </c>
      <c r="M49" s="113">
        <f t="shared" si="32"/>
        <v>0</v>
      </c>
      <c r="N49" s="113">
        <f t="shared" si="32"/>
        <v>0</v>
      </c>
      <c r="O49" s="113">
        <f t="shared" si="32"/>
        <v>0</v>
      </c>
    </row>
    <row r="50" spans="2:15">
      <c r="B50" s="114" t="s">
        <v>195</v>
      </c>
      <c r="C50" s="855"/>
      <c r="D50" s="115"/>
      <c r="E50" s="112">
        <f>SUM(E48:E49)</f>
        <v>0</v>
      </c>
      <c r="F50" s="112">
        <f t="shared" ref="F50:O50" si="33">SUM(F48:F49)</f>
        <v>0</v>
      </c>
      <c r="G50" s="112">
        <f t="shared" si="33"/>
        <v>0</v>
      </c>
      <c r="H50" s="112">
        <f t="shared" si="33"/>
        <v>0</v>
      </c>
      <c r="I50" s="112">
        <f t="shared" si="33"/>
        <v>0</v>
      </c>
      <c r="J50" s="112">
        <f t="shared" si="33"/>
        <v>0</v>
      </c>
      <c r="K50" s="112">
        <f t="shared" si="33"/>
        <v>0</v>
      </c>
      <c r="L50" s="112">
        <f t="shared" si="33"/>
        <v>0</v>
      </c>
      <c r="M50" s="112">
        <f t="shared" si="33"/>
        <v>0</v>
      </c>
      <c r="N50" s="112">
        <f t="shared" si="33"/>
        <v>0</v>
      </c>
      <c r="O50" s="112">
        <f t="shared" si="33"/>
        <v>0</v>
      </c>
    </row>
    <row r="51" spans="2:15">
      <c r="B51" s="108"/>
      <c r="C51" s="855"/>
    </row>
    <row r="52" spans="2:15">
      <c r="B52" s="108" t="s">
        <v>170</v>
      </c>
      <c r="C52" s="855"/>
      <c r="D52" s="111">
        <f>(CondoconstructionPSF*(1-$K32))+((ResidentialaffordablecostPSF*(1+premiumprices)*$K32))</f>
        <v>167.02857502956277</v>
      </c>
      <c r="E52" s="112">
        <f>-IF(OR(E$2=$H32,E$2=$H33,AND(E$2&gt;$H32,E$2&lt;$H33)),(INDEX(summary!$A$2:$D$24,MATCH($D33,summary!$A$2:$A$24,0),MATCH($D32,summary!$A$2:$D$2,0)))/constructiontimephase2)*($D52*((1+Inflation)^(E$2-1)))*(1+Developerfee)</f>
        <v>0</v>
      </c>
      <c r="F52" s="112">
        <f>-IF(OR(F$2=$H32,F$2=$H33,AND(F$2&gt;$H32,F$2&lt;$H33)),(INDEX(summary!$A$2:$D$24,MATCH($D33,summary!$A$2:$A$24,0),MATCH($D32,summary!$A$2:$D$2,0)))/constructiontimephase2)*($D52*((1+Inflation)^(F$2-1)))*(1+Developerfee)</f>
        <v>0</v>
      </c>
      <c r="G52" s="112">
        <f>-IF(OR(G$2=$H32,G$2=$H33,AND(G$2&gt;$H32,G$2&lt;$H33)),(INDEX(summary!$A$2:$D$24,MATCH($D33,summary!$A$2:$A$24,0),MATCH($D32,summary!$A$2:$D$2,0)))/constructiontimephase2)*($D52*((1+Inflation)^(G$2-1)))*(1+Developerfee)</f>
        <v>0</v>
      </c>
      <c r="H52" s="112">
        <f>-IF(OR(H$2=$H32,H$2=$H33,AND(H$2&gt;$H32,H$2&lt;$H33)),(INDEX(summary!$A$2:$D$24,MATCH($D33,summary!$A$2:$A$24,0),MATCH($D32,summary!$A$2:$D$2,0)))/constructiontimephase2)*($D52*((1+Inflation)^(H$2-1)))*(1+Developerfee)</f>
        <v>0</v>
      </c>
      <c r="I52" s="112">
        <f>-IF(OR(I$2=$H32,I$2=$H33,AND(I$2&gt;$H32,I$2&lt;$H33)),(INDEX(summary!$A$2:$D$24,MATCH($D33,summary!$A$2:$A$24,0),MATCH($D32,summary!$A$2:$D$2,0)))/constructiontimephase2)*($D52*((1+Inflation)^(I$2-1)))*(1+Developerfee)</f>
        <v>-44075420.065578155</v>
      </c>
      <c r="J52" s="112">
        <f>-IF(OR(J$2=$H32,J$2=$H33,AND(J$2&gt;$H32,J$2&lt;$H33)),(INDEX(summary!$A$2:$D$24,MATCH($D33,summary!$A$2:$A$24,0),MATCH($D32,summary!$A$2:$D$2,0)))/constructiontimephase2)*($D52*((1+Inflation)^(J$2-1)))*(1+Developerfee)</f>
        <v>-44956928.466889717</v>
      </c>
      <c r="K52" s="112">
        <f>-IF(OR(K$2=$H32,K$2=$H33,AND(K$2&gt;$H32,K$2&lt;$H33)),(INDEX(summary!$A$2:$D$24,MATCH($D33,summary!$A$2:$A$24,0),MATCH($D32,summary!$A$2:$D$2,0)))/constructiontimephase2)*($D52*((1+Inflation)^(K$2-1)))*(1+Developerfee)</f>
        <v>0</v>
      </c>
      <c r="L52" s="112">
        <f>-IF(OR(L$2=$H32,L$2=$H33,AND(L$2&gt;$H32,L$2&lt;$H33)),(INDEX(summary!$A$2:$D$24,MATCH($D33,summary!$A$2:$A$24,0),MATCH($D32,summary!$A$2:$D$2,0)))/constructiontimephase2)*($D52*((1+Inflation)^(L$2-1)))*(1+Developerfee)</f>
        <v>0</v>
      </c>
      <c r="M52" s="112">
        <f>-IF(OR(M$2=$H32,M$2=$H33,AND(M$2&gt;$H32,M$2&lt;$H33)),(INDEX(summary!$A$2:$D$24,MATCH($D33,summary!$A$2:$A$24,0),MATCH($D32,summary!$A$2:$D$2,0)))/constructiontimephase2)*($D52*((1+Inflation)^(M$2-1)))*(1+Developerfee)</f>
        <v>0</v>
      </c>
      <c r="N52" s="112">
        <f>-IF(OR(N$2=$H32,N$2=$H33,AND(N$2&gt;$H32,N$2&lt;$H33)),(INDEX(summary!$A$2:$D$24,MATCH($D33,summary!$A$2:$A$24,0),MATCH($D32,summary!$A$2:$D$2,0)))/constructiontimephase2)*($D52*((1+Inflation)^(N$2-1)))*(1+Developerfee)</f>
        <v>0</v>
      </c>
      <c r="O52" s="112">
        <f>-IF(OR(O$2=$H32,O$2=$H33,AND(O$2&gt;$H32,O$2&lt;$H33)),(INDEX(summary!$A$2:$D$24,MATCH($D33,summary!$A$2:$A$24,0),MATCH($D32,summary!$A$2:$D$2,0)))/constructiontimephase2)*($D52*((1+Inflation)^(O$2-1)))*(1+Developerfee)</f>
        <v>0</v>
      </c>
    </row>
    <row r="53" spans="2:15">
      <c r="B53" s="108" t="s">
        <v>197</v>
      </c>
      <c r="C53" s="855" t="s">
        <v>189</v>
      </c>
      <c r="D53" s="122">
        <f>(INDEX(cockpit!$J$6:$Y$16,MATCH($D33,cockpit!$J$6:$J$16,0),MATCH($C53,cockpit!$J$6:$Y$6,0))*(1-$K32))+((INDEX(cockpit!$J$6:$Y$16,MATCH($D33,cockpit!$J$6:$J$16,0),MATCH($C53,cockpit!$J$6:$Y$6,0))-(Premiumexitcaprate))*$K32)</f>
        <v>5.8442849940874488E-2</v>
      </c>
      <c r="E53" s="113">
        <f t="shared" ref="E53:O53" si="34">IF(E$2=dispositionyear,E46/$D53,0)*(1-Closingcosts)</f>
        <v>0</v>
      </c>
      <c r="F53" s="113">
        <f t="shared" si="34"/>
        <v>0</v>
      </c>
      <c r="G53" s="113">
        <f t="shared" si="34"/>
        <v>0</v>
      </c>
      <c r="H53" s="113">
        <f t="shared" si="34"/>
        <v>0</v>
      </c>
      <c r="I53" s="113">
        <f t="shared" si="34"/>
        <v>0</v>
      </c>
      <c r="J53" s="113">
        <f t="shared" si="34"/>
        <v>0</v>
      </c>
      <c r="K53" s="113">
        <f t="shared" si="34"/>
        <v>0</v>
      </c>
      <c r="L53" s="113">
        <f t="shared" si="34"/>
        <v>0</v>
      </c>
      <c r="M53" s="113">
        <f t="shared" si="34"/>
        <v>0</v>
      </c>
      <c r="N53" s="113">
        <f t="shared" si="34"/>
        <v>0</v>
      </c>
      <c r="O53" s="113">
        <f t="shared" si="34"/>
        <v>0</v>
      </c>
    </row>
    <row r="54" spans="2:15">
      <c r="B54" s="114" t="s">
        <v>196</v>
      </c>
      <c r="C54" s="855"/>
      <c r="D54" s="110"/>
      <c r="E54" s="112">
        <f>SUM(E52:E53)</f>
        <v>0</v>
      </c>
      <c r="F54" s="112">
        <f t="shared" ref="F54:O54" si="35">SUM(F52:F53)</f>
        <v>0</v>
      </c>
      <c r="G54" s="112">
        <f t="shared" si="35"/>
        <v>0</v>
      </c>
      <c r="H54" s="112">
        <f t="shared" si="35"/>
        <v>0</v>
      </c>
      <c r="I54" s="112">
        <f t="shared" si="35"/>
        <v>-44075420.065578155</v>
      </c>
      <c r="J54" s="112">
        <f t="shared" si="35"/>
        <v>-44956928.466889717</v>
      </c>
      <c r="K54" s="112">
        <f t="shared" si="35"/>
        <v>0</v>
      </c>
      <c r="L54" s="112">
        <f t="shared" si="35"/>
        <v>0</v>
      </c>
      <c r="M54" s="112">
        <f t="shared" si="35"/>
        <v>0</v>
      </c>
      <c r="N54" s="112">
        <f t="shared" si="35"/>
        <v>0</v>
      </c>
      <c r="O54" s="112">
        <f t="shared" si="35"/>
        <v>0</v>
      </c>
    </row>
    <row r="55" spans="2:15">
      <c r="B55" s="108"/>
      <c r="C55" s="855"/>
      <c r="D55" s="110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</row>
    <row r="56" spans="2:15">
      <c r="B56" s="114" t="s">
        <v>169</v>
      </c>
      <c r="C56" s="856"/>
      <c r="D56" s="116">
        <f ca="1">IRR(OFFSET(E56,0,0,1,Investmenthorizon+1))</f>
        <v>0.30222287551978289</v>
      </c>
      <c r="E56" s="117">
        <f>SUM(E46,E50,E54)</f>
        <v>0</v>
      </c>
      <c r="F56" s="117">
        <f t="shared" ref="F56:O56" si="36">SUM(F46,F50,F54)</f>
        <v>0</v>
      </c>
      <c r="G56" s="117">
        <f t="shared" si="36"/>
        <v>0</v>
      </c>
      <c r="H56" s="117">
        <f t="shared" si="36"/>
        <v>0</v>
      </c>
      <c r="I56" s="117">
        <f t="shared" si="36"/>
        <v>-44075420.065578155</v>
      </c>
      <c r="J56" s="117">
        <f t="shared" si="36"/>
        <v>-44956928.466889717</v>
      </c>
      <c r="K56" s="117">
        <f t="shared" si="36"/>
        <v>74742410.543164819</v>
      </c>
      <c r="L56" s="117">
        <f t="shared" si="36"/>
        <v>76237258.754028112</v>
      </c>
      <c r="M56" s="117">
        <f t="shared" si="36"/>
        <v>0</v>
      </c>
      <c r="N56" s="117">
        <f t="shared" si="36"/>
        <v>0</v>
      </c>
      <c r="O56" s="117">
        <f t="shared" si="36"/>
        <v>0</v>
      </c>
    </row>
    <row r="57" spans="2:15" ht="10" thickBot="1">
      <c r="B57" s="107"/>
      <c r="D57" s="130"/>
      <c r="G57" s="107"/>
      <c r="H57" s="133"/>
    </row>
    <row r="58" spans="2:15">
      <c r="B58" s="123" t="s">
        <v>198</v>
      </c>
      <c r="C58" s="124"/>
      <c r="D58" s="124"/>
      <c r="E58" s="134"/>
      <c r="F58" s="135"/>
      <c r="G58" s="135"/>
      <c r="H58" s="135"/>
      <c r="I58" s="135"/>
      <c r="J58" s="135"/>
      <c r="K58" s="125"/>
      <c r="L58" s="107"/>
      <c r="M58" s="107"/>
      <c r="N58" s="107"/>
      <c r="O58" s="107"/>
    </row>
    <row r="59" spans="2:15">
      <c r="B59" s="126" t="s">
        <v>89</v>
      </c>
      <c r="D59" s="133">
        <v>3</v>
      </c>
      <c r="G59" s="107" t="s">
        <v>204</v>
      </c>
      <c r="H59" s="133">
        <f>Phase3begin</f>
        <v>6</v>
      </c>
      <c r="J59" s="107" t="s">
        <v>201</v>
      </c>
      <c r="K59" s="136">
        <f>summary!AF84</f>
        <v>0</v>
      </c>
    </row>
    <row r="60" spans="2:15">
      <c r="B60" s="126" t="s">
        <v>93</v>
      </c>
      <c r="D60" s="130" t="s">
        <v>156</v>
      </c>
      <c r="G60" s="107" t="s">
        <v>205</v>
      </c>
      <c r="H60" s="133">
        <f>Phase3end</f>
        <v>7</v>
      </c>
      <c r="K60" s="127"/>
    </row>
    <row r="61" spans="2:15" ht="10" thickBot="1">
      <c r="B61" s="137"/>
      <c r="C61" s="852"/>
      <c r="D61" s="138"/>
      <c r="E61" s="138"/>
      <c r="F61" s="138"/>
      <c r="G61" s="129" t="s">
        <v>199</v>
      </c>
      <c r="H61" s="131">
        <f>Phase3open</f>
        <v>8</v>
      </c>
      <c r="I61" s="138"/>
      <c r="J61" s="138"/>
      <c r="K61" s="128"/>
    </row>
    <row r="62" spans="2:15">
      <c r="C62" s="853"/>
    </row>
    <row r="63" spans="2:15">
      <c r="B63" s="108" t="s">
        <v>182</v>
      </c>
      <c r="C63" s="854"/>
      <c r="E63" s="109">
        <f>IF(OR(E$2=$H61,E$2&gt;$H61),INDEX(summary!$A$2:$D$24,MATCH($D60,summary!$A$2:$A$24,0),MATCH($D59,summary!$A$2:$D$2,0)),0)</f>
        <v>0</v>
      </c>
      <c r="F63" s="109">
        <f>IF(OR(F$2=$H61,F$2&gt;$H61),INDEX(summary!$A$2:$D$24,MATCH($D60,summary!$A$2:$A$24,0),MATCH($D59,summary!$A$2:$D$2,0)),0)</f>
        <v>0</v>
      </c>
      <c r="G63" s="109">
        <f>IF(OR(G$2=$H61,G$2&gt;$H61),INDEX(summary!$A$2:$D$24,MATCH($D60,summary!$A$2:$A$24,0),MATCH($D59,summary!$A$2:$D$2,0)),0)</f>
        <v>0</v>
      </c>
      <c r="H63" s="109">
        <f>IF(OR(H$2=$H61,H$2&gt;$H61),INDEX(summary!$A$2:$D$24,MATCH($D60,summary!$A$2:$A$24,0),MATCH($D59,summary!$A$2:$D$2,0)),0)</f>
        <v>0</v>
      </c>
      <c r="I63" s="109">
        <f>IF(OR(I$2=$H61,I$2&gt;$H61),INDEX(summary!$A$2:$D$24,MATCH($D60,summary!$A$2:$A$24,0),MATCH($D59,summary!$A$2:$D$2,0)),0)</f>
        <v>0</v>
      </c>
      <c r="J63" s="109">
        <f>IF(OR(J$2=$H61,J$2&gt;$H61),INDEX(summary!$A$2:$D$24,MATCH($D60,summary!$A$2:$A$24,0),MATCH($D59,summary!$A$2:$D$2,0)),0)</f>
        <v>0</v>
      </c>
      <c r="K63" s="109">
        <f>IF(OR(K$2=$H61,K$2&gt;$H61),INDEX(summary!$A$2:$D$24,MATCH($D60,summary!$A$2:$A$24,0),MATCH($D59,summary!$A$2:$D$2,0)),0)</f>
        <v>0</v>
      </c>
      <c r="L63" s="109">
        <f>IF(OR(L$2=$H61,L$2&gt;$H61),INDEX(summary!$A$2:$D$24,MATCH($D60,summary!$A$2:$A$24,0),MATCH($D59,summary!$A$2:$D$2,0)),0)</f>
        <v>0</v>
      </c>
      <c r="M63" s="109">
        <f>IF(OR(M$2=$H61,M$2&gt;$H61),INDEX(summary!$A$2:$D$24,MATCH($D60,summary!$A$2:$A$24,0),MATCH($D59,summary!$A$2:$D$2,0)),0)</f>
        <v>0</v>
      </c>
      <c r="N63" s="109">
        <f>IF(OR(N$2=$H61,N$2&gt;$H61),INDEX(summary!$A$2:$D$24,MATCH($D60,summary!$A$2:$A$24,0),MATCH($D59,summary!$A$2:$D$2,0)),0)</f>
        <v>0</v>
      </c>
      <c r="O63" s="109">
        <f>IF(OR(O$2=$H61,O$2&gt;$H61),INDEX(summary!$A$2:$D$24,MATCH($D60,summary!$A$2:$A$24,0),MATCH($D59,summary!$A$2:$D$2,0)),0)</f>
        <v>0</v>
      </c>
    </row>
    <row r="64" spans="2:15">
      <c r="B64" s="108" t="s">
        <v>194</v>
      </c>
      <c r="C64" s="855" t="s">
        <v>191</v>
      </c>
      <c r="D64" s="110">
        <f>INDEX(cockpit!$J$6:$Y$16,MATCH($D60,cockpit!$J$6:$J$16,0),MATCH($C$10,cockpit!$J$6:$Y$6,0))</f>
        <v>0.1</v>
      </c>
      <c r="E64" s="109">
        <f>E63*(1-$D64)</f>
        <v>0</v>
      </c>
      <c r="F64" s="109">
        <f t="shared" ref="F64:O64" si="37">F63*(1-$D64)</f>
        <v>0</v>
      </c>
      <c r="G64" s="109">
        <f t="shared" si="37"/>
        <v>0</v>
      </c>
      <c r="H64" s="109">
        <f t="shared" si="37"/>
        <v>0</v>
      </c>
      <c r="I64" s="109">
        <f t="shared" si="37"/>
        <v>0</v>
      </c>
      <c r="J64" s="109">
        <f t="shared" si="37"/>
        <v>0</v>
      </c>
      <c r="K64" s="109">
        <f t="shared" si="37"/>
        <v>0</v>
      </c>
      <c r="L64" s="109">
        <f t="shared" si="37"/>
        <v>0</v>
      </c>
      <c r="M64" s="109">
        <f t="shared" si="37"/>
        <v>0</v>
      </c>
      <c r="N64" s="109">
        <f t="shared" si="37"/>
        <v>0</v>
      </c>
      <c r="O64" s="109">
        <f t="shared" si="37"/>
        <v>0</v>
      </c>
    </row>
    <row r="65" spans="2:15">
      <c r="B65" s="108" t="s">
        <v>265</v>
      </c>
      <c r="C65" s="855"/>
      <c r="E65" s="109">
        <f t="shared" ref="E65:O65" si="38">E67/Condoaveragesize</f>
        <v>0</v>
      </c>
      <c r="F65" s="109">
        <f t="shared" si="38"/>
        <v>0</v>
      </c>
      <c r="G65" s="109">
        <f t="shared" si="38"/>
        <v>0</v>
      </c>
      <c r="H65" s="109">
        <f t="shared" si="38"/>
        <v>0</v>
      </c>
      <c r="I65" s="109">
        <f t="shared" si="38"/>
        <v>0</v>
      </c>
      <c r="J65" s="109">
        <f t="shared" si="38"/>
        <v>0</v>
      </c>
      <c r="K65" s="109">
        <f t="shared" si="38"/>
        <v>0</v>
      </c>
      <c r="L65" s="109">
        <f t="shared" si="38"/>
        <v>0</v>
      </c>
      <c r="M65" s="109">
        <f t="shared" si="38"/>
        <v>0</v>
      </c>
      <c r="N65" s="109">
        <f t="shared" si="38"/>
        <v>0</v>
      </c>
      <c r="O65" s="109">
        <f t="shared" si="38"/>
        <v>0</v>
      </c>
    </row>
    <row r="66" spans="2:15">
      <c r="B66" s="108" t="s">
        <v>180</v>
      </c>
      <c r="C66" s="855" t="s">
        <v>152</v>
      </c>
      <c r="D66" s="122">
        <f>ResidentialCondominiumrampup</f>
        <v>0.5</v>
      </c>
      <c r="E66" s="109">
        <f>IF(OR(E$2=$H61,AND(E$2&gt;$H61,E$2&lt;(SUM($H61,INDEX(cockpit!$J$6:$Y$16,MATCH($D60,cockpit!$J$6:$J$16,0),MATCH($C$12,cockpit!$J$6:$Y$6,0)))))),E64*$D66,0)</f>
        <v>0</v>
      </c>
      <c r="F66" s="109">
        <f>IF(OR(F$2=$H61,AND(F$2&gt;$H61,F$2&lt;(SUM($H61,INDEX(cockpit!$J$6:$Y$16,MATCH($D60,cockpit!$J$6:$J$16,0),MATCH($C$12,cockpit!$J$6:$Y$6,0)))))),F64*$D66,0)</f>
        <v>0</v>
      </c>
      <c r="G66" s="109">
        <f>IF(OR(G$2=$H61,AND(G$2&gt;$H61,G$2&lt;(SUM($H61,INDEX(cockpit!$J$6:$Y$16,MATCH($D60,cockpit!$J$6:$J$16,0),MATCH($C$12,cockpit!$J$6:$Y$6,0)))))),G64*$D66,0)</f>
        <v>0</v>
      </c>
      <c r="H66" s="109">
        <f>IF(OR(H$2=$H61,AND(H$2&gt;$H61,H$2&lt;(SUM($H61,INDEX(cockpit!$J$6:$Y$16,MATCH($D60,cockpit!$J$6:$J$16,0),MATCH($C$12,cockpit!$J$6:$Y$6,0)))))),H64*$D66,0)</f>
        <v>0</v>
      </c>
      <c r="I66" s="109">
        <f>IF(OR(I$2=$H61,AND(I$2&gt;$H61,I$2&lt;(SUM($H61,INDEX(cockpit!$J$6:$Y$16,MATCH($D60,cockpit!$J$6:$J$16,0),MATCH($C$12,cockpit!$J$6:$Y$6,0)))))),I64*$D66,0)</f>
        <v>0</v>
      </c>
      <c r="J66" s="109">
        <f>IF(OR(J$2=$H61,AND(J$2&gt;$H61,J$2&lt;(SUM($H61,INDEX(cockpit!$J$6:$Y$16,MATCH($D60,cockpit!$J$6:$J$16,0),MATCH($C$12,cockpit!$J$6:$Y$6,0)))))),J64*$D66,0)</f>
        <v>0</v>
      </c>
      <c r="K66" s="109">
        <f>IF(OR(K$2=$H61,AND(K$2&gt;$H61,K$2&lt;(SUM($H61,INDEX(cockpit!$J$6:$Y$16,MATCH($D60,cockpit!$J$6:$J$16,0),MATCH($C$12,cockpit!$J$6:$Y$6,0)))))),K64*$D66,0)</f>
        <v>0</v>
      </c>
      <c r="L66" s="109">
        <f>IF(OR(L$2=$H61,AND(L$2&gt;$H61,L$2&lt;(SUM($H61,INDEX(cockpit!$J$6:$Y$16,MATCH($D60,cockpit!$J$6:$J$16,0),MATCH($C$12,cockpit!$J$6:$Y$6,0)))))),L64*$D66,0)</f>
        <v>0</v>
      </c>
      <c r="M66" s="109">
        <f>IF(OR(M$2=$H61,AND(M$2&gt;$H61,M$2&lt;(SUM($H61,INDEX(cockpit!$J$6:$Y$16,MATCH($D60,cockpit!$J$6:$J$16,0),MATCH($C$12,cockpit!$J$6:$Y$6,0)))))),M64*$D66,0)</f>
        <v>0</v>
      </c>
      <c r="N66" s="109">
        <f>IF(OR(N$2=$H61,AND(N$2&gt;$H61,N$2&lt;(SUM($H61,INDEX(cockpit!$J$6:$Y$16,MATCH($D60,cockpit!$J$6:$J$16,0),MATCH($C$12,cockpit!$J$6:$Y$6,0)))))),N64*$D66,0)</f>
        <v>0</v>
      </c>
      <c r="O66" s="109">
        <f>IF(OR(O$2=$H61,AND(O$2&gt;$H61,O$2&lt;(SUM($H61,INDEX(cockpit!$J$6:$Y$16,MATCH($D60,cockpit!$J$6:$J$16,0),MATCH($C$12,cockpit!$J$6:$Y$6,0)))))),O64*$D66,0)</f>
        <v>0</v>
      </c>
    </row>
    <row r="67" spans="2:15">
      <c r="B67" s="108" t="s">
        <v>181</v>
      </c>
      <c r="C67" s="855"/>
      <c r="E67" s="109">
        <f>SUM($E66:E66)</f>
        <v>0</v>
      </c>
      <c r="F67" s="109">
        <f>SUM($E66:F66)</f>
        <v>0</v>
      </c>
      <c r="G67" s="109">
        <f>SUM($E66:G66)</f>
        <v>0</v>
      </c>
      <c r="H67" s="109">
        <f>SUM($E66:H66)</f>
        <v>0</v>
      </c>
      <c r="I67" s="109">
        <f>SUM($E66:I66)</f>
        <v>0</v>
      </c>
      <c r="J67" s="109">
        <f>SUM($E66:J66)</f>
        <v>0</v>
      </c>
      <c r="K67" s="109">
        <f>SUM($E66:K66)</f>
        <v>0</v>
      </c>
      <c r="L67" s="109">
        <f>SUM($E66:L66)</f>
        <v>0</v>
      </c>
      <c r="M67" s="109">
        <f>SUM($E66:M66)</f>
        <v>0</v>
      </c>
      <c r="N67" s="109">
        <f>SUM($E66:N66)</f>
        <v>0</v>
      </c>
      <c r="O67" s="109">
        <f>SUM($E66:O66)</f>
        <v>0</v>
      </c>
    </row>
    <row r="68" spans="2:15">
      <c r="B68" s="108" t="s">
        <v>266</v>
      </c>
      <c r="C68" s="855"/>
      <c r="E68" s="195">
        <f t="shared" ref="E68:O68" si="39">ROUNDDOWN(E66/Condoaveragesize,0)</f>
        <v>0</v>
      </c>
      <c r="F68" s="195">
        <f t="shared" si="39"/>
        <v>0</v>
      </c>
      <c r="G68" s="195">
        <f t="shared" si="39"/>
        <v>0</v>
      </c>
      <c r="H68" s="195">
        <f t="shared" si="39"/>
        <v>0</v>
      </c>
      <c r="I68" s="195">
        <f t="shared" si="39"/>
        <v>0</v>
      </c>
      <c r="J68" s="195">
        <f t="shared" si="39"/>
        <v>0</v>
      </c>
      <c r="K68" s="195">
        <f t="shared" si="39"/>
        <v>0</v>
      </c>
      <c r="L68" s="195">
        <f t="shared" si="39"/>
        <v>0</v>
      </c>
      <c r="M68" s="195">
        <f t="shared" si="39"/>
        <v>0</v>
      </c>
      <c r="N68" s="195">
        <f t="shared" si="39"/>
        <v>0</v>
      </c>
      <c r="O68" s="195">
        <f t="shared" si="39"/>
        <v>0</v>
      </c>
    </row>
    <row r="69" spans="2:15">
      <c r="B69" s="108" t="s">
        <v>678</v>
      </c>
      <c r="E69" s="196">
        <f>E68/12</f>
        <v>0</v>
      </c>
      <c r="F69" s="196">
        <f t="shared" ref="F69" si="40">F68/12</f>
        <v>0</v>
      </c>
      <c r="G69" s="196">
        <f t="shared" ref="G69" si="41">G68/12</f>
        <v>0</v>
      </c>
      <c r="H69" s="196">
        <f t="shared" ref="H69" si="42">H68/12</f>
        <v>0</v>
      </c>
      <c r="I69" s="196">
        <f t="shared" ref="I69" si="43">I68/12</f>
        <v>0</v>
      </c>
      <c r="J69" s="196">
        <f t="shared" ref="J69" si="44">J68/12</f>
        <v>0</v>
      </c>
      <c r="K69" s="196">
        <f t="shared" ref="K69" si="45">K68/12</f>
        <v>0</v>
      </c>
      <c r="L69" s="196">
        <f t="shared" ref="L69" si="46">L68/12</f>
        <v>0</v>
      </c>
      <c r="M69" s="196">
        <f t="shared" ref="M69" si="47">M68/12</f>
        <v>0</v>
      </c>
      <c r="N69" s="196">
        <f t="shared" ref="N69" si="48">N68/12</f>
        <v>0</v>
      </c>
      <c r="O69" s="196">
        <f t="shared" ref="O69" si="49">O68/12</f>
        <v>0</v>
      </c>
    </row>
    <row r="70" spans="2:15">
      <c r="C70" s="855"/>
    </row>
    <row r="71" spans="2:15">
      <c r="B71" s="108" t="s">
        <v>166</v>
      </c>
      <c r="C71" s="855"/>
      <c r="D71" s="111">
        <f>(CondosalePSF*(1-$K59))+((CondosalePSF*(1+premiumprices)*$K59))</f>
        <v>290</v>
      </c>
      <c r="E71" s="112">
        <f t="shared" ref="E71:O71" si="50">(E68*Condoaveragesize)*($D71*((1+Inflation)^(E$2-1)))</f>
        <v>0</v>
      </c>
      <c r="F71" s="112">
        <f t="shared" si="50"/>
        <v>0</v>
      </c>
      <c r="G71" s="112">
        <f t="shared" si="50"/>
        <v>0</v>
      </c>
      <c r="H71" s="112">
        <f t="shared" si="50"/>
        <v>0</v>
      </c>
      <c r="I71" s="112">
        <f t="shared" si="50"/>
        <v>0</v>
      </c>
      <c r="J71" s="112">
        <f t="shared" si="50"/>
        <v>0</v>
      </c>
      <c r="K71" s="112">
        <f t="shared" si="50"/>
        <v>0</v>
      </c>
      <c r="L71" s="112">
        <f t="shared" si="50"/>
        <v>0</v>
      </c>
      <c r="M71" s="112">
        <f t="shared" si="50"/>
        <v>0</v>
      </c>
      <c r="N71" s="112">
        <f t="shared" si="50"/>
        <v>0</v>
      </c>
      <c r="O71" s="112">
        <f t="shared" si="50"/>
        <v>0</v>
      </c>
    </row>
    <row r="72" spans="2:15">
      <c r="B72" s="108" t="s">
        <v>267</v>
      </c>
      <c r="C72" s="855"/>
      <c r="D72" s="122">
        <f>Condocostofsale</f>
        <v>0.05</v>
      </c>
      <c r="E72" s="113">
        <f t="shared" ref="E72:O72" si="51">-E71*$D72</f>
        <v>0</v>
      </c>
      <c r="F72" s="113">
        <f t="shared" si="51"/>
        <v>0</v>
      </c>
      <c r="G72" s="113">
        <f t="shared" si="51"/>
        <v>0</v>
      </c>
      <c r="H72" s="113">
        <f t="shared" si="51"/>
        <v>0</v>
      </c>
      <c r="I72" s="113">
        <f t="shared" si="51"/>
        <v>0</v>
      </c>
      <c r="J72" s="113">
        <f t="shared" si="51"/>
        <v>0</v>
      </c>
      <c r="K72" s="113">
        <f t="shared" si="51"/>
        <v>0</v>
      </c>
      <c r="L72" s="113">
        <f t="shared" si="51"/>
        <v>0</v>
      </c>
      <c r="M72" s="113">
        <f t="shared" si="51"/>
        <v>0</v>
      </c>
      <c r="N72" s="113">
        <f t="shared" si="51"/>
        <v>0</v>
      </c>
      <c r="O72" s="113">
        <f t="shared" si="51"/>
        <v>0</v>
      </c>
    </row>
    <row r="73" spans="2:15">
      <c r="B73" s="114" t="s">
        <v>167</v>
      </c>
      <c r="C73" s="855"/>
      <c r="E73" s="112">
        <f>SUM(E71:E72)</f>
        <v>0</v>
      </c>
      <c r="F73" s="112">
        <f t="shared" ref="F73:O73" si="52">SUM(F71:F72)</f>
        <v>0</v>
      </c>
      <c r="G73" s="112">
        <f t="shared" si="52"/>
        <v>0</v>
      </c>
      <c r="H73" s="112">
        <f t="shared" si="52"/>
        <v>0</v>
      </c>
      <c r="I73" s="112">
        <f t="shared" si="52"/>
        <v>0</v>
      </c>
      <c r="J73" s="112">
        <f t="shared" si="52"/>
        <v>0</v>
      </c>
      <c r="K73" s="112">
        <f t="shared" si="52"/>
        <v>0</v>
      </c>
      <c r="L73" s="112">
        <f t="shared" si="52"/>
        <v>0</v>
      </c>
      <c r="M73" s="112">
        <f t="shared" si="52"/>
        <v>0</v>
      </c>
      <c r="N73" s="112">
        <f t="shared" si="52"/>
        <v>0</v>
      </c>
      <c r="O73" s="112">
        <f t="shared" si="52"/>
        <v>0</v>
      </c>
    </row>
    <row r="74" spans="2:15">
      <c r="C74" s="855"/>
      <c r="E74" s="187">
        <f t="shared" ref="E74:O74" si="53">IFERROR(E73/E71,0)</f>
        <v>0</v>
      </c>
      <c r="F74" s="187">
        <f t="shared" si="53"/>
        <v>0</v>
      </c>
      <c r="G74" s="187">
        <f t="shared" si="53"/>
        <v>0</v>
      </c>
      <c r="H74" s="187">
        <f t="shared" si="53"/>
        <v>0</v>
      </c>
      <c r="I74" s="187">
        <f t="shared" si="53"/>
        <v>0</v>
      </c>
      <c r="J74" s="187">
        <f t="shared" si="53"/>
        <v>0</v>
      </c>
      <c r="K74" s="187">
        <f t="shared" si="53"/>
        <v>0</v>
      </c>
      <c r="L74" s="187">
        <f t="shared" si="53"/>
        <v>0</v>
      </c>
      <c r="M74" s="187">
        <f t="shared" si="53"/>
        <v>0</v>
      </c>
      <c r="N74" s="187">
        <f t="shared" si="53"/>
        <v>0</v>
      </c>
      <c r="O74" s="187">
        <f t="shared" si="53"/>
        <v>0</v>
      </c>
    </row>
    <row r="75" spans="2:15">
      <c r="B75" s="108" t="s">
        <v>168</v>
      </c>
      <c r="C75" s="855"/>
      <c r="D75" s="115">
        <f>INDEX(cockpit!$J$6:$Y$16,MATCH($D60,cockpit!$J$6:$J$16,0),MATCH($B75,cockpit!$J$6:$Y$6,0))</f>
        <v>0</v>
      </c>
      <c r="E75" s="112">
        <f>-E64*$D75</f>
        <v>0</v>
      </c>
      <c r="F75" s="112">
        <f t="shared" ref="F75:O75" si="54">-F64*$D75</f>
        <v>0</v>
      </c>
      <c r="G75" s="112">
        <f t="shared" si="54"/>
        <v>0</v>
      </c>
      <c r="H75" s="112">
        <f t="shared" si="54"/>
        <v>0</v>
      </c>
      <c r="I75" s="112">
        <f t="shared" si="54"/>
        <v>0</v>
      </c>
      <c r="J75" s="112">
        <f t="shared" si="54"/>
        <v>0</v>
      </c>
      <c r="K75" s="112">
        <f t="shared" si="54"/>
        <v>0</v>
      </c>
      <c r="L75" s="112">
        <f t="shared" si="54"/>
        <v>0</v>
      </c>
      <c r="M75" s="112">
        <f t="shared" si="54"/>
        <v>0</v>
      </c>
      <c r="N75" s="112">
        <f t="shared" si="54"/>
        <v>0</v>
      </c>
      <c r="O75" s="112">
        <f t="shared" si="54"/>
        <v>0</v>
      </c>
    </row>
    <row r="76" spans="2:15">
      <c r="B76" s="108" t="s">
        <v>162</v>
      </c>
      <c r="C76" s="855"/>
      <c r="D76" s="115">
        <f>INDEX(cockpit!$J$6:$Y$16,MATCH($D60,cockpit!$J$6:$J$16,0),MATCH($B76,cockpit!$J$6:$Y$6,0))</f>
        <v>0</v>
      </c>
      <c r="E76" s="113">
        <f>-E67*$D76</f>
        <v>0</v>
      </c>
      <c r="F76" s="113">
        <f t="shared" ref="F76:O76" si="55">-F67*$D76</f>
        <v>0</v>
      </c>
      <c r="G76" s="113">
        <f t="shared" si="55"/>
        <v>0</v>
      </c>
      <c r="H76" s="113">
        <f t="shared" si="55"/>
        <v>0</v>
      </c>
      <c r="I76" s="113">
        <f t="shared" si="55"/>
        <v>0</v>
      </c>
      <c r="J76" s="113">
        <f t="shared" si="55"/>
        <v>0</v>
      </c>
      <c r="K76" s="113">
        <f t="shared" si="55"/>
        <v>0</v>
      </c>
      <c r="L76" s="113">
        <f t="shared" si="55"/>
        <v>0</v>
      </c>
      <c r="M76" s="113">
        <f t="shared" si="55"/>
        <v>0</v>
      </c>
      <c r="N76" s="113">
        <f t="shared" si="55"/>
        <v>0</v>
      </c>
      <c r="O76" s="113">
        <f t="shared" si="55"/>
        <v>0</v>
      </c>
    </row>
    <row r="77" spans="2:15">
      <c r="B77" s="114" t="s">
        <v>195</v>
      </c>
      <c r="C77" s="855"/>
      <c r="D77" s="115"/>
      <c r="E77" s="112">
        <f>SUM(E75:E76)</f>
        <v>0</v>
      </c>
      <c r="F77" s="112">
        <f t="shared" ref="F77:O77" si="56">SUM(F75:F76)</f>
        <v>0</v>
      </c>
      <c r="G77" s="112">
        <f t="shared" si="56"/>
        <v>0</v>
      </c>
      <c r="H77" s="112">
        <f t="shared" si="56"/>
        <v>0</v>
      </c>
      <c r="I77" s="112">
        <f t="shared" si="56"/>
        <v>0</v>
      </c>
      <c r="J77" s="112">
        <f t="shared" si="56"/>
        <v>0</v>
      </c>
      <c r="K77" s="112">
        <f t="shared" si="56"/>
        <v>0</v>
      </c>
      <c r="L77" s="112">
        <f t="shared" si="56"/>
        <v>0</v>
      </c>
      <c r="M77" s="112">
        <f t="shared" si="56"/>
        <v>0</v>
      </c>
      <c r="N77" s="112">
        <f t="shared" si="56"/>
        <v>0</v>
      </c>
      <c r="O77" s="112">
        <f t="shared" si="56"/>
        <v>0</v>
      </c>
    </row>
    <row r="78" spans="2:15">
      <c r="B78" s="108"/>
      <c r="C78" s="855"/>
    </row>
    <row r="79" spans="2:15">
      <c r="B79" s="108" t="s">
        <v>170</v>
      </c>
      <c r="C79" s="855"/>
      <c r="D79" s="111">
        <f>(CondoconstructionPSF*(1-$K59))+((ResidentialaffordablecostPSF*(1+premiumprices)*$K59))</f>
        <v>165</v>
      </c>
      <c r="E79" s="112">
        <f>-IF(OR(E$2=$H59,E$2=$H60,AND(E$2&gt;$H59,E$2&lt;$H60)),(INDEX(summary!$A$2:$D$24,MATCH($D60,summary!$A$2:$A$24,0),MATCH($D59,summary!$A$2:$D$2,0)))/constructiontimephase3)*($D79*((1+Inflation)^(E$2-1)))*(1+Developerfee)</f>
        <v>0</v>
      </c>
      <c r="F79" s="112">
        <f>-IF(OR(F$2=$H59,F$2=$H60,AND(F$2&gt;$H59,F$2&lt;$H60)),(INDEX(summary!$A$2:$D$24,MATCH($D60,summary!$A$2:$A$24,0),MATCH($D59,summary!$A$2:$D$2,0)))/constructiontimephase3)*($D79*((1+Inflation)^(F$2-1)))*(1+Developerfee)</f>
        <v>0</v>
      </c>
      <c r="G79" s="112">
        <f>-IF(OR(G$2=$H59,G$2=$H60,AND(G$2&gt;$H59,G$2&lt;$H60)),(INDEX(summary!$A$2:$D$24,MATCH($D60,summary!$A$2:$A$24,0),MATCH($D59,summary!$A$2:$D$2,0)))/constructiontimephase3)*($D79*((1+Inflation)^(G$2-1)))*(1+Developerfee)</f>
        <v>0</v>
      </c>
      <c r="H79" s="112">
        <f>-IF(OR(H$2=$H59,H$2=$H60,AND(H$2&gt;$H59,H$2&lt;$H60)),(INDEX(summary!$A$2:$D$24,MATCH($D60,summary!$A$2:$A$24,0),MATCH($D59,summary!$A$2:$D$2,0)))/constructiontimephase3)*($D79*((1+Inflation)^(H$2-1)))*(1+Developerfee)</f>
        <v>0</v>
      </c>
      <c r="I79" s="112">
        <f>-IF(OR(I$2=$H59,I$2=$H60,AND(I$2&gt;$H59,I$2&lt;$H60)),(INDEX(summary!$A$2:$D$24,MATCH($D60,summary!$A$2:$A$24,0),MATCH($D59,summary!$A$2:$D$2,0)))/constructiontimephase3)*($D79*((1+Inflation)^(I$2-1)))*(1+Developerfee)</f>
        <v>0</v>
      </c>
      <c r="J79" s="112">
        <f>-IF(OR(J$2=$H59,J$2=$H60,AND(J$2&gt;$H59,J$2&lt;$H60)),(INDEX(summary!$A$2:$D$24,MATCH($D60,summary!$A$2:$A$24,0),MATCH($D59,summary!$A$2:$D$2,0)))/constructiontimephase3)*($D79*((1+Inflation)^(J$2-1)))*(1+Developerfee)</f>
        <v>0</v>
      </c>
      <c r="K79" s="112">
        <f>-IF(OR(K$2=$H59,K$2=$H60,AND(K$2&gt;$H59,K$2&lt;$H60)),(INDEX(summary!$A$2:$D$24,MATCH($D60,summary!$A$2:$A$24,0),MATCH($D59,summary!$A$2:$D$2,0)))/constructiontimephase3)*($D79*((1+Inflation)^(K$2-1)))*(1+Developerfee)</f>
        <v>0</v>
      </c>
      <c r="L79" s="112">
        <f>-IF(OR(L$2=$H59,L$2=$H60,AND(L$2&gt;$H59,L$2&lt;$H60)),(INDEX(summary!$A$2:$D$24,MATCH($D60,summary!$A$2:$A$24,0),MATCH($D59,summary!$A$2:$D$2,0)))/constructiontimephase3)*($D79*((1+Inflation)^(L$2-1)))*(1+Developerfee)</f>
        <v>0</v>
      </c>
      <c r="M79" s="112">
        <f>-IF(OR(M$2=$H59,M$2=$H60,AND(M$2&gt;$H59,M$2&lt;$H60)),(INDEX(summary!$A$2:$D$24,MATCH($D60,summary!$A$2:$A$24,0),MATCH($D59,summary!$A$2:$D$2,0)))/constructiontimephase3)*($D79*((1+Inflation)^(M$2-1)))*(1+Developerfee)</f>
        <v>0</v>
      </c>
      <c r="N79" s="112">
        <f>-IF(OR(N$2=$H59,N$2=$H60,AND(N$2&gt;$H59,N$2&lt;$H60)),(INDEX(summary!$A$2:$D$24,MATCH($D60,summary!$A$2:$A$24,0),MATCH($D59,summary!$A$2:$D$2,0)))/constructiontimephase3)*($D79*((1+Inflation)^(N$2-1)))*(1+Developerfee)</f>
        <v>0</v>
      </c>
      <c r="O79" s="112">
        <f>-IF(OR(O$2=$H59,O$2=$H60,AND(O$2&gt;$H59,O$2&lt;$H60)),(INDEX(summary!$A$2:$D$24,MATCH($D60,summary!$A$2:$A$24,0),MATCH($D59,summary!$A$2:$D$2,0)))/constructiontimephase3)*($D79*((1+Inflation)^(O$2-1)))*(1+Developerfee)</f>
        <v>0</v>
      </c>
    </row>
    <row r="80" spans="2:15">
      <c r="B80" s="108" t="s">
        <v>197</v>
      </c>
      <c r="C80" s="855" t="s">
        <v>189</v>
      </c>
      <c r="D80" s="122">
        <f>(INDEX(cockpit!$J$6:$Y$16,MATCH($D60,cockpit!$J$6:$J$16,0),MATCH($C80,cockpit!$J$6:$Y$6,0))*(1-$K59))+((INDEX(cockpit!$J$6:$Y$16,MATCH($D60,cockpit!$J$6:$J$16,0),MATCH($C80,cockpit!$J$6:$Y$6,0))-(Premiumexitcaprate))*$K59)</f>
        <v>6.25E-2</v>
      </c>
      <c r="E80" s="113">
        <f t="shared" ref="E80:O80" si="57">IF(E$2=dispositionyear,E73/$D80,0)*(1-Closingcosts)</f>
        <v>0</v>
      </c>
      <c r="F80" s="113">
        <f t="shared" si="57"/>
        <v>0</v>
      </c>
      <c r="G80" s="113">
        <f t="shared" si="57"/>
        <v>0</v>
      </c>
      <c r="H80" s="113">
        <f t="shared" si="57"/>
        <v>0</v>
      </c>
      <c r="I80" s="113">
        <f t="shared" si="57"/>
        <v>0</v>
      </c>
      <c r="J80" s="113">
        <f t="shared" si="57"/>
        <v>0</v>
      </c>
      <c r="K80" s="113">
        <f t="shared" si="57"/>
        <v>0</v>
      </c>
      <c r="L80" s="113">
        <f t="shared" si="57"/>
        <v>0</v>
      </c>
      <c r="M80" s="113">
        <f t="shared" si="57"/>
        <v>0</v>
      </c>
      <c r="N80" s="113">
        <f t="shared" si="57"/>
        <v>0</v>
      </c>
      <c r="O80" s="113">
        <f t="shared" si="57"/>
        <v>0</v>
      </c>
    </row>
    <row r="81" spans="2:15">
      <c r="B81" s="114" t="s">
        <v>196</v>
      </c>
      <c r="C81" s="855"/>
      <c r="D81" s="110"/>
      <c r="E81" s="112">
        <f>SUM(E79:E80)</f>
        <v>0</v>
      </c>
      <c r="F81" s="112">
        <f t="shared" ref="F81:O81" si="58">SUM(F79:F80)</f>
        <v>0</v>
      </c>
      <c r="G81" s="112">
        <f t="shared" si="58"/>
        <v>0</v>
      </c>
      <c r="H81" s="112">
        <f t="shared" si="58"/>
        <v>0</v>
      </c>
      <c r="I81" s="112">
        <f t="shared" si="58"/>
        <v>0</v>
      </c>
      <c r="J81" s="112">
        <f t="shared" si="58"/>
        <v>0</v>
      </c>
      <c r="K81" s="112">
        <f t="shared" si="58"/>
        <v>0</v>
      </c>
      <c r="L81" s="112">
        <f t="shared" si="58"/>
        <v>0</v>
      </c>
      <c r="M81" s="112">
        <f t="shared" si="58"/>
        <v>0</v>
      </c>
      <c r="N81" s="112">
        <f t="shared" si="58"/>
        <v>0</v>
      </c>
      <c r="O81" s="112">
        <f t="shared" si="58"/>
        <v>0</v>
      </c>
    </row>
    <row r="82" spans="2:15">
      <c r="B82" s="108"/>
      <c r="C82" s="855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5">
      <c r="B83" s="114" t="s">
        <v>169</v>
      </c>
      <c r="C83" s="856"/>
      <c r="D83" s="116">
        <f ca="1">IFERROR(IRR(OFFSET(E83,0,0,1,Investmenthorizon+1)),0)</f>
        <v>0</v>
      </c>
      <c r="E83" s="117">
        <f>SUM(E73,E77,E81)</f>
        <v>0</v>
      </c>
      <c r="F83" s="117">
        <f t="shared" ref="F83:O83" si="59">SUM(F73,F77,F81)</f>
        <v>0</v>
      </c>
      <c r="G83" s="117">
        <f t="shared" si="59"/>
        <v>0</v>
      </c>
      <c r="H83" s="117">
        <f t="shared" si="59"/>
        <v>0</v>
      </c>
      <c r="I83" s="117">
        <f t="shared" si="59"/>
        <v>0</v>
      </c>
      <c r="J83" s="117">
        <f t="shared" si="59"/>
        <v>0</v>
      </c>
      <c r="K83" s="117">
        <f t="shared" si="59"/>
        <v>0</v>
      </c>
      <c r="L83" s="117">
        <f t="shared" si="59"/>
        <v>0</v>
      </c>
      <c r="M83" s="117">
        <f t="shared" si="59"/>
        <v>0</v>
      </c>
      <c r="N83" s="117">
        <f t="shared" si="59"/>
        <v>0</v>
      </c>
      <c r="O83" s="117">
        <f t="shared" si="59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B83D-9B86-486E-891A-232B4F5AE36B}">
  <sheetPr>
    <tabColor theme="9" tint="0.59999389629810485"/>
  </sheetPr>
  <dimension ref="B2:V89"/>
  <sheetViews>
    <sheetView showGridLines="0" topLeftCell="A34" zoomScale="60" zoomScaleNormal="60" workbookViewId="0">
      <selection activeCell="Q21" sqref="Q21"/>
    </sheetView>
  </sheetViews>
  <sheetFormatPr defaultRowHeight="9.5"/>
  <cols>
    <col min="1" max="1" width="8.7265625" style="106"/>
    <col min="2" max="2" width="24.1796875" style="106" bestFit="1" customWidth="1"/>
    <col min="3" max="3" width="1.1796875" style="851" customWidth="1"/>
    <col min="4" max="4" width="8.7265625" style="106"/>
    <col min="5" max="5" width="9" style="106" bestFit="1" customWidth="1"/>
    <col min="6" max="7" width="11.453125" style="106" bestFit="1" customWidth="1"/>
    <col min="8" max="8" width="10.36328125" style="106" bestFit="1" customWidth="1"/>
    <col min="9" max="14" width="11.08984375" style="106" bestFit="1" customWidth="1"/>
    <col min="15" max="15" width="11.7265625" style="106" bestFit="1" customWidth="1"/>
    <col min="16" max="16384" width="8.7265625" style="106"/>
  </cols>
  <sheetData>
    <row r="2" spans="2:22" ht="10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22" ht="10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22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22">
      <c r="B5" s="126" t="s">
        <v>89</v>
      </c>
      <c r="D5" s="133">
        <f>Phase1</f>
        <v>1</v>
      </c>
      <c r="G5" s="107" t="s">
        <v>204</v>
      </c>
      <c r="H5" s="133">
        <f>Phase1begin</f>
        <v>1</v>
      </c>
      <c r="J5" s="107" t="s">
        <v>201</v>
      </c>
      <c r="K5" s="136">
        <f>summary!AF14</f>
        <v>0</v>
      </c>
    </row>
    <row r="6" spans="2:22">
      <c r="B6" s="126" t="s">
        <v>93</v>
      </c>
      <c r="D6" s="130" t="s">
        <v>140</v>
      </c>
      <c r="G6" s="107" t="s">
        <v>205</v>
      </c>
      <c r="H6" s="133">
        <f>Phase1end</f>
        <v>3</v>
      </c>
      <c r="K6" s="127"/>
    </row>
    <row r="7" spans="2:22" ht="10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</row>
    <row r="8" spans="2:22">
      <c r="C8" s="853"/>
      <c r="S8" s="106" t="s">
        <v>936</v>
      </c>
      <c r="U8" s="106" t="s">
        <v>936</v>
      </c>
      <c r="V8" s="106" t="s">
        <v>937</v>
      </c>
    </row>
    <row r="9" spans="2:22">
      <c r="B9" s="108" t="s">
        <v>182</v>
      </c>
      <c r="C9" s="854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103598.40000000001</v>
      </c>
      <c r="J9" s="109">
        <f>IF(OR(J$2=$H7,J$2&gt;$H7),INDEX(summary!$A$2:$D$24,MATCH($D6,summary!$A$2:$A$24,0),MATCH($D5,summary!$A$2:$D$2,0)),0)</f>
        <v>103598.40000000001</v>
      </c>
      <c r="K9" s="109">
        <f>IF(OR(K$2=$H7,K$2&gt;$H7),INDEX(summary!$A$2:$D$24,MATCH($D6,summary!$A$2:$A$24,0),MATCH($D5,summary!$A$2:$D$2,0)),0)</f>
        <v>103598.40000000001</v>
      </c>
      <c r="L9" s="109">
        <f>IF(OR(L$2=$H7,L$2&gt;$H7),INDEX(summary!$A$2:$D$24,MATCH($D6,summary!$A$2:$A$24,0),MATCH($D5,summary!$A$2:$D$2,0)),0)</f>
        <v>103598.40000000001</v>
      </c>
      <c r="M9" s="109">
        <f>IF(OR(M$2=$H7,M$2&gt;$H7),INDEX(summary!$A$2:$D$24,MATCH($D6,summary!$A$2:$A$24,0),MATCH($D5,summary!$A$2:$D$2,0)),0)</f>
        <v>103598.40000000001</v>
      </c>
      <c r="N9" s="109">
        <f>IF(OR(N$2=$H7,N$2&gt;$H7),INDEX(summary!$A$2:$D$24,MATCH($D6,summary!$A$2:$A$24,0),MATCH($D5,summary!$A$2:$D$2,0)),0)</f>
        <v>103598.40000000001</v>
      </c>
      <c r="O9" s="109">
        <f>IF(OR(O$2=$H7,O$2&gt;$H7),INDEX(summary!$A$2:$D$24,MATCH($D6,summary!$A$2:$A$24,0),MATCH($D5,summary!$A$2:$D$2,0)),0)</f>
        <v>103598.40000000001</v>
      </c>
      <c r="R9" s="106">
        <v>1</v>
      </c>
      <c r="S9" s="199">
        <v>0</v>
      </c>
      <c r="U9" s="199">
        <f t="shared" ref="U9:U18" si="0">S9-V9</f>
        <v>0</v>
      </c>
      <c r="V9" s="199">
        <v>0</v>
      </c>
    </row>
    <row r="10" spans="2:22">
      <c r="B10" s="108" t="s">
        <v>194</v>
      </c>
      <c r="C10" s="855" t="s">
        <v>191</v>
      </c>
      <c r="D10" s="110">
        <f>INDEX(cockpit!$J$6:$Y$16,MATCH($D6,cockpit!$J$6:$J$16,0),MATCH($C$10,cockpit!$J$6:$Y$6,0))</f>
        <v>0.1</v>
      </c>
      <c r="E10" s="109">
        <f>E9*(1-$D10)</f>
        <v>0</v>
      </c>
      <c r="F10" s="109">
        <f t="shared" ref="F10:O10" si="1">F9*(1-$D10)</f>
        <v>0</v>
      </c>
      <c r="G10" s="109">
        <f t="shared" si="1"/>
        <v>0</v>
      </c>
      <c r="H10" s="109">
        <f t="shared" si="1"/>
        <v>0</v>
      </c>
      <c r="I10" s="109">
        <f t="shared" si="1"/>
        <v>93238.560000000012</v>
      </c>
      <c r="J10" s="109">
        <f t="shared" si="1"/>
        <v>93238.560000000012</v>
      </c>
      <c r="K10" s="109">
        <f t="shared" si="1"/>
        <v>93238.560000000012</v>
      </c>
      <c r="L10" s="109">
        <f t="shared" si="1"/>
        <v>93238.560000000012</v>
      </c>
      <c r="M10" s="109">
        <f t="shared" si="1"/>
        <v>93238.560000000012</v>
      </c>
      <c r="N10" s="109">
        <f t="shared" si="1"/>
        <v>93238.560000000012</v>
      </c>
      <c r="O10" s="109">
        <f t="shared" si="1"/>
        <v>93238.560000000012</v>
      </c>
      <c r="Q10" s="120"/>
      <c r="R10" s="106">
        <v>2</v>
      </c>
      <c r="S10" s="199">
        <v>0</v>
      </c>
      <c r="U10" s="199">
        <f t="shared" si="0"/>
        <v>0</v>
      </c>
      <c r="V10" s="199">
        <v>0</v>
      </c>
    </row>
    <row r="11" spans="2:22">
      <c r="B11" s="108" t="s">
        <v>774</v>
      </c>
      <c r="C11" s="855"/>
      <c r="D11" s="110"/>
      <c r="E11" s="109">
        <f t="shared" ref="E11:O11" si="2">E10/Residentialaffordableaveragesize</f>
        <v>0</v>
      </c>
      <c r="F11" s="109">
        <f t="shared" si="2"/>
        <v>0</v>
      </c>
      <c r="G11" s="109">
        <f t="shared" si="2"/>
        <v>0</v>
      </c>
      <c r="H11" s="109">
        <f t="shared" si="2"/>
        <v>0</v>
      </c>
      <c r="I11" s="109">
        <f t="shared" si="2"/>
        <v>88.79862857142858</v>
      </c>
      <c r="J11" s="109">
        <f t="shared" si="2"/>
        <v>88.79862857142858</v>
      </c>
      <c r="K11" s="109">
        <f t="shared" si="2"/>
        <v>88.79862857142858</v>
      </c>
      <c r="L11" s="109">
        <f t="shared" si="2"/>
        <v>88.79862857142858</v>
      </c>
      <c r="M11" s="109">
        <f t="shared" si="2"/>
        <v>88.79862857142858</v>
      </c>
      <c r="N11" s="109">
        <f t="shared" si="2"/>
        <v>88.79862857142858</v>
      </c>
      <c r="O11" s="109">
        <f t="shared" si="2"/>
        <v>88.79862857142858</v>
      </c>
      <c r="P11" s="195"/>
      <c r="Q11" s="195"/>
      <c r="R11" s="106">
        <v>3</v>
      </c>
      <c r="S11" s="199">
        <v>0</v>
      </c>
      <c r="U11" s="199">
        <f t="shared" si="0"/>
        <v>0</v>
      </c>
      <c r="V11" s="199">
        <v>0</v>
      </c>
    </row>
    <row r="12" spans="2:22">
      <c r="B12" s="108" t="s">
        <v>674</v>
      </c>
      <c r="C12" s="855" t="s">
        <v>152</v>
      </c>
      <c r="D12" s="122">
        <f>ResidentialAffordablerampup</f>
        <v>0.98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91373.788800000009</v>
      </c>
      <c r="J12" s="109">
        <f>IF(OR(J$2=$H7,AND(J$2&gt;$H7,J$2&lt;(SUM($H7,INDEX(cockpit!$J$6:$Y$16,MATCH($D6,cockpit!$J$6:$J$16,0),MATCH($C$12,cockpit!$J$6:$Y$6,0)))))),J10*$D12,0)</f>
        <v>0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  <c r="R12" s="106">
        <v>4</v>
      </c>
      <c r="S12" s="199">
        <v>88.79862857142858</v>
      </c>
      <c r="U12" s="199">
        <f t="shared" si="0"/>
        <v>1.7759725714285679</v>
      </c>
      <c r="V12" s="199">
        <v>87.022656000000012</v>
      </c>
    </row>
    <row r="13" spans="2:22">
      <c r="B13" s="108" t="s">
        <v>675</v>
      </c>
      <c r="C13" s="855"/>
      <c r="D13" s="122"/>
      <c r="E13" s="109">
        <f t="shared" ref="E13:O13" si="3">E12/Residentialaffordableaveragesize</f>
        <v>0</v>
      </c>
      <c r="F13" s="109">
        <f t="shared" si="3"/>
        <v>0</v>
      </c>
      <c r="G13" s="109">
        <f t="shared" si="3"/>
        <v>0</v>
      </c>
      <c r="H13" s="109">
        <f t="shared" si="3"/>
        <v>0</v>
      </c>
      <c r="I13" s="109">
        <f t="shared" si="3"/>
        <v>87.022656000000012</v>
      </c>
      <c r="J13" s="109">
        <f t="shared" si="3"/>
        <v>0</v>
      </c>
      <c r="K13" s="109">
        <f t="shared" si="3"/>
        <v>0</v>
      </c>
      <c r="L13" s="109">
        <f t="shared" si="3"/>
        <v>0</v>
      </c>
      <c r="M13" s="109">
        <f t="shared" si="3"/>
        <v>0</v>
      </c>
      <c r="N13" s="109">
        <f t="shared" si="3"/>
        <v>0</v>
      </c>
      <c r="O13" s="109">
        <f t="shared" si="3"/>
        <v>0</v>
      </c>
      <c r="R13" s="106">
        <v>5</v>
      </c>
      <c r="S13" s="199">
        <v>88.79862857142858</v>
      </c>
      <c r="U13" s="199">
        <f t="shared" si="0"/>
        <v>1.7759725714285679</v>
      </c>
      <c r="V13" s="199">
        <v>87.022656000000012</v>
      </c>
    </row>
    <row r="14" spans="2:22">
      <c r="B14" s="108" t="s">
        <v>676</v>
      </c>
      <c r="C14" s="855"/>
      <c r="D14" s="122"/>
      <c r="E14" s="109">
        <f t="shared" ref="E14:G14" si="4">E13/12</f>
        <v>0</v>
      </c>
      <c r="F14" s="109">
        <f t="shared" si="4"/>
        <v>0</v>
      </c>
      <c r="G14" s="109">
        <f t="shared" si="4"/>
        <v>0</v>
      </c>
      <c r="H14" s="109">
        <f>H13/12</f>
        <v>0</v>
      </c>
      <c r="I14" s="109">
        <f t="shared" ref="I14:O14" si="5">I13/12</f>
        <v>7.251888000000001</v>
      </c>
      <c r="J14" s="109">
        <f t="shared" si="5"/>
        <v>0</v>
      </c>
      <c r="K14" s="109">
        <f t="shared" si="5"/>
        <v>0</v>
      </c>
      <c r="L14" s="109">
        <f t="shared" si="5"/>
        <v>0</v>
      </c>
      <c r="M14" s="109">
        <f t="shared" si="5"/>
        <v>0</v>
      </c>
      <c r="N14" s="109">
        <f t="shared" si="5"/>
        <v>0</v>
      </c>
      <c r="O14" s="109">
        <f t="shared" si="5"/>
        <v>0</v>
      </c>
      <c r="R14" s="106">
        <v>6</v>
      </c>
      <c r="S14" s="199">
        <v>204.40949881714289</v>
      </c>
      <c r="U14" s="199">
        <f t="shared" si="0"/>
        <v>4.0881899763428748</v>
      </c>
      <c r="V14" s="199">
        <v>200.32130884080001</v>
      </c>
    </row>
    <row r="15" spans="2:22" ht="10.5">
      <c r="B15" s="108" t="s">
        <v>181</v>
      </c>
      <c r="C15" s="855"/>
      <c r="E15" s="109">
        <f>SUM($E12:E12)</f>
        <v>0</v>
      </c>
      <c r="F15" s="109">
        <f>SUM($E12:F12)</f>
        <v>0</v>
      </c>
      <c r="G15" s="109">
        <f>SUM($E12:G12)</f>
        <v>0</v>
      </c>
      <c r="H15" s="109">
        <f>SUM($E12:H12)</f>
        <v>0</v>
      </c>
      <c r="I15" s="109">
        <f>SUM($E12:I12)</f>
        <v>91373.788800000009</v>
      </c>
      <c r="J15" s="109">
        <f>SUM($E12:J12)</f>
        <v>91373.788800000009</v>
      </c>
      <c r="K15" s="109">
        <f>SUM($E12:K12)</f>
        <v>91373.788800000009</v>
      </c>
      <c r="L15" s="109">
        <f>SUM($E12:L12)</f>
        <v>91373.788800000009</v>
      </c>
      <c r="M15" s="109">
        <f>SUM($E12:M12)</f>
        <v>91373.788800000009</v>
      </c>
      <c r="N15" s="109">
        <f>SUM($E12:N12)</f>
        <v>91373.788800000009</v>
      </c>
      <c r="O15" s="109">
        <f>SUM($E12:O12)</f>
        <v>91373.788800000009</v>
      </c>
      <c r="Q15" s="39"/>
      <c r="R15" s="106">
        <v>7</v>
      </c>
      <c r="S15" s="199">
        <v>204.40949881714289</v>
      </c>
      <c r="U15" s="199">
        <f t="shared" si="0"/>
        <v>4.0881899763428748</v>
      </c>
      <c r="V15" s="199">
        <v>200.32130884080001</v>
      </c>
    </row>
    <row r="16" spans="2:22">
      <c r="C16" s="855"/>
      <c r="R16" s="106">
        <v>8</v>
      </c>
      <c r="S16" s="199">
        <v>263.76132738857149</v>
      </c>
      <c r="U16" s="199">
        <f t="shared" si="0"/>
        <v>5.2752265477714673</v>
      </c>
      <c r="V16" s="199">
        <v>258.48610084080002</v>
      </c>
    </row>
    <row r="17" spans="2:22">
      <c r="B17" s="108" t="s">
        <v>166</v>
      </c>
      <c r="C17" s="855"/>
      <c r="D17" s="111">
        <f>(ResidentialAffordablePSFrate*(1-$K5))+((ResidentialAffordablePSFrate*(1+premiumprices)*$K5))</f>
        <v>1.3682539682539683</v>
      </c>
      <c r="E17" s="112">
        <f t="shared" ref="E17:O17" si="6">E15*($D17*((1+Inflation)^(E$2-1)))*12</f>
        <v>0</v>
      </c>
      <c r="F17" s="112">
        <f t="shared" si="6"/>
        <v>0</v>
      </c>
      <c r="G17" s="112">
        <f t="shared" si="6"/>
        <v>0</v>
      </c>
      <c r="H17" s="112">
        <f t="shared" si="6"/>
        <v>0</v>
      </c>
      <c r="I17" s="112">
        <f t="shared" si="6"/>
        <v>1592099.1516784437</v>
      </c>
      <c r="J17" s="112">
        <f t="shared" si="6"/>
        <v>1623941.1347120125</v>
      </c>
      <c r="K17" s="112">
        <f t="shared" si="6"/>
        <v>1656419.9574062531</v>
      </c>
      <c r="L17" s="112">
        <f t="shared" si="6"/>
        <v>1689548.3565543778</v>
      </c>
      <c r="M17" s="112">
        <f t="shared" si="6"/>
        <v>1723339.3236854649</v>
      </c>
      <c r="N17" s="112">
        <f t="shared" si="6"/>
        <v>1757806.1101591745</v>
      </c>
      <c r="O17" s="112">
        <f t="shared" si="6"/>
        <v>1792962.2323623584</v>
      </c>
      <c r="R17" s="106">
        <v>9</v>
      </c>
      <c r="S17" s="199">
        <v>263.76132738857149</v>
      </c>
      <c r="U17" s="199">
        <f t="shared" si="0"/>
        <v>5.2752265477714673</v>
      </c>
      <c r="V17" s="199">
        <v>258.48610084080002</v>
      </c>
    </row>
    <row r="18" spans="2:22">
      <c r="B18" s="108" t="s">
        <v>123</v>
      </c>
      <c r="C18" s="855"/>
      <c r="D18" s="111">
        <f>INDEX(cockpit!$J$6:$Y$16,MATCH($D6,cockpit!$J$6:$J$16,0),MATCH($B18,cockpit!$J$6:$Y$6,0))</f>
        <v>6</v>
      </c>
      <c r="E18" s="113">
        <f t="shared" ref="E18:O18" si="7">-IF($D18&gt;1,E9*($D18*((1+Inflation)^(E$2-1))),E17*(1-$D18))</f>
        <v>0</v>
      </c>
      <c r="F18" s="113">
        <f t="shared" si="7"/>
        <v>0</v>
      </c>
      <c r="G18" s="113">
        <f t="shared" si="7"/>
        <v>0</v>
      </c>
      <c r="H18" s="113">
        <f t="shared" si="7"/>
        <v>0</v>
      </c>
      <c r="I18" s="113">
        <f t="shared" si="7"/>
        <v>-659636.70520320011</v>
      </c>
      <c r="J18" s="113">
        <f t="shared" si="7"/>
        <v>-672829.43930726405</v>
      </c>
      <c r="K18" s="113">
        <f t="shared" si="7"/>
        <v>-686286.02809340938</v>
      </c>
      <c r="L18" s="113">
        <f t="shared" si="7"/>
        <v>-700011.74865527754</v>
      </c>
      <c r="M18" s="113">
        <f t="shared" si="7"/>
        <v>-714011.98362838291</v>
      </c>
      <c r="N18" s="113">
        <f t="shared" si="7"/>
        <v>-728292.22330095072</v>
      </c>
      <c r="O18" s="113">
        <f t="shared" si="7"/>
        <v>-742858.06776696967</v>
      </c>
      <c r="R18" s="106">
        <v>10</v>
      </c>
      <c r="S18" s="199">
        <v>263.76132738857149</v>
      </c>
      <c r="U18" s="199">
        <f t="shared" si="0"/>
        <v>5.2752265477714673</v>
      </c>
      <c r="V18" s="199">
        <v>258.48610084080002</v>
      </c>
    </row>
    <row r="19" spans="2:22">
      <c r="B19" s="114" t="s">
        <v>167</v>
      </c>
      <c r="C19" s="855"/>
      <c r="E19" s="112">
        <f>SUM(E17:E18)</f>
        <v>0</v>
      </c>
      <c r="F19" s="112">
        <f t="shared" ref="F19:O19" si="8">SUM(F17:F18)</f>
        <v>0</v>
      </c>
      <c r="G19" s="112">
        <f t="shared" si="8"/>
        <v>0</v>
      </c>
      <c r="H19" s="112">
        <f t="shared" si="8"/>
        <v>0</v>
      </c>
      <c r="I19" s="112">
        <f t="shared" si="8"/>
        <v>932462.44647524355</v>
      </c>
      <c r="J19" s="112">
        <f t="shared" si="8"/>
        <v>951111.69540474843</v>
      </c>
      <c r="K19" s="112">
        <f t="shared" si="8"/>
        <v>970133.92931284371</v>
      </c>
      <c r="L19" s="112">
        <f t="shared" si="8"/>
        <v>989536.60789910029</v>
      </c>
      <c r="M19" s="112">
        <f t="shared" si="8"/>
        <v>1009327.340057082</v>
      </c>
      <c r="N19" s="112">
        <f t="shared" si="8"/>
        <v>1029513.8868582238</v>
      </c>
      <c r="O19" s="112">
        <f t="shared" si="8"/>
        <v>1050104.1645953888</v>
      </c>
      <c r="S19" s="199"/>
      <c r="T19" s="199"/>
    </row>
    <row r="20" spans="2:22">
      <c r="C20" s="855"/>
      <c r="E20" s="187">
        <f>IFERROR(E19/E17,0)</f>
        <v>0</v>
      </c>
      <c r="F20" s="187">
        <f t="shared" ref="F20:O20" si="9">IFERROR(F19/F17,0)</f>
        <v>0</v>
      </c>
      <c r="G20" s="187">
        <f t="shared" si="9"/>
        <v>0</v>
      </c>
      <c r="H20" s="187">
        <f t="shared" si="9"/>
        <v>0</v>
      </c>
      <c r="I20" s="187">
        <f t="shared" si="9"/>
        <v>0.5856811402055021</v>
      </c>
      <c r="J20" s="187">
        <f t="shared" si="9"/>
        <v>0.5856811402055021</v>
      </c>
      <c r="K20" s="187">
        <f t="shared" si="9"/>
        <v>0.58568114020550222</v>
      </c>
      <c r="L20" s="187">
        <f t="shared" si="9"/>
        <v>0.5856811402055021</v>
      </c>
      <c r="M20" s="187">
        <f t="shared" si="9"/>
        <v>0.5856811402055021</v>
      </c>
      <c r="N20" s="187">
        <f t="shared" si="9"/>
        <v>0.5856811402055021</v>
      </c>
      <c r="O20" s="187">
        <f t="shared" si="9"/>
        <v>0.58568114020550233</v>
      </c>
    </row>
    <row r="21" spans="2:22">
      <c r="B21" s="108" t="s">
        <v>168</v>
      </c>
      <c r="C21" s="855"/>
      <c r="D21" s="115">
        <f>INDEX(cockpit!$J$6:$Y$16,MATCH($D6,cockpit!$J$6:$J$16,0),MATCH($B21,cockpit!$J$6:$Y$6,0))</f>
        <v>0.05</v>
      </c>
      <c r="E21" s="112">
        <f>-E10*$D21</f>
        <v>0</v>
      </c>
      <c r="F21" s="112">
        <f t="shared" ref="F21:O21" si="10">-F10*$D21</f>
        <v>0</v>
      </c>
      <c r="G21" s="112">
        <f t="shared" si="10"/>
        <v>0</v>
      </c>
      <c r="H21" s="112">
        <f t="shared" si="10"/>
        <v>0</v>
      </c>
      <c r="I21" s="112">
        <f t="shared" si="10"/>
        <v>-4661.9280000000008</v>
      </c>
      <c r="J21" s="112">
        <f t="shared" si="10"/>
        <v>-4661.9280000000008</v>
      </c>
      <c r="K21" s="112">
        <f t="shared" si="10"/>
        <v>-4661.9280000000008</v>
      </c>
      <c r="L21" s="112">
        <f t="shared" si="10"/>
        <v>-4661.9280000000008</v>
      </c>
      <c r="M21" s="112">
        <f t="shared" si="10"/>
        <v>-4661.9280000000008</v>
      </c>
      <c r="N21" s="112">
        <f t="shared" si="10"/>
        <v>-4661.9280000000008</v>
      </c>
      <c r="O21" s="112">
        <f t="shared" si="10"/>
        <v>-4661.9280000000008</v>
      </c>
    </row>
    <row r="22" spans="2:22">
      <c r="B22" s="108" t="s">
        <v>162</v>
      </c>
      <c r="C22" s="855"/>
      <c r="D22" s="115">
        <f>INDEX(cockpit!$J$6:$Y$16,MATCH($D6,cockpit!$J$6:$J$16,0),MATCH($B22,cockpit!$J$6:$Y$6,0))</f>
        <v>0</v>
      </c>
      <c r="E22" s="113">
        <f>-E15*$D22</f>
        <v>0</v>
      </c>
      <c r="F22" s="113">
        <f t="shared" ref="F22:O22" si="11">-F15*$D22</f>
        <v>0</v>
      </c>
      <c r="G22" s="113">
        <f t="shared" si="11"/>
        <v>0</v>
      </c>
      <c r="H22" s="113">
        <f t="shared" si="11"/>
        <v>0</v>
      </c>
      <c r="I22" s="113">
        <f t="shared" si="11"/>
        <v>0</v>
      </c>
      <c r="J22" s="113">
        <f t="shared" si="11"/>
        <v>0</v>
      </c>
      <c r="K22" s="113">
        <f t="shared" si="11"/>
        <v>0</v>
      </c>
      <c r="L22" s="113">
        <f t="shared" si="11"/>
        <v>0</v>
      </c>
      <c r="M22" s="113">
        <f t="shared" si="11"/>
        <v>0</v>
      </c>
      <c r="N22" s="113">
        <f t="shared" si="11"/>
        <v>0</v>
      </c>
      <c r="O22" s="113">
        <f t="shared" si="11"/>
        <v>0</v>
      </c>
    </row>
    <row r="23" spans="2:22">
      <c r="B23" s="114" t="s">
        <v>195</v>
      </c>
      <c r="C23" s="855"/>
      <c r="D23" s="115"/>
      <c r="E23" s="112">
        <f>SUM(E21:E22)</f>
        <v>0</v>
      </c>
      <c r="F23" s="112">
        <f t="shared" ref="F23:O23" si="12">SUM(F21:F22)</f>
        <v>0</v>
      </c>
      <c r="G23" s="112">
        <f t="shared" si="12"/>
        <v>0</v>
      </c>
      <c r="H23" s="112">
        <f t="shared" si="12"/>
        <v>0</v>
      </c>
      <c r="I23" s="112">
        <f t="shared" si="12"/>
        <v>-4661.9280000000008</v>
      </c>
      <c r="J23" s="112">
        <f t="shared" si="12"/>
        <v>-4661.9280000000008</v>
      </c>
      <c r="K23" s="112">
        <f t="shared" si="12"/>
        <v>-4661.9280000000008</v>
      </c>
      <c r="L23" s="112">
        <f t="shared" si="12"/>
        <v>-4661.9280000000008</v>
      </c>
      <c r="M23" s="112">
        <f t="shared" si="12"/>
        <v>-4661.9280000000008</v>
      </c>
      <c r="N23" s="112">
        <f t="shared" si="12"/>
        <v>-4661.9280000000008</v>
      </c>
      <c r="O23" s="112">
        <f t="shared" si="12"/>
        <v>-4661.9280000000008</v>
      </c>
    </row>
    <row r="24" spans="2:22">
      <c r="B24" s="108"/>
      <c r="C24" s="855"/>
    </row>
    <row r="25" spans="2:22">
      <c r="B25" s="108" t="s">
        <v>170</v>
      </c>
      <c r="C25" s="855"/>
      <c r="D25" s="111">
        <f>(ResidentialaffordablecostPSF*(1-$K5))+((ResidentialaffordablecostPSF*(1+premiumprices)*$K5))</f>
        <v>135</v>
      </c>
      <c r="E25" s="112">
        <f>-IF(OR(E$2=$H5,E$2=$H6,AND(E$2&gt;$H5,E$2&lt;$H6)),(INDEX(summary!$A$2:$D$24,MATCH($D6,summary!$A$2:$A$24,0),MATCH($D5,summary!$A$2:$D$2,0)))/constructiontimephase1)*($D25*((1+Inflation)^(E$2-1)))*(1+Developerfee)</f>
        <v>0</v>
      </c>
      <c r="F25" s="112">
        <f>-IF(OR(F$2=$H5,F$2=$H6,AND(F$2&gt;$H5,F$2&lt;$H6)),(INDEX(summary!$A$2:$D$24,MATCH($D6,summary!$A$2:$A$24,0),MATCH($D5,summary!$A$2:$D$2,0)))/constructiontimephase1)*($D25*((1+Inflation)^(F$2-1)))*(1+Developerfee)</f>
        <v>-4801785.84</v>
      </c>
      <c r="G25" s="112">
        <f>-IF(OR(G$2=$H5,G$2=$H6,AND(G$2&gt;$H5,G$2&lt;$H6)),(INDEX(summary!$A$2:$D$24,MATCH($D6,summary!$A$2:$A$24,0),MATCH($D5,summary!$A$2:$D$2,0)))/constructiontimephase1)*($D25*((1+Inflation)^(G$2-1)))*(1+Developerfee)</f>
        <v>-4897821.5567999994</v>
      </c>
      <c r="H25" s="112">
        <f>-IF(OR(H$2=$H5,H$2=$H6,AND(H$2&gt;$H5,H$2&lt;$H6)),(INDEX(summary!$A$2:$D$24,MATCH($D6,summary!$A$2:$A$24,0),MATCH($D5,summary!$A$2:$D$2,0)))/constructiontimephase1)*($D25*((1+Inflation)^(H$2-1)))*(1+Developerfee)</f>
        <v>-4995777.9879360003</v>
      </c>
      <c r="I25" s="112">
        <f>-IF(OR(I$2=$H5,I$2=$H6,AND(I$2&gt;$H5,I$2&lt;$H6)),(INDEX(summary!$A$2:$D$24,MATCH($D6,summary!$A$2:$A$24,0),MATCH($D5,summary!$A$2:$D$2,0)))/constructiontimephase1)*($D25*((1+Inflation)^(I$2-1)))*(1+Developerfee)</f>
        <v>0</v>
      </c>
      <c r="J25" s="112">
        <f>-IF(OR(J$2=$H5,J$2=$H6,AND(J$2&gt;$H5,J$2&lt;$H6)),(INDEX(summary!$A$2:$D$24,MATCH($D6,summary!$A$2:$A$24,0),MATCH($D5,summary!$A$2:$D$2,0)))/constructiontimephase1)*($D25*((1+Inflation)^(J$2-1)))*(1+Developerfee)</f>
        <v>0</v>
      </c>
      <c r="K25" s="112">
        <f>-IF(OR(K$2=$H5,K$2=$H6,AND(K$2&gt;$H5,K$2&lt;$H6)),(INDEX(summary!$A$2:$D$24,MATCH($D6,summary!$A$2:$A$24,0),MATCH($D5,summary!$A$2:$D$2,0)))/constructiontimephase1)*($D25*((1+Inflation)^(K$2-1)))*(1+Developerfee)</f>
        <v>0</v>
      </c>
      <c r="L25" s="112">
        <f>-IF(OR(L$2=$H5,L$2=$H6,AND(L$2&gt;$H5,L$2&lt;$H6)),(INDEX(summary!$A$2:$D$24,MATCH($D6,summary!$A$2:$A$24,0),MATCH($D5,summary!$A$2:$D$2,0)))/constructiontimephase1)*($D25*((1+Inflation)^(L$2-1)))*(1+Developerfee)</f>
        <v>0</v>
      </c>
      <c r="M25" s="112">
        <f>-IF(OR(M$2=$H5,M$2=$H6,AND(M$2&gt;$H5,M$2&lt;$H6)),(INDEX(summary!$A$2:$D$24,MATCH($D6,summary!$A$2:$A$24,0),MATCH($D5,summary!$A$2:$D$2,0)))/constructiontimephase1)*($D25*((1+Inflation)^(M$2-1)))*(1+Developerfee)</f>
        <v>0</v>
      </c>
      <c r="N25" s="112">
        <f>-IF(OR(N$2=$H5,N$2=$H6,AND(N$2&gt;$H5,N$2&lt;$H6)),(INDEX(summary!$A$2:$D$24,MATCH($D6,summary!$A$2:$A$24,0),MATCH($D5,summary!$A$2:$D$2,0)))/constructiontimephase1)*($D25*((1+Inflation)^(N$2-1)))*(1+Developerfee)</f>
        <v>0</v>
      </c>
      <c r="O25" s="112">
        <f>-IF(OR(O$2=$H5,O$2=$H6,AND(O$2&gt;$H5,O$2&lt;$H6)),(INDEX(summary!$A$2:$D$24,MATCH($D6,summary!$A$2:$A$24,0),MATCH($D5,summary!$A$2:$D$2,0)))/constructiontimephase1)*($D25*((1+Inflation)^(O$2-1)))*(1+Developerfee)</f>
        <v>0</v>
      </c>
    </row>
    <row r="26" spans="2:22">
      <c r="B26" s="108" t="s">
        <v>197</v>
      </c>
      <c r="C26" s="855" t="s">
        <v>189</v>
      </c>
      <c r="D26" s="122">
        <f>(INDEX(cockpit!$J$6:$Y$16,MATCH($D6,cockpit!$J$6:$J$16,0),MATCH($C26,cockpit!$J$6:$Y$6,0))*(1-$K5))+((INDEX(cockpit!$J$6:$Y$16,MATCH($D6,cockpit!$J$6:$J$16,0),MATCH($C26,cockpit!$J$6:$Y$6,0))-(Premiumexitcaprate))*$K5)</f>
        <v>6.5000000000000002E-2</v>
      </c>
      <c r="E26" s="113">
        <f t="shared" ref="E26:O26" si="13">IF(E$2=dispositionyear,E19/$D26,0)*(1-Closingcosts)</f>
        <v>0</v>
      </c>
      <c r="F26" s="113">
        <f t="shared" si="13"/>
        <v>0</v>
      </c>
      <c r="G26" s="113">
        <f t="shared" si="13"/>
        <v>0</v>
      </c>
      <c r="H26" s="113">
        <f t="shared" si="13"/>
        <v>0</v>
      </c>
      <c r="I26" s="113">
        <f t="shared" si="13"/>
        <v>0</v>
      </c>
      <c r="J26" s="113">
        <f t="shared" si="13"/>
        <v>0</v>
      </c>
      <c r="K26" s="113">
        <f t="shared" si="13"/>
        <v>0</v>
      </c>
      <c r="L26" s="113">
        <f t="shared" si="13"/>
        <v>0</v>
      </c>
      <c r="M26" s="113">
        <f t="shared" si="13"/>
        <v>0</v>
      </c>
      <c r="N26" s="113">
        <f t="shared" si="13"/>
        <v>0</v>
      </c>
      <c r="O26" s="113">
        <f t="shared" si="13"/>
        <v>15751562.468930831</v>
      </c>
    </row>
    <row r="27" spans="2:22">
      <c r="B27" s="114" t="s">
        <v>196</v>
      </c>
      <c r="C27" s="855"/>
      <c r="D27" s="110"/>
      <c r="E27" s="112">
        <f>SUM(E25:E26)</f>
        <v>0</v>
      </c>
      <c r="F27" s="112">
        <f t="shared" ref="F27:O27" si="14">SUM(F25:F26)</f>
        <v>-4801785.84</v>
      </c>
      <c r="G27" s="112">
        <f t="shared" si="14"/>
        <v>-4897821.5567999994</v>
      </c>
      <c r="H27" s="112">
        <f t="shared" si="14"/>
        <v>-4995777.9879360003</v>
      </c>
      <c r="I27" s="112">
        <f t="shared" si="14"/>
        <v>0</v>
      </c>
      <c r="J27" s="112">
        <f t="shared" si="14"/>
        <v>0</v>
      </c>
      <c r="K27" s="112">
        <f t="shared" si="14"/>
        <v>0</v>
      </c>
      <c r="L27" s="112">
        <f t="shared" si="14"/>
        <v>0</v>
      </c>
      <c r="M27" s="112">
        <f t="shared" si="14"/>
        <v>0</v>
      </c>
      <c r="N27" s="112">
        <f t="shared" si="14"/>
        <v>0</v>
      </c>
      <c r="O27" s="112">
        <f t="shared" si="14"/>
        <v>15751562.468930831</v>
      </c>
    </row>
    <row r="28" spans="2:22">
      <c r="B28" s="108"/>
      <c r="C28" s="855"/>
      <c r="D28" s="110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</row>
    <row r="29" spans="2:22">
      <c r="B29" s="114" t="s">
        <v>169</v>
      </c>
      <c r="C29" s="856"/>
      <c r="D29" s="116">
        <f ca="1">IRR(OFFSET(E29,0,0,1,Investmenthorizon+1))</f>
        <v>6.3589398423332222E-2</v>
      </c>
      <c r="E29" s="117">
        <f>SUM(E19,E23,E27)</f>
        <v>0</v>
      </c>
      <c r="F29" s="117">
        <f t="shared" ref="F29:O29" si="15">SUM(F19,F23,F27)</f>
        <v>-4801785.84</v>
      </c>
      <c r="G29" s="117">
        <f t="shared" si="15"/>
        <v>-4897821.5567999994</v>
      </c>
      <c r="H29" s="117">
        <f t="shared" si="15"/>
        <v>-4995777.9879360003</v>
      </c>
      <c r="I29" s="117">
        <f t="shared" si="15"/>
        <v>927800.51847524359</v>
      </c>
      <c r="J29" s="117">
        <f t="shared" si="15"/>
        <v>946449.76740474848</v>
      </c>
      <c r="K29" s="117">
        <f t="shared" si="15"/>
        <v>965472.00131284376</v>
      </c>
      <c r="L29" s="117">
        <f t="shared" si="15"/>
        <v>984874.67989910033</v>
      </c>
      <c r="M29" s="117">
        <f t="shared" si="15"/>
        <v>1004665.4120570821</v>
      </c>
      <c r="N29" s="117">
        <f t="shared" si="15"/>
        <v>1024851.9588582239</v>
      </c>
      <c r="O29" s="117">
        <f t="shared" si="15"/>
        <v>16797004.705526222</v>
      </c>
    </row>
    <row r="30" spans="2:22" ht="10" thickBot="1">
      <c r="D30" s="356"/>
    </row>
    <row r="31" spans="2:22">
      <c r="B31" s="123" t="s">
        <v>198</v>
      </c>
      <c r="C31" s="124"/>
      <c r="D31" s="124"/>
      <c r="E31" s="134"/>
      <c r="F31" s="135"/>
      <c r="G31" s="135"/>
      <c r="H31" s="135"/>
      <c r="I31" s="135"/>
      <c r="J31" s="135"/>
      <c r="K31" s="125"/>
      <c r="L31" s="107"/>
      <c r="M31" s="107"/>
      <c r="N31" s="107"/>
      <c r="O31" s="107"/>
    </row>
    <row r="32" spans="2:22">
      <c r="B32" s="126" t="s">
        <v>89</v>
      </c>
      <c r="D32" s="133">
        <f>Phase2</f>
        <v>2</v>
      </c>
      <c r="G32" s="107" t="s">
        <v>204</v>
      </c>
      <c r="H32" s="133">
        <f>Phase2begin</f>
        <v>4</v>
      </c>
      <c r="J32" s="107" t="s">
        <v>201</v>
      </c>
      <c r="K32" s="136">
        <f>summary!AH14</f>
        <v>0</v>
      </c>
    </row>
    <row r="33" spans="2:15">
      <c r="B33" s="126" t="s">
        <v>93</v>
      </c>
      <c r="D33" s="130" t="s">
        <v>140</v>
      </c>
      <c r="G33" s="107" t="s">
        <v>205</v>
      </c>
      <c r="H33" s="133">
        <f>Phase2end</f>
        <v>5</v>
      </c>
      <c r="K33" s="127"/>
    </row>
    <row r="34" spans="2:15" ht="10" thickBot="1">
      <c r="B34" s="137"/>
      <c r="C34" s="852"/>
      <c r="D34" s="138"/>
      <c r="E34" s="138"/>
      <c r="F34" s="138"/>
      <c r="G34" s="129" t="s">
        <v>199</v>
      </c>
      <c r="H34" s="131">
        <f>Phase2open</f>
        <v>6</v>
      </c>
      <c r="I34" s="138"/>
      <c r="J34" s="138"/>
      <c r="K34" s="128"/>
    </row>
    <row r="35" spans="2:15">
      <c r="C35" s="853"/>
    </row>
    <row r="36" spans="2:15">
      <c r="B36" s="108" t="s">
        <v>182</v>
      </c>
      <c r="C36" s="854"/>
      <c r="E36" s="109">
        <f>IF(OR(E$2=$H34,E$2&gt;$H34),INDEX(summary!$A$2:$D$24,MATCH($D33,summary!$A$2:$A$24,0),MATCH($D32,summary!$A$2:$D$2,0)),0)</f>
        <v>0</v>
      </c>
      <c r="F36" s="109">
        <f>IF(OR(F$2=$H34,F$2&gt;$H34),INDEX(summary!$A$2:$D$24,MATCH($D33,summary!$A$2:$A$24,0),MATCH($D32,summary!$A$2:$D$2,0)),0)</f>
        <v>0</v>
      </c>
      <c r="G36" s="109">
        <f>IF(OR(G$2=$H34,G$2&gt;$H34),INDEX(summary!$A$2:$D$24,MATCH($D33,summary!$A$2:$A$24,0),MATCH($D32,summary!$A$2:$D$2,0)),0)</f>
        <v>0</v>
      </c>
      <c r="H36" s="109">
        <f>IF(OR(H$2=$H34,H$2&gt;$H34),INDEX(summary!$A$2:$D$24,MATCH($D33,summary!$A$2:$A$24,0),MATCH($D32,summary!$A$2:$D$2,0)),0)</f>
        <v>0</v>
      </c>
      <c r="I36" s="109">
        <f>IF(OR(I$2=$H34,I$2&gt;$H34),INDEX(summary!$A$2:$D$24,MATCH($D33,summary!$A$2:$A$24,0),MATCH($D32,summary!$A$2:$D$2,0)),0)</f>
        <v>0</v>
      </c>
      <c r="J36" s="109">
        <f>IF(OR(J$2=$H34,J$2&gt;$H34),INDEX(summary!$A$2:$D$24,MATCH($D33,summary!$A$2:$A$24,0),MATCH($D32,summary!$A$2:$D$2,0)),0)</f>
        <v>0</v>
      </c>
      <c r="K36" s="109">
        <f>IF(OR(K$2=$H34,K$2&gt;$H34),INDEX(summary!$A$2:$D$24,MATCH($D33,summary!$A$2:$A$24,0),MATCH($D32,summary!$A$2:$D$2,0)),0)</f>
        <v>134879.34862</v>
      </c>
      <c r="L36" s="109">
        <f>IF(OR(L$2=$H34,L$2&gt;$H34),INDEX(summary!$A$2:$D$24,MATCH($D33,summary!$A$2:$A$24,0),MATCH($D32,summary!$A$2:$D$2,0)),0)</f>
        <v>134879.34862</v>
      </c>
      <c r="M36" s="109">
        <f>IF(OR(M$2=$H34,M$2&gt;$H34),INDEX(summary!$A$2:$D$24,MATCH($D33,summary!$A$2:$A$24,0),MATCH($D32,summary!$A$2:$D$2,0)),0)</f>
        <v>134879.34862</v>
      </c>
      <c r="N36" s="109">
        <f>IF(OR(N$2=$H34,N$2&gt;$H34),INDEX(summary!$A$2:$D$24,MATCH($D33,summary!$A$2:$A$24,0),MATCH($D32,summary!$A$2:$D$2,0)),0)</f>
        <v>134879.34862</v>
      </c>
      <c r="O36" s="109">
        <f>IF(OR(O$2=$H34,O$2&gt;$H34),INDEX(summary!$A$2:$D$24,MATCH($D33,summary!$A$2:$A$24,0),MATCH($D32,summary!$A$2:$D$2,0)),0)</f>
        <v>134879.34862</v>
      </c>
    </row>
    <row r="37" spans="2:15" ht="8.5" customHeight="1">
      <c r="B37" s="108" t="s">
        <v>194</v>
      </c>
      <c r="C37" s="855" t="s">
        <v>191</v>
      </c>
      <c r="D37" s="110">
        <f>INDEX(cockpit!$J$6:$Y$16,MATCH($D33,cockpit!$J$6:$J$16,0),MATCH($C$10,cockpit!$J$6:$Y$6,0))</f>
        <v>0.1</v>
      </c>
      <c r="E37" s="109">
        <f>E36*(1-$D37)</f>
        <v>0</v>
      </c>
      <c r="F37" s="109">
        <f t="shared" ref="F37:O37" si="16">F36*(1-$D37)</f>
        <v>0</v>
      </c>
      <c r="G37" s="109">
        <f t="shared" si="16"/>
        <v>0</v>
      </c>
      <c r="H37" s="109">
        <f t="shared" si="16"/>
        <v>0</v>
      </c>
      <c r="I37" s="109">
        <f t="shared" si="16"/>
        <v>0</v>
      </c>
      <c r="J37" s="109">
        <f t="shared" si="16"/>
        <v>0</v>
      </c>
      <c r="K37" s="109">
        <f t="shared" si="16"/>
        <v>121391.41375800001</v>
      </c>
      <c r="L37" s="109">
        <f t="shared" si="16"/>
        <v>121391.41375800001</v>
      </c>
      <c r="M37" s="109">
        <f t="shared" si="16"/>
        <v>121391.41375800001</v>
      </c>
      <c r="N37" s="109">
        <f t="shared" si="16"/>
        <v>121391.41375800001</v>
      </c>
      <c r="O37" s="109">
        <f t="shared" si="16"/>
        <v>121391.41375800001</v>
      </c>
    </row>
    <row r="38" spans="2:15" ht="8.5" customHeight="1">
      <c r="B38" s="108" t="s">
        <v>774</v>
      </c>
      <c r="C38" s="855"/>
      <c r="D38" s="110"/>
      <c r="E38" s="109">
        <f t="shared" ref="E38:O38" si="17">E37/Residentialaffordableaveragesize</f>
        <v>0</v>
      </c>
      <c r="F38" s="109">
        <f t="shared" si="17"/>
        <v>0</v>
      </c>
      <c r="G38" s="109">
        <f t="shared" si="17"/>
        <v>0</v>
      </c>
      <c r="H38" s="109">
        <f t="shared" si="17"/>
        <v>0</v>
      </c>
      <c r="I38" s="109">
        <f t="shared" si="17"/>
        <v>0</v>
      </c>
      <c r="J38" s="109">
        <f t="shared" si="17"/>
        <v>0</v>
      </c>
      <c r="K38" s="109">
        <f t="shared" si="17"/>
        <v>115.6108702457143</v>
      </c>
      <c r="L38" s="109">
        <f t="shared" si="17"/>
        <v>115.6108702457143</v>
      </c>
      <c r="M38" s="109">
        <f t="shared" si="17"/>
        <v>115.6108702457143</v>
      </c>
      <c r="N38" s="109">
        <f t="shared" si="17"/>
        <v>115.6108702457143</v>
      </c>
      <c r="O38" s="109">
        <f t="shared" si="17"/>
        <v>115.6108702457143</v>
      </c>
    </row>
    <row r="39" spans="2:15">
      <c r="B39" s="108" t="s">
        <v>674</v>
      </c>
      <c r="C39" s="855" t="s">
        <v>152</v>
      </c>
      <c r="D39" s="122">
        <f>ResidentialAffordablerampup</f>
        <v>0.98</v>
      </c>
      <c r="E39" s="109">
        <f>IF(OR(E$2=$H34,AND(E$2&gt;$H34,E$2&lt;(SUM($H34,INDEX(cockpit!$J$6:$Y$16,MATCH($D33,cockpit!$J$6:$J$16,0),MATCH($C$12,cockpit!$J$6:$Y$6,0)))))),E37*$D39,0)</f>
        <v>0</v>
      </c>
      <c r="F39" s="109">
        <f>IF(OR(F$2=$H34,AND(F$2&gt;$H34,F$2&lt;(SUM($H34,INDEX(cockpit!$J$6:$Y$16,MATCH($D33,cockpit!$J$6:$J$16,0),MATCH($C$12,cockpit!$J$6:$Y$6,0)))))),F37*$D39,0)</f>
        <v>0</v>
      </c>
      <c r="G39" s="109">
        <f>IF(OR(G$2=$H34,AND(G$2&gt;$H34,G$2&lt;(SUM($H34,INDEX(cockpit!$J$6:$Y$16,MATCH($D33,cockpit!$J$6:$J$16,0),MATCH($C$12,cockpit!$J$6:$Y$6,0)))))),G37*$D39,0)</f>
        <v>0</v>
      </c>
      <c r="H39" s="109">
        <f>IF(OR(H$2=$H34,AND(H$2&gt;$H34,H$2&lt;(SUM($H34,INDEX(cockpit!$J$6:$Y$16,MATCH($D33,cockpit!$J$6:$J$16,0),MATCH($C$12,cockpit!$J$6:$Y$6,0)))))),H37*$D39,0)</f>
        <v>0</v>
      </c>
      <c r="I39" s="109">
        <f>IF(OR(I$2=$H34,AND(I$2&gt;$H34,I$2&lt;(SUM($H34,INDEX(cockpit!$J$6:$Y$16,MATCH($D33,cockpit!$J$6:$J$16,0),MATCH($C$12,cockpit!$J$6:$Y$6,0)))))),I37*$D39,0)</f>
        <v>0</v>
      </c>
      <c r="J39" s="109">
        <f>IF(OR(J$2=$H34,AND(J$2&gt;$H34,J$2&lt;(SUM($H34,INDEX(cockpit!$J$6:$Y$16,MATCH($D33,cockpit!$J$6:$J$16,0),MATCH($C$12,cockpit!$J$6:$Y$6,0)))))),J37*$D39,0)</f>
        <v>0</v>
      </c>
      <c r="K39" s="109">
        <f>IF(OR(K$2=$H34,AND(K$2&gt;$H34,K$2&lt;(SUM($H34,INDEX(cockpit!$J$6:$Y$16,MATCH($D33,cockpit!$J$6:$J$16,0),MATCH($C$12,cockpit!$J$6:$Y$6,0)))))),K37*$D39,0)</f>
        <v>118963.58548284</v>
      </c>
      <c r="L39" s="109">
        <f>IF(OR(L$2=$H34,AND(L$2&gt;$H34,L$2&lt;(SUM($H34,INDEX(cockpit!$J$6:$Y$16,MATCH($D33,cockpit!$J$6:$J$16,0),MATCH($C$12,cockpit!$J$6:$Y$6,0)))))),L37*$D39,0)</f>
        <v>0</v>
      </c>
      <c r="M39" s="109">
        <f>IF(OR(M$2=$H34,AND(M$2&gt;$H34,M$2&lt;(SUM($H34,INDEX(cockpit!$J$6:$Y$16,MATCH($D33,cockpit!$J$6:$J$16,0),MATCH($C$12,cockpit!$J$6:$Y$6,0)))))),M37*$D39,0)</f>
        <v>0</v>
      </c>
      <c r="N39" s="109">
        <f>IF(OR(N$2=$H34,AND(N$2&gt;$H34,N$2&lt;(SUM($H34,INDEX(cockpit!$J$6:$Y$16,MATCH($D33,cockpit!$J$6:$J$16,0),MATCH($C$12,cockpit!$J$6:$Y$6,0)))))),N37*$D39,0)</f>
        <v>0</v>
      </c>
      <c r="O39" s="109">
        <f>IF(OR(O$2=$H34,AND(O$2&gt;$H34,O$2&lt;(SUM($H34,INDEX(cockpit!$J$6:$Y$16,MATCH($D33,cockpit!$J$6:$J$16,0),MATCH($C$12,cockpit!$J$6:$Y$6,0)))))),O37*$D39,0)</f>
        <v>0</v>
      </c>
    </row>
    <row r="40" spans="2:15">
      <c r="B40" s="108" t="s">
        <v>675</v>
      </c>
      <c r="C40" s="855"/>
      <c r="D40" s="122"/>
      <c r="E40" s="109">
        <f t="shared" ref="E40:O40" si="18">E39/Residentialaffordableaveragesize</f>
        <v>0</v>
      </c>
      <c r="F40" s="109">
        <f t="shared" si="18"/>
        <v>0</v>
      </c>
      <c r="G40" s="109">
        <f t="shared" si="18"/>
        <v>0</v>
      </c>
      <c r="H40" s="109">
        <f t="shared" si="18"/>
        <v>0</v>
      </c>
      <c r="I40" s="109">
        <f t="shared" si="18"/>
        <v>0</v>
      </c>
      <c r="J40" s="109">
        <f t="shared" si="18"/>
        <v>0</v>
      </c>
      <c r="K40" s="109">
        <f t="shared" si="18"/>
        <v>113.2986528408</v>
      </c>
      <c r="L40" s="109">
        <f t="shared" si="18"/>
        <v>0</v>
      </c>
      <c r="M40" s="109">
        <f t="shared" si="18"/>
        <v>0</v>
      </c>
      <c r="N40" s="109">
        <f t="shared" si="18"/>
        <v>0</v>
      </c>
      <c r="O40" s="109">
        <f t="shared" si="18"/>
        <v>0</v>
      </c>
    </row>
    <row r="41" spans="2:15">
      <c r="B41" s="108" t="s">
        <v>676</v>
      </c>
      <c r="C41" s="855"/>
      <c r="D41" s="122"/>
      <c r="E41" s="109">
        <f t="shared" ref="E41" si="19">E40/12</f>
        <v>0</v>
      </c>
      <c r="F41" s="109">
        <f t="shared" ref="F41" si="20">F40/12</f>
        <v>0</v>
      </c>
      <c r="G41" s="109">
        <f t="shared" ref="G41" si="21">G40/12</f>
        <v>0</v>
      </c>
      <c r="H41" s="109">
        <f>H40/12</f>
        <v>0</v>
      </c>
      <c r="I41" s="109">
        <f t="shared" ref="I41" si="22">I40/12</f>
        <v>0</v>
      </c>
      <c r="J41" s="109">
        <f t="shared" ref="J41" si="23">J40/12</f>
        <v>0</v>
      </c>
      <c r="K41" s="109">
        <f t="shared" ref="K41" si="24">K40/12</f>
        <v>9.4415544033999996</v>
      </c>
      <c r="L41" s="109">
        <f t="shared" ref="L41" si="25">L40/12</f>
        <v>0</v>
      </c>
      <c r="M41" s="109">
        <f t="shared" ref="M41" si="26">M40/12</f>
        <v>0</v>
      </c>
      <c r="N41" s="109">
        <f t="shared" ref="N41" si="27">N40/12</f>
        <v>0</v>
      </c>
      <c r="O41" s="109">
        <f t="shared" ref="O41" si="28">O40/12</f>
        <v>0</v>
      </c>
    </row>
    <row r="42" spans="2:15">
      <c r="B42" s="108" t="s">
        <v>181</v>
      </c>
      <c r="C42" s="855"/>
      <c r="E42" s="109">
        <f>SUM($E39:E39)</f>
        <v>0</v>
      </c>
      <c r="F42" s="109">
        <f>SUM($E39:F39)</f>
        <v>0</v>
      </c>
      <c r="G42" s="109">
        <f>SUM($E39:G39)</f>
        <v>0</v>
      </c>
      <c r="H42" s="109">
        <f>SUM($E39:H39)</f>
        <v>0</v>
      </c>
      <c r="I42" s="109">
        <f>SUM($E39:I39)</f>
        <v>0</v>
      </c>
      <c r="J42" s="109">
        <f>SUM($E39:J39)</f>
        <v>0</v>
      </c>
      <c r="K42" s="109">
        <f>SUM($E39:K39)</f>
        <v>118963.58548284</v>
      </c>
      <c r="L42" s="109">
        <f>SUM($E39:L39)</f>
        <v>118963.58548284</v>
      </c>
      <c r="M42" s="109">
        <f>SUM($E39:M39)</f>
        <v>118963.58548284</v>
      </c>
      <c r="N42" s="109">
        <f>SUM($E39:N39)</f>
        <v>118963.58548284</v>
      </c>
      <c r="O42" s="109">
        <f>SUM($E39:O39)</f>
        <v>118963.58548284</v>
      </c>
    </row>
    <row r="43" spans="2:15">
      <c r="C43" s="855"/>
    </row>
    <row r="44" spans="2:15">
      <c r="B44" s="108" t="s">
        <v>166</v>
      </c>
      <c r="C44" s="855"/>
      <c r="D44" s="111">
        <f>(ResidentialAffordablePSFrate*(1-$K32))+((ResidentialAffordablePSFrate*(1+premiumprices)*$K32))</f>
        <v>1.3682539682539683</v>
      </c>
      <c r="E44" s="112">
        <f t="shared" ref="E44:O44" si="29">E42*($D44*((1+Inflation)^(E$2-1)))*12</f>
        <v>0</v>
      </c>
      <c r="F44" s="112">
        <f t="shared" si="29"/>
        <v>0</v>
      </c>
      <c r="G44" s="112">
        <f t="shared" si="29"/>
        <v>0</v>
      </c>
      <c r="H44" s="112">
        <f t="shared" si="29"/>
        <v>0</v>
      </c>
      <c r="I44" s="112">
        <f t="shared" si="29"/>
        <v>0</v>
      </c>
      <c r="J44" s="112">
        <f t="shared" si="29"/>
        <v>0</v>
      </c>
      <c r="K44" s="112">
        <f t="shared" si="29"/>
        <v>2156566.5579403113</v>
      </c>
      <c r="L44" s="112">
        <f t="shared" si="29"/>
        <v>2199697.8890991174</v>
      </c>
      <c r="M44" s="112">
        <f t="shared" si="29"/>
        <v>2243691.846881099</v>
      </c>
      <c r="N44" s="112">
        <f t="shared" si="29"/>
        <v>2288565.6838187212</v>
      </c>
      <c r="O44" s="112">
        <f t="shared" si="29"/>
        <v>2334336.9974950962</v>
      </c>
    </row>
    <row r="45" spans="2:15">
      <c r="B45" s="108" t="s">
        <v>123</v>
      </c>
      <c r="C45" s="855"/>
      <c r="D45" s="111">
        <f>INDEX(cockpit!$J$6:$Y$16,MATCH($D33,cockpit!$J$6:$J$16,0),MATCH($B45,cockpit!$J$6:$Y$6,0))</f>
        <v>6</v>
      </c>
      <c r="E45" s="113">
        <f t="shared" ref="E45:O45" si="30">-IF($D45&gt;1,E36*($D45*((1+Inflation)^(E$2-1))),E44*(1-$D45))</f>
        <v>0</v>
      </c>
      <c r="F45" s="113">
        <f t="shared" si="30"/>
        <v>0</v>
      </c>
      <c r="G45" s="113">
        <f t="shared" si="30"/>
        <v>0</v>
      </c>
      <c r="H45" s="113">
        <f t="shared" si="30"/>
        <v>0</v>
      </c>
      <c r="I45" s="113">
        <f t="shared" si="30"/>
        <v>0</v>
      </c>
      <c r="J45" s="113">
        <f t="shared" si="30"/>
        <v>0</v>
      </c>
      <c r="K45" s="113">
        <f t="shared" si="30"/>
        <v>-893506.19735677447</v>
      </c>
      <c r="L45" s="113">
        <f t="shared" si="30"/>
        <v>-911376.32130390999</v>
      </c>
      <c r="M45" s="113">
        <f t="shared" si="30"/>
        <v>-929603.84772998805</v>
      </c>
      <c r="N45" s="113">
        <f t="shared" si="30"/>
        <v>-948195.92468458798</v>
      </c>
      <c r="O45" s="113">
        <f t="shared" si="30"/>
        <v>-967159.8431782797</v>
      </c>
    </row>
    <row r="46" spans="2:15">
      <c r="B46" s="114" t="s">
        <v>167</v>
      </c>
      <c r="C46" s="855"/>
      <c r="E46" s="112">
        <f>SUM(E44:E45)</f>
        <v>0</v>
      </c>
      <c r="F46" s="112">
        <f t="shared" ref="F46:O46" si="31">SUM(F44:F45)</f>
        <v>0</v>
      </c>
      <c r="G46" s="112">
        <f t="shared" si="31"/>
        <v>0</v>
      </c>
      <c r="H46" s="112">
        <f t="shared" si="31"/>
        <v>0</v>
      </c>
      <c r="I46" s="112">
        <f t="shared" si="31"/>
        <v>0</v>
      </c>
      <c r="J46" s="112">
        <f t="shared" si="31"/>
        <v>0</v>
      </c>
      <c r="K46" s="112">
        <f t="shared" si="31"/>
        <v>1263060.3605835368</v>
      </c>
      <c r="L46" s="112">
        <f t="shared" si="31"/>
        <v>1288321.5677952073</v>
      </c>
      <c r="M46" s="112">
        <f t="shared" si="31"/>
        <v>1314087.9991511111</v>
      </c>
      <c r="N46" s="112">
        <f t="shared" si="31"/>
        <v>1340369.7591341333</v>
      </c>
      <c r="O46" s="112">
        <f t="shared" si="31"/>
        <v>1367177.1543168165</v>
      </c>
    </row>
    <row r="47" spans="2:15">
      <c r="C47" s="855"/>
      <c r="E47" s="187">
        <f t="shared" ref="E47:O47" si="32">IFERROR(E46/E44,0)</f>
        <v>0</v>
      </c>
      <c r="F47" s="187">
        <f t="shared" si="32"/>
        <v>0</v>
      </c>
      <c r="G47" s="187">
        <f t="shared" si="32"/>
        <v>0</v>
      </c>
      <c r="H47" s="187">
        <f t="shared" si="32"/>
        <v>0</v>
      </c>
      <c r="I47" s="187">
        <f t="shared" si="32"/>
        <v>0</v>
      </c>
      <c r="J47" s="187">
        <f t="shared" si="32"/>
        <v>0</v>
      </c>
      <c r="K47" s="187">
        <f t="shared" si="32"/>
        <v>0.58568114020550222</v>
      </c>
      <c r="L47" s="187">
        <f t="shared" si="32"/>
        <v>0.5856811402055021</v>
      </c>
      <c r="M47" s="187">
        <f t="shared" si="32"/>
        <v>0.58568114020550222</v>
      </c>
      <c r="N47" s="187">
        <f t="shared" si="32"/>
        <v>0.5856811402055021</v>
      </c>
      <c r="O47" s="187">
        <f t="shared" si="32"/>
        <v>0.58568114020550222</v>
      </c>
    </row>
    <row r="48" spans="2:15">
      <c r="B48" s="108" t="s">
        <v>168</v>
      </c>
      <c r="C48" s="855"/>
      <c r="D48" s="115">
        <f>INDEX(cockpit!$J$6:$Y$16,MATCH($D33,cockpit!$J$6:$J$16,0),MATCH($B48,cockpit!$J$6:$Y$6,0))</f>
        <v>0.05</v>
      </c>
      <c r="E48" s="112">
        <f>-E37*$D48</f>
        <v>0</v>
      </c>
      <c r="F48" s="112">
        <f t="shared" ref="F48:O48" si="33">-F37*$D48</f>
        <v>0</v>
      </c>
      <c r="G48" s="112">
        <f t="shared" si="33"/>
        <v>0</v>
      </c>
      <c r="H48" s="112">
        <f t="shared" si="33"/>
        <v>0</v>
      </c>
      <c r="I48" s="112">
        <f t="shared" si="33"/>
        <v>0</v>
      </c>
      <c r="J48" s="112">
        <f t="shared" si="33"/>
        <v>0</v>
      </c>
      <c r="K48" s="112">
        <f t="shared" si="33"/>
        <v>-6069.5706879000008</v>
      </c>
      <c r="L48" s="112">
        <f t="shared" si="33"/>
        <v>-6069.5706879000008</v>
      </c>
      <c r="M48" s="112">
        <f t="shared" si="33"/>
        <v>-6069.5706879000008</v>
      </c>
      <c r="N48" s="112">
        <f t="shared" si="33"/>
        <v>-6069.5706879000008</v>
      </c>
      <c r="O48" s="112">
        <f t="shared" si="33"/>
        <v>-6069.5706879000008</v>
      </c>
    </row>
    <row r="49" spans="2:15">
      <c r="B49" s="108" t="s">
        <v>162</v>
      </c>
      <c r="C49" s="855"/>
      <c r="D49" s="115">
        <f>INDEX(cockpit!$J$6:$Y$16,MATCH($D33,cockpit!$J$6:$J$16,0),MATCH($B49,cockpit!$J$6:$Y$6,0))</f>
        <v>0</v>
      </c>
      <c r="E49" s="113">
        <f>-E42*$D49</f>
        <v>0</v>
      </c>
      <c r="F49" s="113">
        <f t="shared" ref="F49:O49" si="34">-F42*$D49</f>
        <v>0</v>
      </c>
      <c r="G49" s="113">
        <f t="shared" si="34"/>
        <v>0</v>
      </c>
      <c r="H49" s="113">
        <f t="shared" si="34"/>
        <v>0</v>
      </c>
      <c r="I49" s="113">
        <f t="shared" si="34"/>
        <v>0</v>
      </c>
      <c r="J49" s="113">
        <f t="shared" si="34"/>
        <v>0</v>
      </c>
      <c r="K49" s="113">
        <f t="shared" si="34"/>
        <v>0</v>
      </c>
      <c r="L49" s="113">
        <f t="shared" si="34"/>
        <v>0</v>
      </c>
      <c r="M49" s="113">
        <f t="shared" si="34"/>
        <v>0</v>
      </c>
      <c r="N49" s="113">
        <f t="shared" si="34"/>
        <v>0</v>
      </c>
      <c r="O49" s="113">
        <f t="shared" si="34"/>
        <v>0</v>
      </c>
    </row>
    <row r="50" spans="2:15">
      <c r="B50" s="114" t="s">
        <v>195</v>
      </c>
      <c r="C50" s="855"/>
      <c r="D50" s="115"/>
      <c r="E50" s="112">
        <f>SUM(E48:E49)</f>
        <v>0</v>
      </c>
      <c r="F50" s="112">
        <f t="shared" ref="F50:O50" si="35">SUM(F48:F49)</f>
        <v>0</v>
      </c>
      <c r="G50" s="112">
        <f t="shared" si="35"/>
        <v>0</v>
      </c>
      <c r="H50" s="112">
        <f t="shared" si="35"/>
        <v>0</v>
      </c>
      <c r="I50" s="112">
        <f t="shared" si="35"/>
        <v>0</v>
      </c>
      <c r="J50" s="112">
        <f t="shared" si="35"/>
        <v>0</v>
      </c>
      <c r="K50" s="112">
        <f t="shared" si="35"/>
        <v>-6069.5706879000008</v>
      </c>
      <c r="L50" s="112">
        <f t="shared" si="35"/>
        <v>-6069.5706879000008</v>
      </c>
      <c r="M50" s="112">
        <f t="shared" si="35"/>
        <v>-6069.5706879000008</v>
      </c>
      <c r="N50" s="112">
        <f t="shared" si="35"/>
        <v>-6069.5706879000008</v>
      </c>
      <c r="O50" s="112">
        <f t="shared" si="35"/>
        <v>-6069.5706879000008</v>
      </c>
    </row>
    <row r="51" spans="2:15">
      <c r="B51" s="108"/>
      <c r="C51" s="855"/>
    </row>
    <row r="52" spans="2:15">
      <c r="B52" s="108" t="s">
        <v>170</v>
      </c>
      <c r="C52" s="855"/>
      <c r="D52" s="111">
        <f>(ResidentialaffordablecostPSF*(1-$K32))+((ResidentialaffordablecostPSF*(1+premiumprices)*$K32))</f>
        <v>135</v>
      </c>
      <c r="E52" s="112">
        <f>-IF(OR(E$2=$H32,E$2=$H33,AND(E$2&gt;$H32,E$2&lt;$H33)),(INDEX(summary!$A$2:$D$24,MATCH($D33,summary!$A$2:$A$24,0),MATCH($D32,summary!$A$2:$D$2,0)))/constructiontimephase2)*($D52*((1+Inflation)^(E$2-1)))*(1+Developerfee)</f>
        <v>0</v>
      </c>
      <c r="F52" s="112">
        <f>-IF(OR(F$2=$H32,F$2=$H33,AND(F$2&gt;$H32,F$2&lt;$H33)),(INDEX(summary!$A$2:$D$24,MATCH($D33,summary!$A$2:$A$24,0),MATCH($D32,summary!$A$2:$D$2,0)))/constructiontimephase2)*($D52*((1+Inflation)^(F$2-1)))*(1+Developerfee)</f>
        <v>0</v>
      </c>
      <c r="G52" s="112">
        <f>-IF(OR(G$2=$H32,G$2=$H33,AND(G$2&gt;$H32,G$2&lt;$H33)),(INDEX(summary!$A$2:$D$24,MATCH($D33,summary!$A$2:$A$24,0),MATCH($D32,summary!$A$2:$D$2,0)))/constructiontimephase2)*($D52*((1+Inflation)^(G$2-1)))*(1+Developerfee)</f>
        <v>0</v>
      </c>
      <c r="H52" s="112">
        <f>-IF(OR(H$2=$H32,H$2=$H33,AND(H$2&gt;$H32,H$2&lt;$H33)),(INDEX(summary!$A$2:$D$24,MATCH($D33,summary!$A$2:$A$24,0),MATCH($D32,summary!$A$2:$D$2,0)))/constructiontimephase2)*($D52*((1+Inflation)^(H$2-1)))*(1+Developerfee)</f>
        <v>0</v>
      </c>
      <c r="I52" s="112">
        <f>-IF(OR(I$2=$H32,I$2=$H33,AND(I$2&gt;$H32,I$2&lt;$H33)),(INDEX(summary!$A$2:$D$24,MATCH($D33,summary!$A$2:$A$24,0),MATCH($D32,summary!$A$2:$D$2,0)))/constructiontimephase2)*($D52*((1+Inflation)^(I$2-1)))*(1+Developerfee)</f>
        <v>-9951463.9195229001</v>
      </c>
      <c r="J52" s="112">
        <f>-IF(OR(J$2=$H32,J$2=$H33,AND(J$2&gt;$H32,J$2&lt;$H33)),(INDEX(summary!$A$2:$D$24,MATCH($D33,summary!$A$2:$A$24,0),MATCH($D32,summary!$A$2:$D$2,0)))/constructiontimephase2)*($D52*((1+Inflation)^(J$2-1)))*(1+Developerfee)</f>
        <v>-10150493.197913358</v>
      </c>
      <c r="K52" s="112">
        <f>-IF(OR(K$2=$H32,K$2=$H33,AND(K$2&gt;$H32,K$2&lt;$H33)),(INDEX(summary!$A$2:$D$24,MATCH($D33,summary!$A$2:$A$24,0),MATCH($D32,summary!$A$2:$D$2,0)))/constructiontimephase2)*($D52*((1+Inflation)^(K$2-1)))*(1+Developerfee)</f>
        <v>0</v>
      </c>
      <c r="L52" s="112">
        <f>-IF(OR(L$2=$H32,L$2=$H33,AND(L$2&gt;$H32,L$2&lt;$H33)),(INDEX(summary!$A$2:$D$24,MATCH($D33,summary!$A$2:$A$24,0),MATCH($D32,summary!$A$2:$D$2,0)))/constructiontimephase2)*($D52*((1+Inflation)^(L$2-1)))*(1+Developerfee)</f>
        <v>0</v>
      </c>
      <c r="M52" s="112">
        <f>-IF(OR(M$2=$H32,M$2=$H33,AND(M$2&gt;$H32,M$2&lt;$H33)),(INDEX(summary!$A$2:$D$24,MATCH($D33,summary!$A$2:$A$24,0),MATCH($D32,summary!$A$2:$D$2,0)))/constructiontimephase2)*($D52*((1+Inflation)^(M$2-1)))*(1+Developerfee)</f>
        <v>0</v>
      </c>
      <c r="N52" s="112">
        <f>-IF(OR(N$2=$H32,N$2=$H33,AND(N$2&gt;$H32,N$2&lt;$H33)),(INDEX(summary!$A$2:$D$24,MATCH($D33,summary!$A$2:$A$24,0),MATCH($D32,summary!$A$2:$D$2,0)))/constructiontimephase2)*($D52*((1+Inflation)^(N$2-1)))*(1+Developerfee)</f>
        <v>0</v>
      </c>
      <c r="O52" s="112">
        <f>-IF(OR(O$2=$H32,O$2=$H33,AND(O$2&gt;$H32,O$2&lt;$H33)),(INDEX(summary!$A$2:$D$24,MATCH($D33,summary!$A$2:$A$24,0),MATCH($D32,summary!$A$2:$D$2,0)))/constructiontimephase2)*($D52*((1+Inflation)^(O$2-1)))*(1+Developerfee)</f>
        <v>0</v>
      </c>
    </row>
    <row r="53" spans="2:15">
      <c r="B53" s="108" t="s">
        <v>197</v>
      </c>
      <c r="C53" s="855" t="s">
        <v>189</v>
      </c>
      <c r="D53" s="122">
        <f>(INDEX(cockpit!$J$6:$Y$16,MATCH($D33,cockpit!$J$6:$J$16,0),MATCH($C53,cockpit!$J$6:$Y$6,0))*(1-$K32))+((INDEX(cockpit!$J$6:$Y$16,MATCH($D33,cockpit!$J$6:$J$16,0),MATCH($C53,cockpit!$J$6:$Y$6,0))-(Premiumexitcaprate))*$K32)</f>
        <v>6.5000000000000002E-2</v>
      </c>
      <c r="E53" s="113">
        <f t="shared" ref="E53:O53" si="36">IF(E$2=dispositionyear,E46/$D53,0)*(1-Closingcosts)</f>
        <v>0</v>
      </c>
      <c r="F53" s="113">
        <f t="shared" si="36"/>
        <v>0</v>
      </c>
      <c r="G53" s="113">
        <f t="shared" si="36"/>
        <v>0</v>
      </c>
      <c r="H53" s="113">
        <f t="shared" si="36"/>
        <v>0</v>
      </c>
      <c r="I53" s="113">
        <f t="shared" si="36"/>
        <v>0</v>
      </c>
      <c r="J53" s="113">
        <f t="shared" si="36"/>
        <v>0</v>
      </c>
      <c r="K53" s="113">
        <f t="shared" si="36"/>
        <v>0</v>
      </c>
      <c r="L53" s="113">
        <f t="shared" si="36"/>
        <v>0</v>
      </c>
      <c r="M53" s="113">
        <f t="shared" si="36"/>
        <v>0</v>
      </c>
      <c r="N53" s="113">
        <f t="shared" si="36"/>
        <v>0</v>
      </c>
      <c r="O53" s="113">
        <f t="shared" si="36"/>
        <v>20507657.314752247</v>
      </c>
    </row>
    <row r="54" spans="2:15">
      <c r="B54" s="114" t="s">
        <v>196</v>
      </c>
      <c r="C54" s="855"/>
      <c r="D54" s="110"/>
      <c r="E54" s="112">
        <f>SUM(E52:E53)</f>
        <v>0</v>
      </c>
      <c r="F54" s="112">
        <f t="shared" ref="F54:O54" si="37">SUM(F52:F53)</f>
        <v>0</v>
      </c>
      <c r="G54" s="112">
        <f t="shared" si="37"/>
        <v>0</v>
      </c>
      <c r="H54" s="112">
        <f t="shared" si="37"/>
        <v>0</v>
      </c>
      <c r="I54" s="112">
        <f t="shared" si="37"/>
        <v>-9951463.9195229001</v>
      </c>
      <c r="J54" s="112">
        <f t="shared" si="37"/>
        <v>-10150493.197913358</v>
      </c>
      <c r="K54" s="112">
        <f t="shared" si="37"/>
        <v>0</v>
      </c>
      <c r="L54" s="112">
        <f t="shared" si="37"/>
        <v>0</v>
      </c>
      <c r="M54" s="112">
        <f t="shared" si="37"/>
        <v>0</v>
      </c>
      <c r="N54" s="112">
        <f t="shared" si="37"/>
        <v>0</v>
      </c>
      <c r="O54" s="112">
        <f t="shared" si="37"/>
        <v>20507657.314752247</v>
      </c>
    </row>
    <row r="55" spans="2:15">
      <c r="B55" s="108"/>
      <c r="C55" s="855"/>
      <c r="D55" s="110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</row>
    <row r="56" spans="2:15">
      <c r="B56" s="114" t="s">
        <v>169</v>
      </c>
      <c r="C56" s="856"/>
      <c r="D56" s="116">
        <f ca="1">IRR(OFFSET(E56,0,0,1,Investmenthorizon+1))</f>
        <v>6.1284638264425428E-2</v>
      </c>
      <c r="E56" s="117">
        <f>SUM(E46,E50,E54)</f>
        <v>0</v>
      </c>
      <c r="F56" s="117">
        <f t="shared" ref="F56:O56" si="38">SUM(F46,F50,F54)</f>
        <v>0</v>
      </c>
      <c r="G56" s="117">
        <f t="shared" si="38"/>
        <v>0</v>
      </c>
      <c r="H56" s="117">
        <f t="shared" si="38"/>
        <v>0</v>
      </c>
      <c r="I56" s="117">
        <f t="shared" si="38"/>
        <v>-9951463.9195229001</v>
      </c>
      <c r="J56" s="117">
        <f t="shared" si="38"/>
        <v>-10150493.197913358</v>
      </c>
      <c r="K56" s="117">
        <f t="shared" si="38"/>
        <v>1256990.7898956367</v>
      </c>
      <c r="L56" s="117">
        <f t="shared" si="38"/>
        <v>1282251.9971073072</v>
      </c>
      <c r="M56" s="117">
        <f t="shared" si="38"/>
        <v>1308018.4284632111</v>
      </c>
      <c r="N56" s="117">
        <f t="shared" si="38"/>
        <v>1334300.1884462333</v>
      </c>
      <c r="O56" s="117">
        <f t="shared" si="38"/>
        <v>21868764.898381162</v>
      </c>
    </row>
    <row r="57" spans="2:15" ht="10" thickBot="1">
      <c r="C57" s="856"/>
    </row>
    <row r="58" spans="2:15">
      <c r="B58" s="123" t="s">
        <v>198</v>
      </c>
      <c r="C58" s="124"/>
      <c r="D58" s="124"/>
      <c r="E58" s="134"/>
      <c r="F58" s="135"/>
      <c r="G58" s="135"/>
      <c r="H58" s="135"/>
      <c r="I58" s="135"/>
      <c r="J58" s="135"/>
      <c r="K58" s="125"/>
      <c r="L58" s="107"/>
      <c r="M58" s="107"/>
      <c r="N58" s="107"/>
      <c r="O58" s="107"/>
    </row>
    <row r="59" spans="2:15">
      <c r="B59" s="126" t="s">
        <v>89</v>
      </c>
      <c r="D59" s="133">
        <f>Phase3</f>
        <v>3</v>
      </c>
      <c r="G59" s="107" t="s">
        <v>204</v>
      </c>
      <c r="H59" s="133">
        <f>Phase3begin</f>
        <v>6</v>
      </c>
      <c r="J59" s="107" t="s">
        <v>201</v>
      </c>
      <c r="K59" s="136">
        <f>summary!AJ14</f>
        <v>0</v>
      </c>
    </row>
    <row r="60" spans="2:15">
      <c r="B60" s="126" t="s">
        <v>93</v>
      </c>
      <c r="D60" s="130" t="s">
        <v>140</v>
      </c>
      <c r="G60" s="107" t="s">
        <v>205</v>
      </c>
      <c r="H60" s="133">
        <f>Phase3end</f>
        <v>7</v>
      </c>
      <c r="K60" s="127"/>
    </row>
    <row r="61" spans="2:15" ht="10" thickBot="1">
      <c r="B61" s="137"/>
      <c r="C61" s="852"/>
      <c r="D61" s="138"/>
      <c r="E61" s="138"/>
      <c r="F61" s="138"/>
      <c r="G61" s="129" t="s">
        <v>199</v>
      </c>
      <c r="H61" s="131">
        <f>Phase3open</f>
        <v>8</v>
      </c>
      <c r="I61" s="138"/>
      <c r="J61" s="138"/>
      <c r="K61" s="128"/>
    </row>
    <row r="62" spans="2:15">
      <c r="C62" s="853"/>
    </row>
    <row r="63" spans="2:15">
      <c r="B63" s="108" t="s">
        <v>182</v>
      </c>
      <c r="C63" s="854"/>
      <c r="E63" s="109">
        <f>IF(OR(E$2=$H61,E$2&gt;$H61),INDEX(summary!$A$2:$D$24,MATCH($D60,summary!$A$2:$A$24,0),MATCH($D59,summary!$A$2:$D$2,0)),0)</f>
        <v>0</v>
      </c>
      <c r="F63" s="109">
        <f>IF(OR(F$2=$H61,F$2&gt;$H61),INDEX(summary!$A$2:$D$24,MATCH($D60,summary!$A$2:$A$24,0),MATCH($D59,summary!$A$2:$D$2,0)),0)</f>
        <v>0</v>
      </c>
      <c r="G63" s="109">
        <f>IF(OR(G$2=$H61,G$2&gt;$H61),INDEX(summary!$A$2:$D$24,MATCH($D60,summary!$A$2:$A$24,0),MATCH($D59,summary!$A$2:$D$2,0)),0)</f>
        <v>0</v>
      </c>
      <c r="H63" s="109">
        <f>IF(OR(H$2=$H61,H$2&gt;$H61),INDEX(summary!$A$2:$D$24,MATCH($D60,summary!$A$2:$A$24,0),MATCH($D59,summary!$A$2:$D$2,0)),0)</f>
        <v>0</v>
      </c>
      <c r="I63" s="109">
        <f>IF(OR(I$2=$H61,I$2&gt;$H61),INDEX(summary!$A$2:$D$24,MATCH($D60,summary!$A$2:$A$24,0),MATCH($D59,summary!$A$2:$D$2,0)),0)</f>
        <v>0</v>
      </c>
      <c r="J63" s="109">
        <f>IF(OR(J$2=$H61,J$2&gt;$H61),INDEX(summary!$A$2:$D$24,MATCH($D60,summary!$A$2:$A$24,0),MATCH($D59,summary!$A$2:$D$2,0)),0)</f>
        <v>0</v>
      </c>
      <c r="K63" s="109">
        <f>IF(OR(K$2=$H61,K$2&gt;$H61),INDEX(summary!$A$2:$D$24,MATCH($D60,summary!$A$2:$A$24,0),MATCH($D59,summary!$A$2:$D$2,0)),0)</f>
        <v>0</v>
      </c>
      <c r="L63" s="109">
        <f>IF(OR(L$2=$H61,L$2&gt;$H61),INDEX(summary!$A$2:$D$24,MATCH($D60,summary!$A$2:$A$24,0),MATCH($D59,summary!$A$2:$D$2,0)),0)</f>
        <v>0</v>
      </c>
      <c r="M63" s="109">
        <f>IF(OR(M$2=$H61,M$2&gt;$H61),INDEX(summary!$A$2:$D$24,MATCH($D60,summary!$A$2:$A$24,0),MATCH($D59,summary!$A$2:$D$2,0)),0)</f>
        <v>69243.8</v>
      </c>
      <c r="N63" s="109">
        <f>IF(OR(N$2=$H61,N$2&gt;$H61),INDEX(summary!$A$2:$D$24,MATCH($D60,summary!$A$2:$A$24,0),MATCH($D59,summary!$A$2:$D$2,0)),0)</f>
        <v>69243.8</v>
      </c>
      <c r="O63" s="109">
        <f>IF(OR(O$2=$H61,O$2&gt;$H61),INDEX(summary!$A$2:$D$24,MATCH($D60,summary!$A$2:$A$24,0),MATCH($D59,summary!$A$2:$D$2,0)),0)</f>
        <v>69243.8</v>
      </c>
    </row>
    <row r="64" spans="2:15">
      <c r="B64" s="108" t="s">
        <v>194</v>
      </c>
      <c r="C64" s="855" t="s">
        <v>191</v>
      </c>
      <c r="D64" s="110">
        <f>INDEX(cockpit!$J$6:$Y$16,MATCH($D60,cockpit!$J$6:$J$16,0),MATCH($C$10,cockpit!$J$6:$Y$6,0))</f>
        <v>0.1</v>
      </c>
      <c r="E64" s="109">
        <f>E63*(1-$D64)</f>
        <v>0</v>
      </c>
      <c r="F64" s="109">
        <f t="shared" ref="F64:O64" si="39">F63*(1-$D64)</f>
        <v>0</v>
      </c>
      <c r="G64" s="109">
        <f t="shared" si="39"/>
        <v>0</v>
      </c>
      <c r="H64" s="109">
        <f t="shared" si="39"/>
        <v>0</v>
      </c>
      <c r="I64" s="109">
        <f t="shared" si="39"/>
        <v>0</v>
      </c>
      <c r="J64" s="109">
        <f t="shared" si="39"/>
        <v>0</v>
      </c>
      <c r="K64" s="109">
        <f t="shared" si="39"/>
        <v>0</v>
      </c>
      <c r="L64" s="109">
        <f t="shared" si="39"/>
        <v>0</v>
      </c>
      <c r="M64" s="109">
        <f t="shared" si="39"/>
        <v>62319.420000000006</v>
      </c>
      <c r="N64" s="109">
        <f t="shared" si="39"/>
        <v>62319.420000000006</v>
      </c>
      <c r="O64" s="109">
        <f t="shared" si="39"/>
        <v>62319.420000000006</v>
      </c>
    </row>
    <row r="65" spans="2:15">
      <c r="B65" s="108" t="s">
        <v>774</v>
      </c>
      <c r="C65" s="855"/>
      <c r="D65" s="110"/>
      <c r="E65" s="109">
        <f t="shared" ref="E65:O65" si="40">E64/Residentialaffordableaveragesize</f>
        <v>0</v>
      </c>
      <c r="F65" s="109">
        <f t="shared" si="40"/>
        <v>0</v>
      </c>
      <c r="G65" s="109">
        <f t="shared" si="40"/>
        <v>0</v>
      </c>
      <c r="H65" s="109">
        <f t="shared" si="40"/>
        <v>0</v>
      </c>
      <c r="I65" s="109">
        <f t="shared" si="40"/>
        <v>0</v>
      </c>
      <c r="J65" s="109">
        <f t="shared" si="40"/>
        <v>0</v>
      </c>
      <c r="K65" s="109">
        <f t="shared" si="40"/>
        <v>0</v>
      </c>
      <c r="L65" s="109">
        <f t="shared" si="40"/>
        <v>0</v>
      </c>
      <c r="M65" s="109">
        <f t="shared" si="40"/>
        <v>59.351828571428577</v>
      </c>
      <c r="N65" s="109">
        <f t="shared" si="40"/>
        <v>59.351828571428577</v>
      </c>
      <c r="O65" s="109">
        <f t="shared" si="40"/>
        <v>59.351828571428577</v>
      </c>
    </row>
    <row r="66" spans="2:15">
      <c r="B66" s="108" t="s">
        <v>674</v>
      </c>
      <c r="C66" s="855" t="s">
        <v>152</v>
      </c>
      <c r="D66" s="122">
        <f>ResidentialAffordablerampup</f>
        <v>0.98</v>
      </c>
      <c r="E66" s="109">
        <f>IF(OR(E$2=$H61,AND(E$2&gt;$H61,E$2&lt;(SUM($H61,INDEX(cockpit!$J$6:$Y$16,MATCH($D60,cockpit!$J$6:$J$16,0),MATCH($C$12,cockpit!$J$6:$Y$6,0)))))),E64*$D66,0)</f>
        <v>0</v>
      </c>
      <c r="F66" s="109">
        <f>IF(OR(F$2=$H61,AND(F$2&gt;$H61,F$2&lt;(SUM($H61,INDEX(cockpit!$J$6:$Y$16,MATCH($D60,cockpit!$J$6:$J$16,0),MATCH($C$12,cockpit!$J$6:$Y$6,0)))))),F64*$D66,0)</f>
        <v>0</v>
      </c>
      <c r="G66" s="109">
        <f>IF(OR(G$2=$H61,AND(G$2&gt;$H61,G$2&lt;(SUM($H61,INDEX(cockpit!$J$6:$Y$16,MATCH($D60,cockpit!$J$6:$J$16,0),MATCH($C$12,cockpit!$J$6:$Y$6,0)))))),G64*$D66,0)</f>
        <v>0</v>
      </c>
      <c r="H66" s="109">
        <f>IF(OR(H$2=$H61,AND(H$2&gt;$H61,H$2&lt;(SUM($H61,INDEX(cockpit!$J$6:$Y$16,MATCH($D60,cockpit!$J$6:$J$16,0),MATCH($C$12,cockpit!$J$6:$Y$6,0)))))),H64*$D66,0)</f>
        <v>0</v>
      </c>
      <c r="I66" s="109">
        <f>IF(OR(I$2=$H61,AND(I$2&gt;$H61,I$2&lt;(SUM($H61,INDEX(cockpit!$J$6:$Y$16,MATCH($D60,cockpit!$J$6:$J$16,0),MATCH($C$12,cockpit!$J$6:$Y$6,0)))))),I64*$D66,0)</f>
        <v>0</v>
      </c>
      <c r="J66" s="109">
        <f>IF(OR(J$2=$H61,AND(J$2&gt;$H61,J$2&lt;(SUM($H61,INDEX(cockpit!$J$6:$Y$16,MATCH($D60,cockpit!$J$6:$J$16,0),MATCH($C$12,cockpit!$J$6:$Y$6,0)))))),J64*$D66,0)</f>
        <v>0</v>
      </c>
      <c r="K66" s="109">
        <f>IF(OR(K$2=$H61,AND(K$2&gt;$H61,K$2&lt;(SUM($H61,INDEX(cockpit!$J$6:$Y$16,MATCH($D60,cockpit!$J$6:$J$16,0),MATCH($C$12,cockpit!$J$6:$Y$6,0)))))),K64*$D66,0)</f>
        <v>0</v>
      </c>
      <c r="L66" s="109">
        <f>IF(OR(L$2=$H61,AND(L$2&gt;$H61,L$2&lt;(SUM($H61,INDEX(cockpit!$J$6:$Y$16,MATCH($D60,cockpit!$J$6:$J$16,0),MATCH($C$12,cockpit!$J$6:$Y$6,0)))))),L64*$D66,0)</f>
        <v>0</v>
      </c>
      <c r="M66" s="109">
        <f>IF(OR(M$2=$H61,AND(M$2&gt;$H61,M$2&lt;(SUM($H61,INDEX(cockpit!$J$6:$Y$16,MATCH($D60,cockpit!$J$6:$J$16,0),MATCH($C$12,cockpit!$J$6:$Y$6,0)))))),M64*$D66,0)</f>
        <v>61073.031600000002</v>
      </c>
      <c r="N66" s="109">
        <f>IF(OR(N$2=$H61,AND(N$2&gt;$H61,N$2&lt;(SUM($H61,INDEX(cockpit!$J$6:$Y$16,MATCH($D60,cockpit!$J$6:$J$16,0),MATCH($C$12,cockpit!$J$6:$Y$6,0)))))),N64*$D66,0)</f>
        <v>0</v>
      </c>
      <c r="O66" s="109">
        <f>IF(OR(O$2=$H61,AND(O$2&gt;$H61,O$2&lt;(SUM($H61,INDEX(cockpit!$J$6:$Y$16,MATCH($D60,cockpit!$J$6:$J$16,0),MATCH($C$12,cockpit!$J$6:$Y$6,0)))))),O64*$D66,0)</f>
        <v>0</v>
      </c>
    </row>
    <row r="67" spans="2:15">
      <c r="B67" s="108" t="s">
        <v>675</v>
      </c>
      <c r="C67" s="855"/>
      <c r="D67" s="122"/>
      <c r="E67" s="109">
        <f t="shared" ref="E67:O67" si="41">E66/Residentialaffordableaveragesize</f>
        <v>0</v>
      </c>
      <c r="F67" s="109">
        <f t="shared" si="41"/>
        <v>0</v>
      </c>
      <c r="G67" s="109">
        <f t="shared" si="41"/>
        <v>0</v>
      </c>
      <c r="H67" s="109">
        <f t="shared" si="41"/>
        <v>0</v>
      </c>
      <c r="I67" s="109">
        <f t="shared" si="41"/>
        <v>0</v>
      </c>
      <c r="J67" s="109">
        <f t="shared" si="41"/>
        <v>0</v>
      </c>
      <c r="K67" s="109">
        <f t="shared" si="41"/>
        <v>0</v>
      </c>
      <c r="L67" s="109">
        <f t="shared" si="41"/>
        <v>0</v>
      </c>
      <c r="M67" s="109">
        <f t="shared" si="41"/>
        <v>58.164791999999998</v>
      </c>
      <c r="N67" s="109">
        <f t="shared" si="41"/>
        <v>0</v>
      </c>
      <c r="O67" s="109">
        <f t="shared" si="41"/>
        <v>0</v>
      </c>
    </row>
    <row r="68" spans="2:15">
      <c r="B68" s="108" t="s">
        <v>676</v>
      </c>
      <c r="C68" s="855"/>
      <c r="D68" s="122"/>
      <c r="E68" s="109">
        <f t="shared" ref="E68" si="42">E67/12</f>
        <v>0</v>
      </c>
      <c r="F68" s="109">
        <f t="shared" ref="F68" si="43">F67/12</f>
        <v>0</v>
      </c>
      <c r="G68" s="109">
        <f t="shared" ref="G68" si="44">G67/12</f>
        <v>0</v>
      </c>
      <c r="H68" s="109">
        <f>H67/12</f>
        <v>0</v>
      </c>
      <c r="I68" s="109">
        <f t="shared" ref="I68" si="45">I67/12</f>
        <v>0</v>
      </c>
      <c r="J68" s="109">
        <f t="shared" ref="J68" si="46">J67/12</f>
        <v>0</v>
      </c>
      <c r="K68" s="109">
        <f t="shared" ref="K68" si="47">K67/12</f>
        <v>0</v>
      </c>
      <c r="L68" s="109">
        <f t="shared" ref="L68" si="48">L67/12</f>
        <v>0</v>
      </c>
      <c r="M68" s="109">
        <f t="shared" ref="M68" si="49">M67/12</f>
        <v>4.8470659999999999</v>
      </c>
      <c r="N68" s="109">
        <f t="shared" ref="N68" si="50">N67/12</f>
        <v>0</v>
      </c>
      <c r="O68" s="109">
        <f t="shared" ref="O68" si="51">O67/12</f>
        <v>0</v>
      </c>
    </row>
    <row r="69" spans="2:15">
      <c r="B69" s="108" t="s">
        <v>181</v>
      </c>
      <c r="C69" s="855"/>
      <c r="E69" s="109">
        <f>SUM($E66:E66)</f>
        <v>0</v>
      </c>
      <c r="F69" s="109">
        <f>SUM($E66:F66)</f>
        <v>0</v>
      </c>
      <c r="G69" s="109">
        <f>SUM($E66:G66)</f>
        <v>0</v>
      </c>
      <c r="H69" s="109">
        <f>SUM($E66:H66)</f>
        <v>0</v>
      </c>
      <c r="I69" s="109">
        <f>SUM($E66:I66)</f>
        <v>0</v>
      </c>
      <c r="J69" s="109">
        <f>SUM($E66:J66)</f>
        <v>0</v>
      </c>
      <c r="K69" s="109">
        <f>SUM($E66:K66)</f>
        <v>0</v>
      </c>
      <c r="L69" s="109">
        <f>SUM($E66:L66)</f>
        <v>0</v>
      </c>
      <c r="M69" s="109">
        <f>SUM($E66:M66)</f>
        <v>61073.031600000002</v>
      </c>
      <c r="N69" s="109">
        <f>SUM($E66:N66)</f>
        <v>61073.031600000002</v>
      </c>
      <c r="O69" s="109">
        <f>SUM($E66:O66)</f>
        <v>61073.031600000002</v>
      </c>
    </row>
    <row r="70" spans="2:15">
      <c r="C70" s="855"/>
    </row>
    <row r="71" spans="2:15">
      <c r="B71" s="108" t="s">
        <v>166</v>
      </c>
      <c r="C71" s="855"/>
      <c r="D71" s="111">
        <f>(ResidentialAffordablePSFrate*(1-$K59))+((ResidentialAffordablePSFrate*(1+premiumprices)*$K59))</f>
        <v>1.3682539682539683</v>
      </c>
      <c r="E71" s="112">
        <f t="shared" ref="E71:O71" si="52">E69*($D71*((1+Inflation)^(E$2-1)))*12</f>
        <v>0</v>
      </c>
      <c r="F71" s="112">
        <f t="shared" si="52"/>
        <v>0</v>
      </c>
      <c r="G71" s="112">
        <f t="shared" si="52"/>
        <v>0</v>
      </c>
      <c r="H71" s="112">
        <f t="shared" si="52"/>
        <v>0</v>
      </c>
      <c r="I71" s="112">
        <f t="shared" si="52"/>
        <v>0</v>
      </c>
      <c r="J71" s="112">
        <f t="shared" si="52"/>
        <v>0</v>
      </c>
      <c r="K71" s="112">
        <f t="shared" si="52"/>
        <v>0</v>
      </c>
      <c r="L71" s="112">
        <f t="shared" si="52"/>
        <v>0</v>
      </c>
      <c r="M71" s="112">
        <f t="shared" si="52"/>
        <v>1151857.2049511538</v>
      </c>
      <c r="N71" s="112">
        <f t="shared" si="52"/>
        <v>1174894.3490501768</v>
      </c>
      <c r="O71" s="112">
        <f t="shared" si="52"/>
        <v>1198392.2360311807</v>
      </c>
    </row>
    <row r="72" spans="2:15">
      <c r="B72" s="108" t="s">
        <v>123</v>
      </c>
      <c r="C72" s="855"/>
      <c r="D72" s="111">
        <f>INDEX(cockpit!$J$6:$Y$16,MATCH($D60,cockpit!$J$6:$J$16,0),MATCH($B72,cockpit!$J$6:$Y$6,0))</f>
        <v>6</v>
      </c>
      <c r="E72" s="113">
        <f t="shared" ref="E72:O72" si="53">-IF($D72&gt;1,E63*($D72*((1+Inflation)^(E$2-1))),E71*(1-$D72))</f>
        <v>0</v>
      </c>
      <c r="F72" s="113">
        <f t="shared" si="53"/>
        <v>0</v>
      </c>
      <c r="G72" s="113">
        <f t="shared" si="53"/>
        <v>0</v>
      </c>
      <c r="H72" s="113">
        <f t="shared" si="53"/>
        <v>0</v>
      </c>
      <c r="I72" s="113">
        <f t="shared" si="53"/>
        <v>0</v>
      </c>
      <c r="J72" s="113">
        <f t="shared" si="53"/>
        <v>0</v>
      </c>
      <c r="K72" s="113">
        <f t="shared" si="53"/>
        <v>0</v>
      </c>
      <c r="L72" s="113">
        <f t="shared" si="53"/>
        <v>0</v>
      </c>
      <c r="M72" s="113">
        <f t="shared" si="53"/>
        <v>-477236.16380143922</v>
      </c>
      <c r="N72" s="113">
        <f t="shared" si="53"/>
        <v>-486780.8870774681</v>
      </c>
      <c r="O72" s="113">
        <f t="shared" si="53"/>
        <v>-496516.50481901743</v>
      </c>
    </row>
    <row r="73" spans="2:15">
      <c r="B73" s="114" t="s">
        <v>167</v>
      </c>
      <c r="C73" s="855"/>
      <c r="E73" s="112">
        <f>SUM(E71:E72)</f>
        <v>0</v>
      </c>
      <c r="F73" s="112">
        <f t="shared" ref="F73:O73" si="54">SUM(F71:F72)</f>
        <v>0</v>
      </c>
      <c r="G73" s="112">
        <f t="shared" si="54"/>
        <v>0</v>
      </c>
      <c r="H73" s="112">
        <f t="shared" si="54"/>
        <v>0</v>
      </c>
      <c r="I73" s="112">
        <f t="shared" si="54"/>
        <v>0</v>
      </c>
      <c r="J73" s="112">
        <f t="shared" si="54"/>
        <v>0</v>
      </c>
      <c r="K73" s="112">
        <f t="shared" si="54"/>
        <v>0</v>
      </c>
      <c r="L73" s="112">
        <f t="shared" si="54"/>
        <v>0</v>
      </c>
      <c r="M73" s="112">
        <f t="shared" si="54"/>
        <v>674621.04114971461</v>
      </c>
      <c r="N73" s="112">
        <f t="shared" si="54"/>
        <v>688113.4619727087</v>
      </c>
      <c r="O73" s="112">
        <f t="shared" si="54"/>
        <v>701875.73121216334</v>
      </c>
    </row>
    <row r="74" spans="2:15">
      <c r="C74" s="855"/>
      <c r="E74" s="187">
        <f t="shared" ref="E74:O74" si="55">IFERROR(E73/E71,0)</f>
        <v>0</v>
      </c>
      <c r="F74" s="187">
        <f t="shared" si="55"/>
        <v>0</v>
      </c>
      <c r="G74" s="187">
        <f t="shared" si="55"/>
        <v>0</v>
      </c>
      <c r="H74" s="187">
        <f t="shared" si="55"/>
        <v>0</v>
      </c>
      <c r="I74" s="187">
        <f t="shared" si="55"/>
        <v>0</v>
      </c>
      <c r="J74" s="187">
        <f t="shared" si="55"/>
        <v>0</v>
      </c>
      <c r="K74" s="187">
        <f t="shared" si="55"/>
        <v>0</v>
      </c>
      <c r="L74" s="187">
        <f t="shared" si="55"/>
        <v>0</v>
      </c>
      <c r="M74" s="187">
        <f t="shared" si="55"/>
        <v>0.58568114020550222</v>
      </c>
      <c r="N74" s="187">
        <f t="shared" si="55"/>
        <v>0.5856811402055021</v>
      </c>
      <c r="O74" s="187">
        <f t="shared" si="55"/>
        <v>0.58568114020550233</v>
      </c>
    </row>
    <row r="75" spans="2:15">
      <c r="B75" s="108" t="s">
        <v>168</v>
      </c>
      <c r="C75" s="855"/>
      <c r="D75" s="115">
        <f>INDEX(cockpit!$J$6:$Y$16,MATCH($D60,cockpit!$J$6:$J$16,0),MATCH($B75,cockpit!$J$6:$Y$6,0))</f>
        <v>0.05</v>
      </c>
      <c r="E75" s="112">
        <f>-E64*$D75</f>
        <v>0</v>
      </c>
      <c r="F75" s="112">
        <f t="shared" ref="F75:O75" si="56">-F64*$D75</f>
        <v>0</v>
      </c>
      <c r="G75" s="112">
        <f t="shared" si="56"/>
        <v>0</v>
      </c>
      <c r="H75" s="112">
        <f t="shared" si="56"/>
        <v>0</v>
      </c>
      <c r="I75" s="112">
        <f t="shared" si="56"/>
        <v>0</v>
      </c>
      <c r="J75" s="112">
        <f t="shared" si="56"/>
        <v>0</v>
      </c>
      <c r="K75" s="112">
        <f t="shared" si="56"/>
        <v>0</v>
      </c>
      <c r="L75" s="112">
        <f t="shared" si="56"/>
        <v>0</v>
      </c>
      <c r="M75" s="112">
        <f t="shared" si="56"/>
        <v>-3115.9710000000005</v>
      </c>
      <c r="N75" s="112">
        <f t="shared" si="56"/>
        <v>-3115.9710000000005</v>
      </c>
      <c r="O75" s="112">
        <f t="shared" si="56"/>
        <v>-3115.9710000000005</v>
      </c>
    </row>
    <row r="76" spans="2:15">
      <c r="B76" s="108" t="s">
        <v>162</v>
      </c>
      <c r="C76" s="855"/>
      <c r="D76" s="115">
        <f>INDEX(cockpit!$J$6:$Y$16,MATCH($D60,cockpit!$J$6:$J$16,0),MATCH($B76,cockpit!$J$6:$Y$6,0))</f>
        <v>0</v>
      </c>
      <c r="E76" s="113">
        <f>-E69*$D76</f>
        <v>0</v>
      </c>
      <c r="F76" s="113">
        <f t="shared" ref="F76:O76" si="57">-F69*$D76</f>
        <v>0</v>
      </c>
      <c r="G76" s="113">
        <f t="shared" si="57"/>
        <v>0</v>
      </c>
      <c r="H76" s="113">
        <f t="shared" si="57"/>
        <v>0</v>
      </c>
      <c r="I76" s="113">
        <f t="shared" si="57"/>
        <v>0</v>
      </c>
      <c r="J76" s="113">
        <f t="shared" si="57"/>
        <v>0</v>
      </c>
      <c r="K76" s="113">
        <f t="shared" si="57"/>
        <v>0</v>
      </c>
      <c r="L76" s="113">
        <f t="shared" si="57"/>
        <v>0</v>
      </c>
      <c r="M76" s="113">
        <f t="shared" si="57"/>
        <v>0</v>
      </c>
      <c r="N76" s="113">
        <f t="shared" si="57"/>
        <v>0</v>
      </c>
      <c r="O76" s="113">
        <f t="shared" si="57"/>
        <v>0</v>
      </c>
    </row>
    <row r="77" spans="2:15">
      <c r="B77" s="114" t="s">
        <v>195</v>
      </c>
      <c r="C77" s="855"/>
      <c r="D77" s="115"/>
      <c r="E77" s="112">
        <f>SUM(E75:E76)</f>
        <v>0</v>
      </c>
      <c r="F77" s="112">
        <f t="shared" ref="F77:O77" si="58">SUM(F75:F76)</f>
        <v>0</v>
      </c>
      <c r="G77" s="112">
        <f t="shared" si="58"/>
        <v>0</v>
      </c>
      <c r="H77" s="112">
        <f t="shared" si="58"/>
        <v>0</v>
      </c>
      <c r="I77" s="112">
        <f t="shared" si="58"/>
        <v>0</v>
      </c>
      <c r="J77" s="112">
        <f t="shared" si="58"/>
        <v>0</v>
      </c>
      <c r="K77" s="112">
        <f t="shared" si="58"/>
        <v>0</v>
      </c>
      <c r="L77" s="112">
        <f t="shared" si="58"/>
        <v>0</v>
      </c>
      <c r="M77" s="112">
        <f t="shared" si="58"/>
        <v>-3115.9710000000005</v>
      </c>
      <c r="N77" s="112">
        <f t="shared" si="58"/>
        <v>-3115.9710000000005</v>
      </c>
      <c r="O77" s="112">
        <f t="shared" si="58"/>
        <v>-3115.9710000000005</v>
      </c>
    </row>
    <row r="78" spans="2:15">
      <c r="B78" s="108"/>
      <c r="C78" s="855"/>
    </row>
    <row r="79" spans="2:15">
      <c r="B79" s="108" t="s">
        <v>170</v>
      </c>
      <c r="C79" s="855"/>
      <c r="D79" s="111">
        <f>(ResidentialaffordablecostPSF*(1-$K59))+((ResidentialaffordablecostPSF*(1+premiumprices)*$K59))</f>
        <v>135</v>
      </c>
      <c r="E79" s="112">
        <f>-IF(OR(E$2=$H59,E$2=$H60,AND(E$2&gt;$H59,E$2&lt;$H60)),(INDEX(summary!$A$2:$D$24,MATCH($D60,summary!$A$2:$A$24,0),MATCH($D59,summary!$A$2:$D$2,0)))/constructiontimephase3)*($D79*((1+Inflation)^(E$2-1)))*(1+Developerfee)</f>
        <v>0</v>
      </c>
      <c r="F79" s="112">
        <f>-IF(OR(F$2=$H59,F$2=$H60,AND(F$2&gt;$H59,F$2&lt;$H60)),(INDEX(summary!$A$2:$D$24,MATCH($D60,summary!$A$2:$A$24,0),MATCH($D59,summary!$A$2:$D$2,0)))/constructiontimephase3)*($D79*((1+Inflation)^(F$2-1)))*(1+Developerfee)</f>
        <v>0</v>
      </c>
      <c r="G79" s="112">
        <f>-IF(OR(G$2=$H59,G$2=$H60,AND(G$2&gt;$H59,G$2&lt;$H60)),(INDEX(summary!$A$2:$D$24,MATCH($D60,summary!$A$2:$A$24,0),MATCH($D59,summary!$A$2:$D$2,0)))/constructiontimephase3)*($D79*((1+Inflation)^(G$2-1)))*(1+Developerfee)</f>
        <v>0</v>
      </c>
      <c r="H79" s="112">
        <f>-IF(OR(H$2=$H59,H$2=$H60,AND(H$2&gt;$H59,H$2&lt;$H60)),(INDEX(summary!$A$2:$D$24,MATCH($D60,summary!$A$2:$A$24,0),MATCH($D59,summary!$A$2:$D$2,0)))/constructiontimephase3)*($D79*((1+Inflation)^(H$2-1)))*(1+Developerfee)</f>
        <v>0</v>
      </c>
      <c r="I79" s="112">
        <f>-IF(OR(I$2=$H59,I$2=$H60,AND(I$2&gt;$H59,I$2&lt;$H60)),(INDEX(summary!$A$2:$D$24,MATCH($D60,summary!$A$2:$A$24,0),MATCH($D59,summary!$A$2:$D$2,0)))/constructiontimephase3)*($D79*((1+Inflation)^(I$2-1)))*(1+Developerfee)</f>
        <v>0</v>
      </c>
      <c r="J79" s="112">
        <f>-IF(OR(J$2=$H59,J$2=$H60,AND(J$2&gt;$H59,J$2&lt;$H60)),(INDEX(summary!$A$2:$D$24,MATCH($D60,summary!$A$2:$A$24,0),MATCH($D59,summary!$A$2:$D$2,0)))/constructiontimephase3)*($D79*((1+Inflation)^(J$2-1)))*(1+Developerfee)</f>
        <v>0</v>
      </c>
      <c r="K79" s="112">
        <f>-IF(OR(K$2=$H59,K$2=$H60,AND(K$2&gt;$H59,K$2&lt;$H60)),(INDEX(summary!$A$2:$D$24,MATCH($D60,summary!$A$2:$A$24,0),MATCH($D59,summary!$A$2:$D$2,0)))/constructiontimephase3)*($D79*((1+Inflation)^(K$2-1)))*(1+Developerfee)</f>
        <v>-5315238.4160411162</v>
      </c>
      <c r="L79" s="112">
        <f>-IF(OR(L$2=$H59,L$2=$H60,AND(L$2&gt;$H59,L$2&lt;$H60)),(INDEX(summary!$A$2:$D$24,MATCH($D60,summary!$A$2:$A$24,0),MATCH($D59,summary!$A$2:$D$2,0)))/constructiontimephase3)*($D79*((1+Inflation)^(L$2-1)))*(1+Developerfee)</f>
        <v>-5421543.1843619393</v>
      </c>
      <c r="M79" s="112">
        <f>-IF(OR(M$2=$H59,M$2=$H60,AND(M$2&gt;$H59,M$2&lt;$H60)),(INDEX(summary!$A$2:$D$24,MATCH($D60,summary!$A$2:$A$24,0),MATCH($D59,summary!$A$2:$D$2,0)))/constructiontimephase3)*($D79*((1+Inflation)^(M$2-1)))*(1+Developerfee)</f>
        <v>0</v>
      </c>
      <c r="N79" s="112">
        <f>-IF(OR(N$2=$H59,N$2=$H60,AND(N$2&gt;$H59,N$2&lt;$H60)),(INDEX(summary!$A$2:$D$24,MATCH($D60,summary!$A$2:$A$24,0),MATCH($D59,summary!$A$2:$D$2,0)))/constructiontimephase3)*($D79*((1+Inflation)^(N$2-1)))*(1+Developerfee)</f>
        <v>0</v>
      </c>
      <c r="O79" s="112">
        <f>-IF(OR(O$2=$H59,O$2=$H60,AND(O$2&gt;$H59,O$2&lt;$H60)),(INDEX(summary!$A$2:$D$24,MATCH($D60,summary!$A$2:$A$24,0),MATCH($D59,summary!$A$2:$D$2,0)))/constructiontimephase3)*($D79*((1+Inflation)^(O$2-1)))*(1+Developerfee)</f>
        <v>0</v>
      </c>
    </row>
    <row r="80" spans="2:15">
      <c r="B80" s="108" t="s">
        <v>197</v>
      </c>
      <c r="C80" s="855" t="s">
        <v>189</v>
      </c>
      <c r="D80" s="122">
        <f>(INDEX(cockpit!$J$6:$Y$16,MATCH($D60,cockpit!$J$6:$J$16,0),MATCH($C80,cockpit!$J$6:$Y$6,0))*(1-$K59))+((INDEX(cockpit!$J$6:$Y$16,MATCH($D60,cockpit!$J$6:$J$16,0),MATCH($C80,cockpit!$J$6:$Y$6,0))-(Premiumexitcaprate))*$K59)</f>
        <v>6.5000000000000002E-2</v>
      </c>
      <c r="E80" s="113">
        <f t="shared" ref="E80:O80" si="59">IF(E$2=dispositionyear,E73/$D80,0)*(1-Closingcosts)</f>
        <v>0</v>
      </c>
      <c r="F80" s="113">
        <f t="shared" si="59"/>
        <v>0</v>
      </c>
      <c r="G80" s="113">
        <f t="shared" si="59"/>
        <v>0</v>
      </c>
      <c r="H80" s="113">
        <f t="shared" si="59"/>
        <v>0</v>
      </c>
      <c r="I80" s="113">
        <f t="shared" si="59"/>
        <v>0</v>
      </c>
      <c r="J80" s="113">
        <f t="shared" si="59"/>
        <v>0</v>
      </c>
      <c r="K80" s="113">
        <f t="shared" si="59"/>
        <v>0</v>
      </c>
      <c r="L80" s="113">
        <f t="shared" si="59"/>
        <v>0</v>
      </c>
      <c r="M80" s="113">
        <f t="shared" si="59"/>
        <v>0</v>
      </c>
      <c r="N80" s="113">
        <f t="shared" si="59"/>
        <v>0</v>
      </c>
      <c r="O80" s="113">
        <f t="shared" si="59"/>
        <v>10528135.968182448</v>
      </c>
    </row>
    <row r="81" spans="2:15">
      <c r="B81" s="114" t="s">
        <v>196</v>
      </c>
      <c r="C81" s="855"/>
      <c r="D81" s="110"/>
      <c r="E81" s="112">
        <f>SUM(E79:E80)</f>
        <v>0</v>
      </c>
      <c r="F81" s="112">
        <f t="shared" ref="F81:O81" si="60">SUM(F79:F80)</f>
        <v>0</v>
      </c>
      <c r="G81" s="112">
        <f t="shared" si="60"/>
        <v>0</v>
      </c>
      <c r="H81" s="112">
        <f t="shared" si="60"/>
        <v>0</v>
      </c>
      <c r="I81" s="112">
        <f t="shared" si="60"/>
        <v>0</v>
      </c>
      <c r="J81" s="112">
        <f t="shared" si="60"/>
        <v>0</v>
      </c>
      <c r="K81" s="112">
        <f t="shared" si="60"/>
        <v>-5315238.4160411162</v>
      </c>
      <c r="L81" s="112">
        <f t="shared" si="60"/>
        <v>-5421543.1843619393</v>
      </c>
      <c r="M81" s="112">
        <f t="shared" si="60"/>
        <v>0</v>
      </c>
      <c r="N81" s="112">
        <f t="shared" si="60"/>
        <v>0</v>
      </c>
      <c r="O81" s="112">
        <f t="shared" si="60"/>
        <v>10528135.968182448</v>
      </c>
    </row>
    <row r="82" spans="2:15">
      <c r="B82" s="108"/>
      <c r="C82" s="855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5">
      <c r="B83" s="114" t="s">
        <v>169</v>
      </c>
      <c r="C83" s="856"/>
      <c r="D83" s="116">
        <f ca="1">IRR(OFFSET(E83,0,0,1,Investmenthorizon+1))</f>
        <v>4.8753434521418226E-2</v>
      </c>
      <c r="E83" s="117">
        <f>SUM(E73,E77,E81)</f>
        <v>0</v>
      </c>
      <c r="F83" s="117">
        <f t="shared" ref="F83:O83" si="61">SUM(F73,F77,F81)</f>
        <v>0</v>
      </c>
      <c r="G83" s="117">
        <f t="shared" si="61"/>
        <v>0</v>
      </c>
      <c r="H83" s="117">
        <f t="shared" si="61"/>
        <v>0</v>
      </c>
      <c r="I83" s="117">
        <f t="shared" si="61"/>
        <v>0</v>
      </c>
      <c r="J83" s="117">
        <f t="shared" si="61"/>
        <v>0</v>
      </c>
      <c r="K83" s="117">
        <f t="shared" si="61"/>
        <v>-5315238.4160411162</v>
      </c>
      <c r="L83" s="117">
        <f t="shared" si="61"/>
        <v>-5421543.1843619393</v>
      </c>
      <c r="M83" s="117">
        <f t="shared" si="61"/>
        <v>671505.07014971459</v>
      </c>
      <c r="N83" s="117">
        <f t="shared" si="61"/>
        <v>684997.49097270868</v>
      </c>
      <c r="O83" s="117">
        <f t="shared" si="61"/>
        <v>11226895.728394611</v>
      </c>
    </row>
    <row r="84" spans="2:15">
      <c r="B84" s="114"/>
      <c r="C84" s="856"/>
      <c r="D84" s="118"/>
      <c r="H84" s="119"/>
    </row>
    <row r="85" spans="2:15">
      <c r="E85" s="199"/>
      <c r="F85" s="199">
        <f t="shared" ref="F85:H85" si="62">SUM(F11,F38,F65)</f>
        <v>0</v>
      </c>
      <c r="G85" s="199">
        <f t="shared" si="62"/>
        <v>0</v>
      </c>
      <c r="H85" s="199">
        <f t="shared" si="62"/>
        <v>0</v>
      </c>
      <c r="I85" s="199">
        <f>SUM(I11,I38,I65)</f>
        <v>88.79862857142858</v>
      </c>
      <c r="J85" s="199">
        <f t="shared" ref="J85:O85" si="63">SUM(J11,J38,J65)</f>
        <v>88.79862857142858</v>
      </c>
      <c r="K85" s="199">
        <f t="shared" si="63"/>
        <v>204.40949881714289</v>
      </c>
      <c r="L85" s="199">
        <f t="shared" si="63"/>
        <v>204.40949881714289</v>
      </c>
      <c r="M85" s="199">
        <f t="shared" si="63"/>
        <v>263.76132738857149</v>
      </c>
      <c r="N85" s="199">
        <f t="shared" si="63"/>
        <v>263.76132738857149</v>
      </c>
      <c r="O85" s="199">
        <f t="shared" si="63"/>
        <v>263.76132738857149</v>
      </c>
    </row>
    <row r="86" spans="2:15">
      <c r="E86" s="199"/>
      <c r="F86" s="199">
        <f>SUM($E89:F89)</f>
        <v>0</v>
      </c>
      <c r="G86" s="199">
        <f>SUM($E89:G89)</f>
        <v>0</v>
      </c>
      <c r="H86" s="199">
        <f>SUM($E89:H89)</f>
        <v>0</v>
      </c>
      <c r="I86" s="199">
        <f>SUM($E89:I89)</f>
        <v>87.022656000000012</v>
      </c>
      <c r="J86" s="199">
        <f>SUM($E89:J89)</f>
        <v>87.022656000000012</v>
      </c>
      <c r="K86" s="199">
        <f>SUM($E89:K89)</f>
        <v>200.32130884080001</v>
      </c>
      <c r="L86" s="199">
        <f>SUM($E89:L89)</f>
        <v>200.32130884080001</v>
      </c>
      <c r="M86" s="199">
        <f>SUM($E89:M89)</f>
        <v>258.48610084080002</v>
      </c>
      <c r="N86" s="199">
        <f>SUM($E89:N89)</f>
        <v>258.48610084080002</v>
      </c>
      <c r="O86" s="199">
        <f>SUM($E89:O89)</f>
        <v>258.48610084080002</v>
      </c>
    </row>
    <row r="89" spans="2:15">
      <c r="E89" s="199"/>
      <c r="F89" s="199">
        <f t="shared" ref="F89:O89" si="64">SUM(F13,F40,F67)</f>
        <v>0</v>
      </c>
      <c r="G89" s="199">
        <f t="shared" si="64"/>
        <v>0</v>
      </c>
      <c r="H89" s="199">
        <f t="shared" si="64"/>
        <v>0</v>
      </c>
      <c r="I89" s="199">
        <f t="shared" si="64"/>
        <v>87.022656000000012</v>
      </c>
      <c r="J89" s="199">
        <f t="shared" si="64"/>
        <v>0</v>
      </c>
      <c r="K89" s="199">
        <f t="shared" si="64"/>
        <v>113.2986528408</v>
      </c>
      <c r="L89" s="199">
        <f t="shared" si="64"/>
        <v>0</v>
      </c>
      <c r="M89" s="199">
        <f t="shared" si="64"/>
        <v>58.164791999999998</v>
      </c>
      <c r="N89" s="199">
        <f t="shared" si="64"/>
        <v>0</v>
      </c>
      <c r="O89" s="199">
        <f t="shared" si="64"/>
        <v>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8FB6C-7D20-456D-9890-CF17F93937F7}">
  <sheetPr>
    <tabColor theme="9" tint="0.59999389629810485"/>
  </sheetPr>
  <dimension ref="B2:S87"/>
  <sheetViews>
    <sheetView showGridLines="0" topLeftCell="I21" zoomScale="80" zoomScaleNormal="80" workbookViewId="0">
      <selection activeCell="S14" sqref="S14"/>
    </sheetView>
  </sheetViews>
  <sheetFormatPr defaultRowHeight="9" customHeight="1"/>
  <cols>
    <col min="2" max="2" width="24.1796875" bestFit="1" customWidth="1"/>
    <col min="3" max="3" width="1.1796875" customWidth="1"/>
    <col min="5" max="5" width="9" bestFit="1" customWidth="1"/>
    <col min="6" max="7" width="11.453125" bestFit="1" customWidth="1"/>
    <col min="8" max="8" width="10.36328125" bestFit="1" customWidth="1"/>
    <col min="9" max="14" width="11.08984375" bestFit="1" customWidth="1"/>
    <col min="15" max="15" width="11.7265625" bestFit="1" customWidth="1"/>
    <col min="16" max="16" width="13" bestFit="1" customWidth="1"/>
    <col min="18" max="18" width="28.36328125" bestFit="1" customWidth="1"/>
  </cols>
  <sheetData>
    <row r="2" spans="2:19" ht="9" customHeight="1" thickBot="1">
      <c r="B2" s="129" t="s">
        <v>175</v>
      </c>
      <c r="C2" s="12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9" ht="9" customHeight="1" thickBot="1"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9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9" ht="9" customHeight="1">
      <c r="B5" s="126" t="s">
        <v>89</v>
      </c>
      <c r="C5" s="106"/>
      <c r="D5" s="133">
        <f>Phase1</f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f>summary!AF15</f>
        <v>0.12578127184651011</v>
      </c>
      <c r="L5" s="106"/>
      <c r="M5" s="106"/>
      <c r="N5" s="106"/>
      <c r="O5" s="106"/>
    </row>
    <row r="6" spans="2:19" ht="9" customHeight="1">
      <c r="B6" s="126" t="s">
        <v>93</v>
      </c>
      <c r="C6" s="106"/>
      <c r="D6" s="130" t="s">
        <v>224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9" ht="9" customHeight="1" thickBot="1">
      <c r="B7" s="137"/>
      <c r="C7" s="138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9" ht="9" customHeight="1">
      <c r="B8" s="106"/>
      <c r="C8" s="120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9" ht="9" customHeight="1">
      <c r="B9" s="108" t="s">
        <v>273</v>
      </c>
      <c r="C9" s="120"/>
      <c r="D9" s="106"/>
      <c r="E9" s="200">
        <v>0</v>
      </c>
      <c r="F9" s="200">
        <v>0</v>
      </c>
      <c r="G9" s="200">
        <v>0</v>
      </c>
      <c r="H9" s="377">
        <v>0</v>
      </c>
      <c r="I9" s="202">
        <f>SUM('acq-demo-repur'!G8)</f>
        <v>24300</v>
      </c>
      <c r="J9" s="199">
        <f t="shared" ref="J9:O9" si="0">I9</f>
        <v>24300</v>
      </c>
      <c r="K9" s="199">
        <f t="shared" si="0"/>
        <v>24300</v>
      </c>
      <c r="L9" s="199">
        <f t="shared" si="0"/>
        <v>24300</v>
      </c>
      <c r="M9" s="199">
        <f t="shared" si="0"/>
        <v>24300</v>
      </c>
      <c r="N9" s="199">
        <f t="shared" si="0"/>
        <v>24300</v>
      </c>
      <c r="O9" s="199">
        <f t="shared" si="0"/>
        <v>24300</v>
      </c>
    </row>
    <row r="10" spans="2:19" ht="9" customHeight="1">
      <c r="B10" s="108" t="s">
        <v>272</v>
      </c>
      <c r="C10" s="108"/>
      <c r="D10" s="106"/>
      <c r="E10" s="109">
        <f>IF(OR(E$2=$H7,E$2&gt;$H7),INDEX(summary!$A$2:$D$24,MATCH($D6,summary!$A$2:$A$24,0),MATCH($D5,summary!$A$2:$D$2,0)),0)</f>
        <v>0</v>
      </c>
      <c r="F10" s="109">
        <f>IF(OR(F$2=$H7,F$2&gt;$H7),INDEX(summary!$A$2:$D$24,MATCH($D6,summary!$A$2:$A$24,0),MATCH($D5,summary!$A$2:$D$2,0)),0)</f>
        <v>0</v>
      </c>
      <c r="G10" s="109">
        <f>IF(OR(G$2=$H7,G$2&gt;$H7),INDEX(summary!$A$2:$D$24,MATCH($D6,summary!$A$2:$A$24,0),MATCH($D5,summary!$A$2:$D$2,0)),0)</f>
        <v>0</v>
      </c>
      <c r="H10" s="109">
        <f>IF(OR(H$2=$H7,H$2&gt;$H7),INDEX(summary!$A$2:$D$24,MATCH($D6,summary!$A$2:$A$24,0),MATCH($D5,summary!$A$2:$D$2,0)),0)</f>
        <v>0</v>
      </c>
      <c r="I10" s="109">
        <f>IF(OR(I$2=$H7,I$2&gt;$H7),INDEX(summary!$A$2:$D$24,MATCH($D6,summary!$A$2:$A$24,0),MATCH($D5,summary!$A$2:$D$2,0)),0)</f>
        <v>768858.5</v>
      </c>
      <c r="J10" s="109">
        <f>IF(OR(J$2=$H7,J$2&gt;$H7),INDEX(summary!$A$2:$D$24,MATCH($D6,summary!$A$2:$A$24,0),MATCH($D5,summary!$A$2:$D$2,0)),0)</f>
        <v>768858.5</v>
      </c>
      <c r="K10" s="109">
        <f>IF(OR(K$2=$H7,K$2&gt;$H7),INDEX(summary!$A$2:$D$24,MATCH($D6,summary!$A$2:$A$24,0),MATCH($D5,summary!$A$2:$D$2,0)),0)</f>
        <v>768858.5</v>
      </c>
      <c r="L10" s="109">
        <f>IF(OR(L$2=$H7,L$2&gt;$H7),INDEX(summary!$A$2:$D$24,MATCH($D6,summary!$A$2:$A$24,0),MATCH($D5,summary!$A$2:$D$2,0)),0)</f>
        <v>768858.5</v>
      </c>
      <c r="M10" s="109">
        <f>IF(OR(M$2=$H7,M$2&gt;$H7),INDEX(summary!$A$2:$D$24,MATCH($D6,summary!$A$2:$A$24,0),MATCH($D5,summary!$A$2:$D$2,0)),0)</f>
        <v>768858.5</v>
      </c>
      <c r="N10" s="109">
        <f>IF(OR(N$2=$H7,N$2&gt;$H7),INDEX(summary!$A$2:$D$24,MATCH($D6,summary!$A$2:$A$24,0),MATCH($D5,summary!$A$2:$D$2,0)),0)</f>
        <v>768858.5</v>
      </c>
      <c r="O10" s="109">
        <f>IF(OR(O$2=$H7,O$2&gt;$H7),INDEX(summary!$A$2:$D$24,MATCH($D6,summary!$A$2:$A$24,0),MATCH($D5,summary!$A$2:$D$2,0)),0)</f>
        <v>768858.5</v>
      </c>
    </row>
    <row r="11" spans="2:19" ht="9" customHeight="1">
      <c r="B11" s="108" t="s">
        <v>194</v>
      </c>
      <c r="C11" s="121" t="s">
        <v>191</v>
      </c>
      <c r="D11" s="110">
        <f>INDEX(cockpit!$J$6:$Y$16,MATCH($D6,cockpit!$J$6:$J$16,0),MATCH($C$11,cockpit!$J$6:$Y$6,0))</f>
        <v>0</v>
      </c>
      <c r="E11" s="109">
        <f>E10*(1-$D11)</f>
        <v>0</v>
      </c>
      <c r="F11" s="109">
        <f>F10*(1-$D11)</f>
        <v>0</v>
      </c>
      <c r="G11" s="109">
        <f>G10*(1-$D11)</f>
        <v>0</v>
      </c>
      <c r="H11" s="109">
        <f>SUM(H9:H10)*(1-$D11)</f>
        <v>0</v>
      </c>
      <c r="I11" s="109">
        <f t="shared" ref="I11:O11" si="1">SUM(I9:I10)*(1-$D11)</f>
        <v>793158.5</v>
      </c>
      <c r="J11" s="109">
        <f t="shared" si="1"/>
        <v>793158.5</v>
      </c>
      <c r="K11" s="109">
        <f t="shared" si="1"/>
        <v>793158.5</v>
      </c>
      <c r="L11" s="109">
        <f t="shared" si="1"/>
        <v>793158.5</v>
      </c>
      <c r="M11" s="109">
        <f t="shared" si="1"/>
        <v>793158.5</v>
      </c>
      <c r="N11" s="109">
        <f t="shared" si="1"/>
        <v>793158.5</v>
      </c>
      <c r="O11" s="109">
        <f t="shared" si="1"/>
        <v>793158.5</v>
      </c>
    </row>
    <row r="12" spans="2:19" ht="9" customHeight="1">
      <c r="B12" s="108" t="s">
        <v>180</v>
      </c>
      <c r="C12" s="121" t="s">
        <v>152</v>
      </c>
      <c r="D12" s="122">
        <f>Officerampup</f>
        <v>0.3</v>
      </c>
      <c r="E12" s="109">
        <f>IF(OR(E$2=$H7,AND(E$2&gt;$H7,E$2&lt;(SUM($H7,INDEX(cockpit!$J$6:$Y$16,MATCH($D6,cockpit!$J$6:$J$16,0),MATCH($C$12,cockpit!$J$6:$Y$6,0)))))),E11*$D12,0)</f>
        <v>0</v>
      </c>
      <c r="F12" s="109">
        <f>IF(OR(F$2=$H7,AND(F$2&gt;$H7,F$2&lt;(SUM($H7,INDEX(cockpit!$J$6:$Y$16,MATCH($D6,cockpit!$J$6:$J$16,0),MATCH($C$12,cockpit!$J$6:$Y$6,0)))))),F11*$D12,0)</f>
        <v>0</v>
      </c>
      <c r="G12" s="109">
        <f>IF(OR(G$2=$H7,AND(G$2&gt;$H7,G$2&lt;(SUM($H7,INDEX(cockpit!$J$6:$Y$16,MATCH($D6,cockpit!$J$6:$J$16,0),MATCH($C$12,cockpit!$J$6:$Y$6,0)))))),G11*$D12,0)</f>
        <v>0</v>
      </c>
      <c r="H12" s="109">
        <f>IF(OR(H$2=$H7,AND(H$2&gt;$H7,H$2&lt;(SUM($H7,INDEX(cockpit!$J$6:$Y$16,MATCH($D6,cockpit!$J$6:$J$16,0),MATCH($C$12,cockpit!$J$6:$Y$6,0)))))),H11*$D12,0)</f>
        <v>0</v>
      </c>
      <c r="I12" s="109">
        <f>IF(OR(I$2=$H7,AND(I$2&gt;$H7,I$2&lt;(SUM($H7,INDEX(cockpit!$J$6:$Y$16,MATCH($D6,cockpit!$J$6:$J$16,0),MATCH($C$12,cockpit!$J$6:$Y$6,0)))))),I11*$D12,0)</f>
        <v>237947.55</v>
      </c>
      <c r="J12" s="109">
        <f>IF(OR(J$2=$H7,AND(J$2&gt;$H7,J$2&lt;(SUM($H7,INDEX(cockpit!$J$6:$Y$16,MATCH($D6,cockpit!$J$6:$J$16,0),MATCH($C$12,cockpit!$J$6:$Y$6,0)))))),J11*$D12,0)</f>
        <v>237947.55</v>
      </c>
      <c r="K12" s="109">
        <f>IF(OR(K$2=$H7,AND(K$2&gt;$H7,K$2&lt;(SUM($H7,INDEX(cockpit!$J$6:$Y$16,MATCH($D6,cockpit!$J$6:$J$16,0),MATCH($C$12,cockpit!$J$6:$Y$6,0)))))),K11*$D12,0)</f>
        <v>237947.55</v>
      </c>
      <c r="L12" s="109">
        <f>IF(OR(L$2=$H7,AND(L$2&gt;$H7,L$2&lt;(SUM($H7,INDEX(cockpit!$J$6:$Y$16,MATCH($D6,cockpit!$J$6:$J$16,0),MATCH($C$12,cockpit!$J$6:$Y$6,0)))))),L11*$D12,0)</f>
        <v>0</v>
      </c>
      <c r="M12" s="109">
        <f>IF(OR(M$2=$H7,AND(M$2&gt;$H7,M$2&lt;(SUM($H7,INDEX(cockpit!$J$6:$Y$16,MATCH($D6,cockpit!$J$6:$J$16,0),MATCH($C$12,cockpit!$J$6:$Y$6,0)))))),M11*$D12,0)</f>
        <v>0</v>
      </c>
      <c r="N12" s="109">
        <f>IF(OR(N$2=$H7,AND(N$2&gt;$H7,N$2&lt;(SUM($H7,INDEX(cockpit!$J$6:$Y$16,MATCH($D6,cockpit!$J$6:$J$16,0),MATCH($C$12,cockpit!$J$6:$Y$6,0)))))),N11*$D12,0)</f>
        <v>0</v>
      </c>
      <c r="O12" s="109">
        <f>IF(OR(O$2=$H7,AND(O$2&gt;$H7,O$2&lt;(SUM($H7,INDEX(cockpit!$J$6:$Y$16,MATCH($D6,cockpit!$J$6:$J$16,0),MATCH($C$12,cockpit!$J$6:$Y$6,0)))))),O11*$D12,0)</f>
        <v>0</v>
      </c>
      <c r="R12" s="106"/>
      <c r="S12" s="106" t="s">
        <v>853</v>
      </c>
    </row>
    <row r="13" spans="2:19" ht="9" customHeight="1">
      <c r="B13" s="108" t="s">
        <v>181</v>
      </c>
      <c r="C13" s="121"/>
      <c r="D13" s="106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237947.55</v>
      </c>
      <c r="J13" s="109">
        <f>SUM($E12:J12)</f>
        <v>475895.1</v>
      </c>
      <c r="K13" s="109">
        <f>SUM($E12:K12)</f>
        <v>713842.64999999991</v>
      </c>
      <c r="L13" s="109">
        <f>SUM($E12:L12)</f>
        <v>713842.64999999991</v>
      </c>
      <c r="M13" s="109">
        <f>SUM($E12:M12)</f>
        <v>713842.64999999991</v>
      </c>
      <c r="N13" s="109">
        <f>SUM($E12:N12)</f>
        <v>713842.64999999991</v>
      </c>
      <c r="O13" s="109">
        <f>SUM($E12:O12)</f>
        <v>713842.64999999991</v>
      </c>
      <c r="R13" s="106" t="s">
        <v>847</v>
      </c>
      <c r="S13" s="109">
        <f>P87</f>
        <v>172713.70586892861</v>
      </c>
    </row>
    <row r="14" spans="2:19" ht="9" customHeight="1">
      <c r="B14" s="106"/>
      <c r="C14" s="121"/>
      <c r="D14" s="106"/>
      <c r="E14" s="362">
        <f t="shared" ref="E14:G14" si="2">IFERROR(1-(E13/E11),0)</f>
        <v>0</v>
      </c>
      <c r="F14" s="362">
        <f t="shared" si="2"/>
        <v>0</v>
      </c>
      <c r="G14" s="362">
        <f t="shared" si="2"/>
        <v>0</v>
      </c>
      <c r="H14" s="362">
        <f>IFERROR(1-(H13/H11),0)</f>
        <v>0</v>
      </c>
      <c r="I14" s="362">
        <f t="shared" ref="I14:O14" si="3">IFERROR(1-(I13/I11),0)</f>
        <v>0.7</v>
      </c>
      <c r="J14" s="362">
        <f t="shared" si="3"/>
        <v>0.4</v>
      </c>
      <c r="K14" s="362">
        <f t="shared" si="3"/>
        <v>0.10000000000000009</v>
      </c>
      <c r="L14" s="362">
        <f t="shared" si="3"/>
        <v>0.10000000000000009</v>
      </c>
      <c r="M14" s="362">
        <f t="shared" si="3"/>
        <v>0.10000000000000009</v>
      </c>
      <c r="N14" s="362">
        <f t="shared" si="3"/>
        <v>0.10000000000000009</v>
      </c>
      <c r="O14" s="362">
        <f t="shared" si="3"/>
        <v>0.10000000000000009</v>
      </c>
      <c r="R14" s="106" t="s">
        <v>848</v>
      </c>
      <c r="S14" s="109">
        <v>1400000</v>
      </c>
    </row>
    <row r="15" spans="2:19" ht="9" customHeight="1">
      <c r="B15" s="108" t="s">
        <v>166</v>
      </c>
      <c r="C15" s="121"/>
      <c r="D15" s="111">
        <f>(OfficemarketratePSF*(1-$K5))+((OfficemarketratePSF*(1+premiumprices)*$K5))</f>
        <v>25.786132949040688</v>
      </c>
      <c r="E15" s="112">
        <f t="shared" ref="E15:O15" si="4">E13*($D15*((1+Inflation)^(E$2-1)))</f>
        <v>0</v>
      </c>
      <c r="F15" s="112">
        <f t="shared" si="4"/>
        <v>0</v>
      </c>
      <c r="G15" s="112">
        <f t="shared" si="4"/>
        <v>0</v>
      </c>
      <c r="H15" s="112">
        <f t="shared" si="4"/>
        <v>0</v>
      </c>
      <c r="I15" s="112">
        <f t="shared" si="4"/>
        <v>6511303.9713187283</v>
      </c>
      <c r="J15" s="112">
        <f t="shared" si="4"/>
        <v>13283060.101490205</v>
      </c>
      <c r="K15" s="112">
        <f t="shared" si="4"/>
        <v>20323081.955280013</v>
      </c>
      <c r="L15" s="112">
        <f t="shared" si="4"/>
        <v>20729543.594385616</v>
      </c>
      <c r="M15" s="112">
        <f t="shared" si="4"/>
        <v>21144134.466273323</v>
      </c>
      <c r="N15" s="112">
        <f t="shared" si="4"/>
        <v>21567017.155598793</v>
      </c>
      <c r="O15" s="112">
        <f t="shared" si="4"/>
        <v>21998357.498710766</v>
      </c>
      <c r="R15" s="106" t="s">
        <v>849</v>
      </c>
      <c r="S15" s="109">
        <v>104517959</v>
      </c>
    </row>
    <row r="16" spans="2:19" ht="9" customHeight="1">
      <c r="B16" s="108" t="s">
        <v>216</v>
      </c>
      <c r="C16" s="121"/>
      <c r="D16" s="111">
        <f>IF(INDEX(cockpit!$J$6:$Y$16,MATCH($D6,cockpit!$J$6:$J$16,0),MATCH($B16,cockpit!$J$6:$Y$6,0))="Y",D17,0)</f>
        <v>10</v>
      </c>
      <c r="E16" s="112">
        <f t="shared" ref="E16:O16" si="5">-IF($D16&gt;0,E17,0)*(1-E14)</f>
        <v>0</v>
      </c>
      <c r="F16" s="112">
        <f t="shared" si="5"/>
        <v>0</v>
      </c>
      <c r="G16" s="112">
        <f t="shared" si="5"/>
        <v>0</v>
      </c>
      <c r="H16" s="112">
        <f t="shared" si="5"/>
        <v>0</v>
      </c>
      <c r="I16" s="112">
        <f t="shared" si="5"/>
        <v>2525118.436404</v>
      </c>
      <c r="J16" s="112">
        <f t="shared" si="5"/>
        <v>5151241.6102641597</v>
      </c>
      <c r="K16" s="112">
        <f t="shared" si="5"/>
        <v>7881399.6637041643</v>
      </c>
      <c r="L16" s="112">
        <f t="shared" si="5"/>
        <v>8039027.6569782486</v>
      </c>
      <c r="M16" s="112">
        <f t="shared" si="5"/>
        <v>8199808.2101178113</v>
      </c>
      <c r="N16" s="112">
        <f t="shared" si="5"/>
        <v>8363804.374320168</v>
      </c>
      <c r="O16" s="112">
        <f t="shared" si="5"/>
        <v>8531080.461806573</v>
      </c>
      <c r="P16" s="112"/>
    </row>
    <row r="17" spans="2:18" ht="9" customHeight="1">
      <c r="B17" s="108" t="s">
        <v>123</v>
      </c>
      <c r="C17" s="121"/>
      <c r="D17" s="111">
        <f>INDEX(cockpit!$J$6:$Y$16,MATCH($D6,cockpit!$J$6:$J$16,0),MATCH($B17,cockpit!$J$6:$Y$6,0))</f>
        <v>10</v>
      </c>
      <c r="E17" s="113">
        <f>-IF($D17&gt;1,E10*($D17*((1+Inflation)^(E$2-1))),E15*(1-$D17))</f>
        <v>0</v>
      </c>
      <c r="F17" s="113">
        <f>-IF($D17&gt;1,F10*($D17*((1+Inflation)^(F$2-1))),F15*(1-$D17))</f>
        <v>0</v>
      </c>
      <c r="G17" s="113">
        <f>-IF($D17&gt;1,G10*($D17*((1+Inflation)^(G$2-1))),G15*(1-$D17))</f>
        <v>0</v>
      </c>
      <c r="H17" s="113">
        <f t="shared" ref="H17:O17" si="6">-IF($D17&gt;1,SUM(H9,H10)*($D17*((1+Inflation)^(H$2-1))),H15*(1-$D17))</f>
        <v>0</v>
      </c>
      <c r="I17" s="113">
        <f t="shared" si="6"/>
        <v>-8417061.4546799995</v>
      </c>
      <c r="J17" s="113">
        <f t="shared" si="6"/>
        <v>-8585402.6837735996</v>
      </c>
      <c r="K17" s="113">
        <f t="shared" si="6"/>
        <v>-8757110.7374490723</v>
      </c>
      <c r="L17" s="113">
        <f t="shared" si="6"/>
        <v>-8932252.9521980546</v>
      </c>
      <c r="M17" s="113">
        <f t="shared" si="6"/>
        <v>-9110898.0112420134</v>
      </c>
      <c r="N17" s="113">
        <f t="shared" si="6"/>
        <v>-9293115.9714668542</v>
      </c>
      <c r="O17" s="113">
        <f t="shared" si="6"/>
        <v>-9478978.2908961922</v>
      </c>
    </row>
    <row r="18" spans="2:18" ht="9" customHeight="1">
      <c r="B18" s="114" t="s">
        <v>167</v>
      </c>
      <c r="C18" s="121"/>
      <c r="D18" s="106"/>
      <c r="E18" s="112">
        <f>SUM(E15:E17)</f>
        <v>0</v>
      </c>
      <c r="F18" s="112">
        <f t="shared" ref="F18:O18" si="7">SUM(F15:F17)</f>
        <v>0</v>
      </c>
      <c r="G18" s="112">
        <f t="shared" si="7"/>
        <v>0</v>
      </c>
      <c r="H18" s="112">
        <f t="shared" si="7"/>
        <v>0</v>
      </c>
      <c r="I18" s="112">
        <f t="shared" si="7"/>
        <v>619360.95304272883</v>
      </c>
      <c r="J18" s="112">
        <f t="shared" si="7"/>
        <v>9848899.0279807672</v>
      </c>
      <c r="K18" s="112">
        <f t="shared" si="7"/>
        <v>19447370.881535105</v>
      </c>
      <c r="L18" s="112">
        <f t="shared" si="7"/>
        <v>19836318.299165811</v>
      </c>
      <c r="M18" s="112">
        <f t="shared" si="7"/>
        <v>20233044.665149119</v>
      </c>
      <c r="N18" s="112">
        <f t="shared" si="7"/>
        <v>20637705.558452107</v>
      </c>
      <c r="O18" s="112">
        <f t="shared" si="7"/>
        <v>21050459.669621147</v>
      </c>
    </row>
    <row r="19" spans="2:18" ht="9" customHeight="1">
      <c r="B19" s="106"/>
      <c r="C19" s="121"/>
      <c r="D19" s="106"/>
      <c r="E19" s="187">
        <f t="shared" ref="E19:O19" si="8">IFERROR(E18/SUM(E15:E16),0)</f>
        <v>0</v>
      </c>
      <c r="F19" s="187">
        <f t="shared" si="8"/>
        <v>0</v>
      </c>
      <c r="G19" s="187">
        <f t="shared" si="8"/>
        <v>0</v>
      </c>
      <c r="H19" s="187">
        <f t="shared" si="8"/>
        <v>0</v>
      </c>
      <c r="I19" s="187">
        <f t="shared" si="8"/>
        <v>6.8540504759207491E-2</v>
      </c>
      <c r="J19" s="187">
        <f t="shared" si="8"/>
        <v>0.53427025237960379</v>
      </c>
      <c r="K19" s="187">
        <f t="shared" si="8"/>
        <v>0.68951350158640246</v>
      </c>
      <c r="L19" s="187">
        <f t="shared" si="8"/>
        <v>0.68951350158640246</v>
      </c>
      <c r="M19" s="187">
        <f t="shared" si="8"/>
        <v>0.68951350158640246</v>
      </c>
      <c r="N19" s="187">
        <f t="shared" si="8"/>
        <v>0.68951350158640246</v>
      </c>
      <c r="O19" s="187">
        <f t="shared" si="8"/>
        <v>0.68951350158640246</v>
      </c>
    </row>
    <row r="20" spans="2:18" ht="9" customHeight="1">
      <c r="B20" s="108" t="s">
        <v>168</v>
      </c>
      <c r="C20" s="121"/>
      <c r="D20" s="115">
        <f>INDEX(cockpit!$J$6:$Y$16,MATCH($D6,cockpit!$J$6:$J$16,0),MATCH($B20,cockpit!$J$6:$Y$6,0))</f>
        <v>0.05</v>
      </c>
      <c r="E20" s="112">
        <f t="shared" ref="E20:O20" si="9">-E11*$D20</f>
        <v>0</v>
      </c>
      <c r="F20" s="112">
        <f t="shared" si="9"/>
        <v>0</v>
      </c>
      <c r="G20" s="112">
        <f t="shared" si="9"/>
        <v>0</v>
      </c>
      <c r="H20" s="112">
        <f t="shared" si="9"/>
        <v>0</v>
      </c>
      <c r="I20" s="112">
        <f t="shared" si="9"/>
        <v>-39657.925000000003</v>
      </c>
      <c r="J20" s="112">
        <f t="shared" si="9"/>
        <v>-39657.925000000003</v>
      </c>
      <c r="K20" s="112">
        <f t="shared" si="9"/>
        <v>-39657.925000000003</v>
      </c>
      <c r="L20" s="112">
        <f t="shared" si="9"/>
        <v>-39657.925000000003</v>
      </c>
      <c r="M20" s="112">
        <f t="shared" si="9"/>
        <v>-39657.925000000003</v>
      </c>
      <c r="N20" s="112">
        <f t="shared" si="9"/>
        <v>-39657.925000000003</v>
      </c>
      <c r="O20" s="112">
        <f t="shared" si="9"/>
        <v>-39657.925000000003</v>
      </c>
    </row>
    <row r="21" spans="2:18" ht="9" customHeight="1">
      <c r="B21" s="108" t="s">
        <v>162</v>
      </c>
      <c r="C21" s="121"/>
      <c r="D21" s="115">
        <f>INDEX(cockpit!$J$6:$Y$16,MATCH($D6,cockpit!$J$6:$J$16,0),MATCH($B21,cockpit!$J$6:$Y$6,0))</f>
        <v>1</v>
      </c>
      <c r="E21" s="113">
        <f t="shared" ref="E21:O21" si="10">-E13*$D21</f>
        <v>0</v>
      </c>
      <c r="F21" s="113">
        <f t="shared" si="10"/>
        <v>0</v>
      </c>
      <c r="G21" s="113">
        <f t="shared" si="10"/>
        <v>0</v>
      </c>
      <c r="H21" s="113">
        <f t="shared" si="10"/>
        <v>0</v>
      </c>
      <c r="I21" s="113">
        <f t="shared" si="10"/>
        <v>-237947.55</v>
      </c>
      <c r="J21" s="113">
        <f t="shared" si="10"/>
        <v>-475895.1</v>
      </c>
      <c r="K21" s="113">
        <f t="shared" si="10"/>
        <v>-713842.64999999991</v>
      </c>
      <c r="L21" s="113">
        <f t="shared" si="10"/>
        <v>-713842.64999999991</v>
      </c>
      <c r="M21" s="113">
        <f t="shared" si="10"/>
        <v>-713842.64999999991</v>
      </c>
      <c r="N21" s="113">
        <f t="shared" si="10"/>
        <v>-713842.64999999991</v>
      </c>
      <c r="O21" s="113">
        <f t="shared" si="10"/>
        <v>-713842.64999999991</v>
      </c>
    </row>
    <row r="22" spans="2:18" ht="9" customHeight="1">
      <c r="B22" s="114" t="s">
        <v>195</v>
      </c>
      <c r="C22" s="121"/>
      <c r="D22" s="115"/>
      <c r="E22" s="112">
        <f t="shared" ref="E22:O22" si="11">SUM(E20:E21)</f>
        <v>0</v>
      </c>
      <c r="F22" s="112">
        <f t="shared" si="11"/>
        <v>0</v>
      </c>
      <c r="G22" s="112">
        <f t="shared" si="11"/>
        <v>0</v>
      </c>
      <c r="H22" s="112">
        <f t="shared" si="11"/>
        <v>0</v>
      </c>
      <c r="I22" s="112">
        <f t="shared" si="11"/>
        <v>-277605.47499999998</v>
      </c>
      <c r="J22" s="112">
        <f t="shared" si="11"/>
        <v>-515553.02499999997</v>
      </c>
      <c r="K22" s="112">
        <f t="shared" si="11"/>
        <v>-753500.57499999995</v>
      </c>
      <c r="L22" s="112">
        <f t="shared" si="11"/>
        <v>-753500.57499999995</v>
      </c>
      <c r="M22" s="112">
        <f t="shared" si="11"/>
        <v>-753500.57499999995</v>
      </c>
      <c r="N22" s="112">
        <f t="shared" si="11"/>
        <v>-753500.57499999995</v>
      </c>
      <c r="O22" s="112">
        <f t="shared" si="11"/>
        <v>-753500.57499999995</v>
      </c>
      <c r="R22">
        <v>1</v>
      </c>
    </row>
    <row r="23" spans="2:18" ht="9" customHeight="1">
      <c r="B23" s="108"/>
      <c r="C23" s="121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R23">
        <v>2</v>
      </c>
    </row>
    <row r="24" spans="2:18" ht="9" customHeight="1">
      <c r="B24" s="108" t="s">
        <v>274</v>
      </c>
      <c r="C24" s="121"/>
      <c r="D24" s="106"/>
      <c r="E24" s="206">
        <v>0</v>
      </c>
      <c r="F24" s="378">
        <v>0</v>
      </c>
      <c r="G24" s="111">
        <f>-('acq-demo-repur'!U8+'acq-demo-repur'!U7)</f>
        <v>-19066954.398437954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R24" s="206">
        <v>3</v>
      </c>
    </row>
    <row r="25" spans="2:18" ht="9" customHeight="1">
      <c r="B25" s="108" t="s">
        <v>277</v>
      </c>
      <c r="C25" s="121"/>
      <c r="D25" s="106"/>
      <c r="E25" s="206">
        <v>0</v>
      </c>
      <c r="F25" s="206">
        <v>0</v>
      </c>
      <c r="G25" s="377">
        <v>0</v>
      </c>
      <c r="H25" s="111">
        <f>-'acq-demo-repur'!S8</f>
        <v>-850500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R25" s="206">
        <v>4</v>
      </c>
    </row>
    <row r="26" spans="2:18" ht="9" customHeight="1">
      <c r="B26" s="108" t="s">
        <v>688</v>
      </c>
      <c r="C26" s="121"/>
      <c r="D26" s="111">
        <f>INDEX(cockpit!$J$6:$Y$16,MATCH($D6,cockpit!$J$6:$J$16,0),MATCH($B26,cockpit!$J$6:$Y$6,0))</f>
        <v>50</v>
      </c>
      <c r="E26" s="112">
        <f>$D$26*F12</f>
        <v>0</v>
      </c>
      <c r="F26" s="112">
        <f t="shared" ref="F26:O26" si="12">-(IF(F27&lt;0,SUM($E12:$O12)*$D26*(1+Inflation)^(F$2-1)*(1+Developerfee)))/constructiontimephase1</f>
        <v>-12254298.824999997</v>
      </c>
      <c r="G26" s="112">
        <f t="shared" si="12"/>
        <v>-12499384.801499998</v>
      </c>
      <c r="H26" s="112">
        <f t="shared" si="12"/>
        <v>-12749372.497529997</v>
      </c>
      <c r="I26" s="112">
        <f t="shared" si="12"/>
        <v>0</v>
      </c>
      <c r="J26" s="112">
        <f t="shared" si="12"/>
        <v>0</v>
      </c>
      <c r="K26" s="112">
        <f t="shared" si="12"/>
        <v>0</v>
      </c>
      <c r="L26" s="112">
        <f t="shared" si="12"/>
        <v>0</v>
      </c>
      <c r="M26" s="112">
        <f t="shared" si="12"/>
        <v>0</v>
      </c>
      <c r="N26" s="112">
        <f t="shared" si="12"/>
        <v>0</v>
      </c>
      <c r="O26" s="112">
        <f t="shared" si="12"/>
        <v>0</v>
      </c>
      <c r="R26">
        <v>5</v>
      </c>
    </row>
    <row r="27" spans="2:18" ht="9" customHeight="1">
      <c r="B27" s="108" t="s">
        <v>170</v>
      </c>
      <c r="C27" s="121"/>
      <c r="D27" s="111">
        <f>(OfficeconstructionratePSF*(1-$K5))+((OfficeconstructionratePSF*(1+premiumprices)*$K5))</f>
        <v>139.24511792481971</v>
      </c>
      <c r="E27" s="112">
        <f>-IF(OR(E$2=$H5,E$2=$H6,AND(E$2&gt;$H5,E$2&lt;$H6)),(INDEX(summary!$A$2:$D$24,MATCH($D6,summary!$A$2:$A$24,0),MATCH($D5,summary!$A$2:$D$2,0)))/constructiontimephase1)*($D27*((1+Inflation)^(E$2-1)))*(1+Developerfee)</f>
        <v>0</v>
      </c>
      <c r="F27" s="112">
        <f>-IF(OR(F$2=$H5,F$2=$H6,AND(F$2&gt;$H5,F$2&lt;$H6)),(INDEX(summary!$A$2:$D$24,MATCH($D6,summary!$A$2:$A$24,0),MATCH($D5,summary!$A$2:$D$2,0)))/constructiontimephase1)*($D27*((1+Inflation)^(F$2-1)))*(1+Developerfee)</f>
        <v>-36757195.425000004</v>
      </c>
      <c r="G27" s="112">
        <f>-IF(OR(G$2=$H5,G$2=$H6,AND(G$2&gt;$H5,G$2&lt;$H6)),(INDEX(summary!$A$2:$D$24,MATCH($D6,summary!$A$2:$A$24,0),MATCH($D5,summary!$A$2:$D$2,0)))/constructiontimephase1)*($D27*((1+Inflation)^(G$2-1)))*(1+Developerfee)</f>
        <v>-37492339.333499998</v>
      </c>
      <c r="H27" s="112">
        <f>-IF(OR(H$2=$H5,H$2=$H6,AND(H$2&gt;$H5,H$2&lt;$H6)),(INDEX(summary!$A$2:$D$24,MATCH($D6,summary!$A$2:$A$24,0),MATCH($D5,summary!$A$2:$D$2,0)))/constructiontimephase1)*($D27*((1+Inflation)^(H$2-1)))*(1+Developerfee)</f>
        <v>-38242186.120169997</v>
      </c>
      <c r="I27" s="112">
        <f>-IF(OR(I$2=$H5,I$2=$H6,AND(I$2&gt;$H5,I$2&lt;$H6)),(INDEX(summary!$A$2:$D$24,MATCH($D6,summary!$A$2:$A$24,0),MATCH($D5,summary!$A$2:$D$2,0)))/constructiontimephase1)*($D27*((1+Inflation)^(I$2-1)))*(1+Developerfee)</f>
        <v>0</v>
      </c>
      <c r="J27" s="112">
        <f>-IF(OR(J$2=$H5,J$2=$H6,AND(J$2&gt;$H5,J$2&lt;$H6)),(INDEX(summary!$A$2:$D$24,MATCH($D6,summary!$A$2:$A$24,0),MATCH($D5,summary!$A$2:$D$2,0)))/constructiontimephase1)*($D27*((1+Inflation)^(J$2-1)))*(1+Developerfee)</f>
        <v>0</v>
      </c>
      <c r="K27" s="112">
        <f>-IF(OR(K$2=$H5,K$2=$H6,AND(K$2&gt;$H5,K$2&lt;$H6)),(INDEX(summary!$A$2:$D$24,MATCH($D6,summary!$A$2:$A$24,0),MATCH($D5,summary!$A$2:$D$2,0)))/constructiontimephase1)*($D27*((1+Inflation)^(K$2-1)))*(1+Developerfee)</f>
        <v>0</v>
      </c>
      <c r="L27" s="112">
        <f>-IF(OR(L$2=$H5,L$2=$H6,AND(L$2&gt;$H5,L$2&lt;$H6)),(INDEX(summary!$A$2:$D$24,MATCH($D6,summary!$A$2:$A$24,0),MATCH($D5,summary!$A$2:$D$2,0)))/constructiontimephase1)*($D27*((1+Inflation)^(L$2-1)))*(1+Developerfee)</f>
        <v>0</v>
      </c>
      <c r="M27" s="112">
        <f>-IF(OR(M$2=$H5,M$2=$H6,AND(M$2&gt;$H5,M$2&lt;$H6)),(INDEX(summary!$A$2:$D$24,MATCH($D6,summary!$A$2:$A$24,0),MATCH($D5,summary!$A$2:$D$2,0)))/constructiontimephase1)*($D27*((1+Inflation)^(M$2-1)))*(1+Developerfee)</f>
        <v>0</v>
      </c>
      <c r="N27" s="112">
        <f>-IF(OR(N$2=$H5,N$2=$H6,AND(N$2&gt;$H5,N$2&lt;$H6)),(INDEX(summary!$A$2:$D$24,MATCH($D6,summary!$A$2:$A$24,0),MATCH($D5,summary!$A$2:$D$2,0)))/constructiontimephase1)*($D27*((1+Inflation)^(N$2-1)))*(1+Developerfee)</f>
        <v>0</v>
      </c>
      <c r="O27" s="112">
        <f>-IF(OR(O$2=$H5,O$2=$H6,AND(O$2&gt;$H5,O$2&lt;$H6)),(INDEX(summary!$A$2:$D$24,MATCH($D6,summary!$A$2:$A$24,0),MATCH($D5,summary!$A$2:$D$2,0)))/constructiontimephase1)*($D27*((1+Inflation)^(O$2-1)))*(1+Developerfee)</f>
        <v>0</v>
      </c>
      <c r="R27">
        <v>6</v>
      </c>
    </row>
    <row r="28" spans="2:18" ht="9" customHeight="1">
      <c r="B28" s="108" t="s">
        <v>197</v>
      </c>
      <c r="C28" s="121" t="s">
        <v>189</v>
      </c>
      <c r="D28" s="122">
        <f>(INDEX(cockpit!$J$6:$Y$16,MATCH($D6,cockpit!$J$6:$J$16,0),MATCH($C28,cockpit!$J$6:$Y$6,0))*(1-$K5))+((INDEX(cockpit!$J$6:$Y$16,MATCH($D6,cockpit!$J$6:$J$16,0),MATCH($C28,cockpit!$J$6:$Y$6,0))-(Premiumexitcaprate))*$K5)</f>
        <v>7.405664046115118E-2</v>
      </c>
      <c r="E28" s="113">
        <f t="shared" ref="E28:O28" si="13">IF(E$2=dispositionyear,E18/$D28,0)*(1-Closingcosts)</f>
        <v>0</v>
      </c>
      <c r="F28" s="113">
        <f t="shared" si="13"/>
        <v>0</v>
      </c>
      <c r="G28" s="113">
        <f t="shared" si="13"/>
        <v>0</v>
      </c>
      <c r="H28" s="113">
        <f t="shared" si="13"/>
        <v>0</v>
      </c>
      <c r="I28" s="113">
        <f t="shared" si="13"/>
        <v>0</v>
      </c>
      <c r="J28" s="113">
        <f t="shared" si="13"/>
        <v>0</v>
      </c>
      <c r="K28" s="113">
        <f t="shared" si="13"/>
        <v>0</v>
      </c>
      <c r="L28" s="113">
        <f t="shared" si="13"/>
        <v>0</v>
      </c>
      <c r="M28" s="113">
        <f t="shared" si="13"/>
        <v>0</v>
      </c>
      <c r="N28" s="113">
        <f t="shared" si="13"/>
        <v>0</v>
      </c>
      <c r="O28" s="113">
        <f t="shared" si="13"/>
        <v>277141901.79403633</v>
      </c>
      <c r="R28">
        <v>7</v>
      </c>
    </row>
    <row r="29" spans="2:18" ht="9" customHeight="1">
      <c r="B29" s="114" t="s">
        <v>196</v>
      </c>
      <c r="C29" s="121"/>
      <c r="D29" s="110"/>
      <c r="E29" s="112">
        <f>SUM(E24:E28)</f>
        <v>0</v>
      </c>
      <c r="F29" s="112">
        <f t="shared" ref="F29:O29" si="14">SUM(F24:F28)</f>
        <v>-49011494.25</v>
      </c>
      <c r="G29" s="112">
        <f t="shared" si="14"/>
        <v>-69058678.533437952</v>
      </c>
      <c r="H29" s="112">
        <f t="shared" si="14"/>
        <v>-51842058.617699996</v>
      </c>
      <c r="I29" s="112">
        <f t="shared" si="14"/>
        <v>0</v>
      </c>
      <c r="J29" s="112">
        <f t="shared" si="14"/>
        <v>0</v>
      </c>
      <c r="K29" s="112">
        <f t="shared" si="14"/>
        <v>0</v>
      </c>
      <c r="L29" s="112">
        <f t="shared" si="14"/>
        <v>0</v>
      </c>
      <c r="M29" s="112">
        <f t="shared" si="14"/>
        <v>0</v>
      </c>
      <c r="N29" s="112">
        <f t="shared" si="14"/>
        <v>0</v>
      </c>
      <c r="O29" s="112">
        <f t="shared" si="14"/>
        <v>277141901.79403633</v>
      </c>
      <c r="R29">
        <v>8</v>
      </c>
    </row>
    <row r="30" spans="2:18" ht="9" customHeight="1">
      <c r="B30" s="108"/>
      <c r="C30" s="121"/>
      <c r="D30" s="110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R30">
        <v>9</v>
      </c>
    </row>
    <row r="31" spans="2:18" ht="9" customHeight="1">
      <c r="B31" s="114" t="s">
        <v>169</v>
      </c>
      <c r="C31" s="114"/>
      <c r="D31" s="116">
        <f ca="1">IRR(OFFSET(E31,0,0,1,Investmenthorizon+1))</f>
        <v>0.11851286452595078</v>
      </c>
      <c r="E31" s="117">
        <f t="shared" ref="E31:O31" si="15">SUM(E18,E22,E29)</f>
        <v>0</v>
      </c>
      <c r="F31" s="117">
        <f t="shared" si="15"/>
        <v>-49011494.25</v>
      </c>
      <c r="G31" s="117">
        <f t="shared" si="15"/>
        <v>-69058678.533437952</v>
      </c>
      <c r="H31" s="117">
        <f t="shared" si="15"/>
        <v>-51842058.617699996</v>
      </c>
      <c r="I31" s="117">
        <f t="shared" si="15"/>
        <v>341755.47804272885</v>
      </c>
      <c r="J31" s="117">
        <f t="shared" si="15"/>
        <v>9333346.0029807668</v>
      </c>
      <c r="K31" s="117">
        <f t="shared" si="15"/>
        <v>18693870.306535106</v>
      </c>
      <c r="L31" s="117">
        <f t="shared" si="15"/>
        <v>19082817.724165812</v>
      </c>
      <c r="M31" s="117">
        <f t="shared" si="15"/>
        <v>19479544.090149119</v>
      </c>
      <c r="N31" s="117">
        <f t="shared" si="15"/>
        <v>19884204.983452108</v>
      </c>
      <c r="O31" s="117">
        <f t="shared" si="15"/>
        <v>297438860.88865745</v>
      </c>
      <c r="R31">
        <v>10</v>
      </c>
    </row>
    <row r="32" spans="2:18" ht="9" customHeight="1" thickBot="1"/>
    <row r="33" spans="2:15" ht="9" customHeight="1">
      <c r="B33" s="123" t="s">
        <v>198</v>
      </c>
      <c r="C33" s="124"/>
      <c r="D33" s="124"/>
      <c r="E33" s="134"/>
      <c r="F33" s="135"/>
      <c r="G33" s="135"/>
      <c r="H33" s="135"/>
      <c r="I33" s="135"/>
      <c r="J33" s="135"/>
      <c r="K33" s="125"/>
      <c r="L33" s="107"/>
      <c r="M33" s="107"/>
      <c r="N33" s="107"/>
      <c r="O33" s="107"/>
    </row>
    <row r="34" spans="2:15" ht="9" customHeight="1">
      <c r="B34" s="126" t="s">
        <v>89</v>
      </c>
      <c r="C34" s="106"/>
      <c r="D34" s="133">
        <v>2</v>
      </c>
      <c r="E34" s="106"/>
      <c r="F34" s="106"/>
      <c r="G34" s="107" t="s">
        <v>204</v>
      </c>
      <c r="H34" s="133">
        <f>Phase2begin</f>
        <v>4</v>
      </c>
      <c r="I34" s="106"/>
      <c r="J34" s="107" t="s">
        <v>201</v>
      </c>
      <c r="K34" s="136">
        <f>summary!AH15</f>
        <v>0</v>
      </c>
      <c r="L34" s="106"/>
      <c r="M34" s="106"/>
      <c r="N34" s="106"/>
      <c r="O34" s="106"/>
    </row>
    <row r="35" spans="2:15" ht="9" customHeight="1">
      <c r="B35" s="126" t="s">
        <v>93</v>
      </c>
      <c r="C35" s="106"/>
      <c r="D35" s="130" t="s">
        <v>109</v>
      </c>
      <c r="E35" s="106"/>
      <c r="F35" s="106"/>
      <c r="G35" s="107" t="s">
        <v>205</v>
      </c>
      <c r="H35" s="133">
        <f>Phase2end</f>
        <v>5</v>
      </c>
      <c r="I35" s="106"/>
      <c r="J35" s="106"/>
      <c r="K35" s="127"/>
      <c r="L35" s="106"/>
      <c r="M35" s="106"/>
      <c r="N35" s="106"/>
      <c r="O35" s="106"/>
    </row>
    <row r="36" spans="2:15" ht="9" customHeight="1" thickBot="1">
      <c r="B36" s="137"/>
      <c r="C36" s="138"/>
      <c r="D36" s="138"/>
      <c r="E36" s="138"/>
      <c r="F36" s="138"/>
      <c r="G36" s="129" t="s">
        <v>199</v>
      </c>
      <c r="H36" s="131">
        <f>Phase2open</f>
        <v>6</v>
      </c>
      <c r="I36" s="138"/>
      <c r="J36" s="138"/>
      <c r="K36" s="128"/>
      <c r="L36" s="106"/>
      <c r="M36" s="106"/>
      <c r="N36" s="106"/>
      <c r="O36" s="106"/>
    </row>
    <row r="37" spans="2:15" ht="9" customHeight="1">
      <c r="B37" s="106"/>
      <c r="C37" s="120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</row>
    <row r="38" spans="2:15" ht="9" customHeight="1">
      <c r="B38" s="108" t="s">
        <v>182</v>
      </c>
      <c r="C38" s="108"/>
      <c r="D38" s="106"/>
      <c r="E38" s="109">
        <f>IF(OR(E$2=$H36,E$2&gt;$H36),INDEX(summary!$A$2:$D$24,MATCH($D35,summary!$A$2:$A$24,0),MATCH($D34,summary!$A$2:$D$2,0)),0)</f>
        <v>0</v>
      </c>
      <c r="F38" s="109">
        <f>IF(OR(F$2=$H36,F$2&gt;$H36),INDEX(summary!$A$2:$D$24,MATCH($D35,summary!$A$2:$A$24,0),MATCH($D34,summary!$A$2:$D$2,0)),0)</f>
        <v>0</v>
      </c>
      <c r="G38" s="109">
        <f>IF(OR(G$2=$H36,G$2&gt;$H36),INDEX(summary!$A$2:$D$24,MATCH($D35,summary!$A$2:$A$24,0),MATCH($D34,summary!$A$2:$D$2,0)),0)</f>
        <v>0</v>
      </c>
      <c r="H38" s="109">
        <f>IF(OR(H$2=$H36,H$2&gt;$H36),INDEX(summary!$A$2:$D$24,MATCH($D35,summary!$A$2:$A$24,0),MATCH($D34,summary!$A$2:$D$2,0)),0)</f>
        <v>0</v>
      </c>
      <c r="I38" s="109">
        <f>IF(OR(I$2=$H36,I$2&gt;$H36),INDEX(summary!$A$2:$D$24,MATCH($D35,summary!$A$2:$A$24,0),MATCH($D34,summary!$A$2:$D$2,0)),0)</f>
        <v>0</v>
      </c>
      <c r="J38" s="109">
        <f>IF(OR(J$2=$H36,J$2&gt;$H36),INDEX(summary!$A$2:$D$24,MATCH($D35,summary!$A$2:$A$24,0),MATCH($D34,summary!$A$2:$D$2,0)),0)</f>
        <v>0</v>
      </c>
      <c r="K38" s="109">
        <f>IF(OR(K$2=$H36,K$2&gt;$H36),INDEX(summary!$A$2:$D$24,MATCH($D35,summary!$A$2:$A$24,0),MATCH($D34,summary!$A$2:$D$2,0)),0)</f>
        <v>38790.5</v>
      </c>
      <c r="L38" s="109">
        <f>IF(OR(L$2=$H36,L$2&gt;$H36),INDEX(summary!$A$2:$D$24,MATCH($D35,summary!$A$2:$A$24,0),MATCH($D34,summary!$A$2:$D$2,0)),0)</f>
        <v>38790.5</v>
      </c>
      <c r="M38" s="109">
        <f>IF(OR(M$2=$H36,M$2&gt;$H36),INDEX(summary!$A$2:$D$24,MATCH($D35,summary!$A$2:$A$24,0),MATCH($D34,summary!$A$2:$D$2,0)),0)</f>
        <v>38790.5</v>
      </c>
      <c r="N38" s="109">
        <f>IF(OR(N$2=$H36,N$2&gt;$H36),INDEX(summary!$A$2:$D$24,MATCH($D35,summary!$A$2:$A$24,0),MATCH($D34,summary!$A$2:$D$2,0)),0)</f>
        <v>38790.5</v>
      </c>
      <c r="O38" s="109">
        <f>IF(OR(O$2=$H36,O$2&gt;$H36),INDEX(summary!$A$2:$D$24,MATCH($D35,summary!$A$2:$A$24,0),MATCH($D34,summary!$A$2:$D$2,0)),0)</f>
        <v>38790.5</v>
      </c>
    </row>
    <row r="39" spans="2:15" ht="9" customHeight="1">
      <c r="B39" s="108" t="s">
        <v>194</v>
      </c>
      <c r="C39" s="121" t="s">
        <v>191</v>
      </c>
      <c r="D39" s="110">
        <f>INDEX(cockpit!$J$6:$Y$16,MATCH($D35,cockpit!$J$6:$J$16,0),MATCH($C$11,cockpit!$J$6:$Y$6,0))</f>
        <v>0</v>
      </c>
      <c r="E39" s="109">
        <f t="shared" ref="E39:O39" si="16">E38*(1-$D39)</f>
        <v>0</v>
      </c>
      <c r="F39" s="109">
        <f t="shared" si="16"/>
        <v>0</v>
      </c>
      <c r="G39" s="109">
        <f t="shared" si="16"/>
        <v>0</v>
      </c>
      <c r="H39" s="109">
        <f t="shared" si="16"/>
        <v>0</v>
      </c>
      <c r="I39" s="109">
        <f t="shared" si="16"/>
        <v>0</v>
      </c>
      <c r="J39" s="109">
        <f t="shared" si="16"/>
        <v>0</v>
      </c>
      <c r="K39" s="109">
        <f t="shared" si="16"/>
        <v>38790.5</v>
      </c>
      <c r="L39" s="109">
        <f t="shared" si="16"/>
        <v>38790.5</v>
      </c>
      <c r="M39" s="109">
        <f t="shared" si="16"/>
        <v>38790.5</v>
      </c>
      <c r="N39" s="109">
        <f t="shared" si="16"/>
        <v>38790.5</v>
      </c>
      <c r="O39" s="109">
        <f t="shared" si="16"/>
        <v>38790.5</v>
      </c>
    </row>
    <row r="40" spans="2:15" ht="9" customHeight="1">
      <c r="B40" s="108" t="s">
        <v>180</v>
      </c>
      <c r="C40" s="121" t="s">
        <v>152</v>
      </c>
      <c r="D40" s="122">
        <f>Officerampup</f>
        <v>0.3</v>
      </c>
      <c r="E40" s="109">
        <f>IF(OR(E$2=$H36,AND(E$2&gt;$H36,E$2&lt;(SUM($H36,INDEX(cockpit!$J$6:$Y$16,MATCH($D35,cockpit!$J$6:$J$16,0),MATCH($C$12,cockpit!$J$6:$Y$6,0)))))),E39*$D40,0)</f>
        <v>0</v>
      </c>
      <c r="F40" s="109">
        <f>IF(OR(F$2=$H36,AND(F$2&gt;$H36,F$2&lt;(SUM($H36,INDEX(cockpit!$J$6:$Y$16,MATCH($D35,cockpit!$J$6:$J$16,0),MATCH($C$12,cockpit!$J$6:$Y$6,0)))))),F39*$D40,0)</f>
        <v>0</v>
      </c>
      <c r="G40" s="109">
        <f>IF(OR(G$2=$H36,AND(G$2&gt;$H36,G$2&lt;(SUM($H36,INDEX(cockpit!$J$6:$Y$16,MATCH($D35,cockpit!$J$6:$J$16,0),MATCH($C$12,cockpit!$J$6:$Y$6,0)))))),G39*$D40,0)</f>
        <v>0</v>
      </c>
      <c r="H40" s="109">
        <f>IF(OR(H$2=$H36,AND(H$2&gt;$H36,H$2&lt;(SUM($H36,INDEX(cockpit!$J$6:$Y$16,MATCH($D35,cockpit!$J$6:$J$16,0),MATCH($C$12,cockpit!$J$6:$Y$6,0)))))),H39*$D40,0)</f>
        <v>0</v>
      </c>
      <c r="I40" s="109">
        <f>IF(OR(I$2=$H36,AND(I$2&gt;$H36,I$2&lt;(SUM($H36,INDEX(cockpit!$J$6:$Y$16,MATCH($D35,cockpit!$J$6:$J$16,0),MATCH($C$12,cockpit!$J$6:$Y$6,0)))))),I39*$D40,0)</f>
        <v>0</v>
      </c>
      <c r="J40" s="109">
        <f>IF(OR(J$2=$H36,AND(J$2&gt;$H36,J$2&lt;(SUM($H36,INDEX(cockpit!$J$6:$Y$16,MATCH($D35,cockpit!$J$6:$J$16,0),MATCH($C$12,cockpit!$J$6:$Y$6,0)))))),J39*$D40,0)</f>
        <v>0</v>
      </c>
      <c r="K40" s="109">
        <f>IF(OR(K$2=$H36,AND(K$2&gt;$H36,K$2&lt;(SUM($H36,INDEX(cockpit!$J$6:$Y$16,MATCH($D35,cockpit!$J$6:$J$16,0),MATCH($C$12,cockpit!$J$6:$Y$6,0)))))),K39*$D40,0)</f>
        <v>11637.15</v>
      </c>
      <c r="L40" s="109">
        <f>IF(OR(L$2=$H36,AND(L$2&gt;$H36,L$2&lt;(SUM($H36,INDEX(cockpit!$J$6:$Y$16,MATCH($D35,cockpit!$J$6:$J$16,0),MATCH($C$12,cockpit!$J$6:$Y$6,0)))))),L39*$D40,0)</f>
        <v>11637.15</v>
      </c>
      <c r="M40" s="109">
        <f>IF(OR(M$2=$H36,AND(M$2&gt;$H36,M$2&lt;(SUM($H36,INDEX(cockpit!$J$6:$Y$16,MATCH($D35,cockpit!$J$6:$J$16,0),MATCH($C$12,cockpit!$J$6:$Y$6,0)))))),M39*$D40,0)</f>
        <v>11637.15</v>
      </c>
      <c r="N40" s="109">
        <f>IF(OR(N$2=$H36,AND(N$2&gt;$H36,N$2&lt;(SUM($H36,INDEX(cockpit!$J$6:$Y$16,MATCH($D35,cockpit!$J$6:$J$16,0),MATCH($C$12,cockpit!$J$6:$Y$6,0)))))),N39*$D40,0)</f>
        <v>0</v>
      </c>
      <c r="O40" s="109">
        <f>IF(OR(O$2=$H36,AND(O$2&gt;$H36,O$2&lt;(SUM($H36,INDEX(cockpit!$J$6:$Y$16,MATCH($D35,cockpit!$J$6:$J$16,0),MATCH($C$12,cockpit!$J$6:$Y$6,0)))))),O39*$D40,0)</f>
        <v>0</v>
      </c>
    </row>
    <row r="41" spans="2:15" ht="9" customHeight="1">
      <c r="B41" s="108" t="s">
        <v>181</v>
      </c>
      <c r="C41" s="121"/>
      <c r="D41" s="106"/>
      <c r="E41" s="109">
        <f>SUM($E40:E40)</f>
        <v>0</v>
      </c>
      <c r="F41" s="109">
        <f>SUM($E40:F40)</f>
        <v>0</v>
      </c>
      <c r="G41" s="109">
        <f>SUM($E40:G40)</f>
        <v>0</v>
      </c>
      <c r="H41" s="109">
        <f>SUM($E40:H40)</f>
        <v>0</v>
      </c>
      <c r="I41" s="109">
        <f>SUM($E40:I40)</f>
        <v>0</v>
      </c>
      <c r="J41" s="109">
        <f>SUM($E40:J40)</f>
        <v>0</v>
      </c>
      <c r="K41" s="109">
        <f>SUM($E40:K40)</f>
        <v>11637.15</v>
      </c>
      <c r="L41" s="109">
        <f>SUM($E40:L40)</f>
        <v>23274.3</v>
      </c>
      <c r="M41" s="109">
        <f>SUM($E40:M40)</f>
        <v>34911.449999999997</v>
      </c>
      <c r="N41" s="109">
        <f>SUM($E40:N40)</f>
        <v>34911.449999999997</v>
      </c>
      <c r="O41" s="109">
        <f>SUM($E40:O40)</f>
        <v>34911.449999999997</v>
      </c>
    </row>
    <row r="42" spans="2:15" ht="9" customHeight="1">
      <c r="B42" s="106"/>
      <c r="C42" s="121"/>
      <c r="D42" s="106"/>
      <c r="E42" s="362">
        <f t="shared" ref="E42:G42" si="17">IFERROR(1-(E41/E39),0)</f>
        <v>0</v>
      </c>
      <c r="F42" s="362">
        <f t="shared" si="17"/>
        <v>0</v>
      </c>
      <c r="G42" s="362">
        <f t="shared" si="17"/>
        <v>0</v>
      </c>
      <c r="H42" s="362">
        <f>IFERROR(1-(H41/H39),0)</f>
        <v>0</v>
      </c>
      <c r="I42" s="362">
        <f t="shared" ref="I42:O42" si="18">IFERROR(1-(I41/I39),0)</f>
        <v>0</v>
      </c>
      <c r="J42" s="362">
        <f t="shared" si="18"/>
        <v>0</v>
      </c>
      <c r="K42" s="362">
        <f t="shared" si="18"/>
        <v>0.7</v>
      </c>
      <c r="L42" s="362">
        <f t="shared" si="18"/>
        <v>0.4</v>
      </c>
      <c r="M42" s="362">
        <f t="shared" si="18"/>
        <v>0.10000000000000009</v>
      </c>
      <c r="N42" s="362">
        <f t="shared" si="18"/>
        <v>0.10000000000000009</v>
      </c>
      <c r="O42" s="362">
        <f t="shared" si="18"/>
        <v>0.10000000000000009</v>
      </c>
    </row>
    <row r="43" spans="2:15" ht="9" customHeight="1">
      <c r="B43" s="108" t="s">
        <v>166</v>
      </c>
      <c r="C43" s="121"/>
      <c r="D43" s="111">
        <f>(OfficemarketratePSF*(1-$K34))+((OfficemarketratePSF*(1+premiumprices)*$K34))</f>
        <v>25</v>
      </c>
      <c r="E43" s="112">
        <f t="shared" ref="E43:O43" si="19">E41*($D43*((1+Inflation)^(E$2-1)))</f>
        <v>0</v>
      </c>
      <c r="F43" s="112">
        <f t="shared" si="19"/>
        <v>0</v>
      </c>
      <c r="G43" s="112">
        <f t="shared" si="19"/>
        <v>0</v>
      </c>
      <c r="H43" s="112">
        <f t="shared" si="19"/>
        <v>0</v>
      </c>
      <c r="I43" s="112">
        <f t="shared" si="19"/>
        <v>0</v>
      </c>
      <c r="J43" s="112">
        <f t="shared" si="19"/>
        <v>0</v>
      </c>
      <c r="K43" s="112">
        <f t="shared" si="19"/>
        <v>321208.84797397198</v>
      </c>
      <c r="L43" s="112">
        <f t="shared" si="19"/>
        <v>655266.04986690287</v>
      </c>
      <c r="M43" s="112">
        <f t="shared" si="19"/>
        <v>1002557.0562963611</v>
      </c>
      <c r="N43" s="112">
        <f t="shared" si="19"/>
        <v>1022608.1974222885</v>
      </c>
      <c r="O43" s="112">
        <f t="shared" si="19"/>
        <v>1043060.3613707343</v>
      </c>
    </row>
    <row r="44" spans="2:15" ht="9" customHeight="1">
      <c r="B44" s="108" t="s">
        <v>216</v>
      </c>
      <c r="C44" s="121"/>
      <c r="D44" s="111">
        <f>IF(INDEX(cockpit!$J$6:$Y$16,MATCH($D35,cockpit!$J$6:$J$16,0),MATCH($B44,cockpit!$J$6:$Y$6,0))="Y",D45,0)</f>
        <v>10</v>
      </c>
      <c r="E44" s="112">
        <f t="shared" ref="E44:O44" si="20">-IF($D44&gt;0,E45,0)*(1-E42)</f>
        <v>0</v>
      </c>
      <c r="F44" s="112">
        <f t="shared" si="20"/>
        <v>0</v>
      </c>
      <c r="G44" s="112">
        <f t="shared" si="20"/>
        <v>0</v>
      </c>
      <c r="H44" s="112">
        <f t="shared" si="20"/>
        <v>0</v>
      </c>
      <c r="I44" s="112">
        <f t="shared" si="20"/>
        <v>0</v>
      </c>
      <c r="J44" s="112">
        <f t="shared" si="20"/>
        <v>0</v>
      </c>
      <c r="K44" s="112">
        <f t="shared" si="20"/>
        <v>128483.53918958883</v>
      </c>
      <c r="L44" s="112">
        <f t="shared" si="20"/>
        <v>262106.41994676116</v>
      </c>
      <c r="M44" s="112">
        <f t="shared" si="20"/>
        <v>401022.8225185445</v>
      </c>
      <c r="N44" s="112">
        <f t="shared" si="20"/>
        <v>409043.2789689154</v>
      </c>
      <c r="O44" s="112">
        <f t="shared" si="20"/>
        <v>417224.14454829373</v>
      </c>
    </row>
    <row r="45" spans="2:15" ht="9" customHeight="1">
      <c r="B45" s="108" t="s">
        <v>123</v>
      </c>
      <c r="C45" s="121"/>
      <c r="D45" s="111">
        <f>INDEX(cockpit!$J$6:$Y$16,MATCH($D35,cockpit!$J$6:$J$16,0),MATCH($B45,cockpit!$J$6:$Y$6,0))</f>
        <v>10</v>
      </c>
      <c r="E45" s="113">
        <f t="shared" ref="E45:O45" si="21">-IF($D45&gt;1,E38*($D45*((1+Inflation)^(E$2-1))),E43*(1-$D45))</f>
        <v>0</v>
      </c>
      <c r="F45" s="113">
        <f t="shared" si="21"/>
        <v>0</v>
      </c>
      <c r="G45" s="113">
        <f t="shared" si="21"/>
        <v>0</v>
      </c>
      <c r="H45" s="113">
        <f t="shared" si="21"/>
        <v>0</v>
      </c>
      <c r="I45" s="113">
        <f t="shared" si="21"/>
        <v>0</v>
      </c>
      <c r="J45" s="113">
        <f t="shared" si="21"/>
        <v>0</v>
      </c>
      <c r="K45" s="113">
        <f t="shared" si="21"/>
        <v>-428278.46396529605</v>
      </c>
      <c r="L45" s="113">
        <f t="shared" si="21"/>
        <v>-436844.03324460197</v>
      </c>
      <c r="M45" s="113">
        <f t="shared" si="21"/>
        <v>-445580.91390949395</v>
      </c>
      <c r="N45" s="113">
        <f t="shared" si="21"/>
        <v>-454492.5321876838</v>
      </c>
      <c r="O45" s="113">
        <f t="shared" si="21"/>
        <v>-463582.38283143751</v>
      </c>
    </row>
    <row r="46" spans="2:15" ht="9" customHeight="1">
      <c r="B46" s="114" t="s">
        <v>167</v>
      </c>
      <c r="C46" s="121"/>
      <c r="D46" s="106"/>
      <c r="E46" s="112">
        <f t="shared" ref="E46:O46" si="22">SUM(E43:E45)</f>
        <v>0</v>
      </c>
      <c r="F46" s="112">
        <f t="shared" si="22"/>
        <v>0</v>
      </c>
      <c r="G46" s="112">
        <f t="shared" si="22"/>
        <v>0</v>
      </c>
      <c r="H46" s="112">
        <f t="shared" si="22"/>
        <v>0</v>
      </c>
      <c r="I46" s="112">
        <f t="shared" si="22"/>
        <v>0</v>
      </c>
      <c r="J46" s="112">
        <f t="shared" si="22"/>
        <v>0</v>
      </c>
      <c r="K46" s="112">
        <f t="shared" si="22"/>
        <v>21413.923198264791</v>
      </c>
      <c r="L46" s="112">
        <f t="shared" si="22"/>
        <v>480528.436569062</v>
      </c>
      <c r="M46" s="112">
        <f t="shared" si="22"/>
        <v>957998.9649054117</v>
      </c>
      <c r="N46" s="112">
        <f t="shared" si="22"/>
        <v>977158.94420352019</v>
      </c>
      <c r="O46" s="112">
        <f t="shared" si="22"/>
        <v>996702.12308759056</v>
      </c>
    </row>
    <row r="47" spans="2:15" ht="9" customHeight="1">
      <c r="B47" s="106"/>
      <c r="C47" s="121"/>
      <c r="D47" s="106"/>
      <c r="E47" s="187">
        <f t="shared" ref="E47:O47" si="23">IFERROR(E46/SUM(E43:E44),0)</f>
        <v>0</v>
      </c>
      <c r="F47" s="187">
        <f t="shared" si="23"/>
        <v>0</v>
      </c>
      <c r="G47" s="187">
        <f t="shared" si="23"/>
        <v>0</v>
      </c>
      <c r="H47" s="187">
        <f t="shared" si="23"/>
        <v>0</v>
      </c>
      <c r="I47" s="187">
        <f t="shared" si="23"/>
        <v>0</v>
      </c>
      <c r="J47" s="187">
        <f t="shared" si="23"/>
        <v>0</v>
      </c>
      <c r="K47" s="187">
        <f t="shared" si="23"/>
        <v>4.7619047619047596E-2</v>
      </c>
      <c r="L47" s="187">
        <f t="shared" si="23"/>
        <v>0.52380952380952372</v>
      </c>
      <c r="M47" s="187">
        <f t="shared" si="23"/>
        <v>0.68253968253968245</v>
      </c>
      <c r="N47" s="187">
        <f t="shared" si="23"/>
        <v>0.68253968253968256</v>
      </c>
      <c r="O47" s="187">
        <f t="shared" si="23"/>
        <v>0.68253968253968256</v>
      </c>
    </row>
    <row r="48" spans="2:15" ht="9" customHeight="1">
      <c r="B48" s="108" t="s">
        <v>168</v>
      </c>
      <c r="C48" s="121"/>
      <c r="D48" s="115">
        <f>INDEX(cockpit!$J$6:$Y$16,MATCH($D35,cockpit!$J$6:$J$16,0),MATCH($B48,cockpit!$J$6:$Y$6,0))</f>
        <v>0.05</v>
      </c>
      <c r="E48" s="112">
        <f>-E39*$D48</f>
        <v>0</v>
      </c>
      <c r="F48" s="112">
        <f t="shared" ref="F48:O48" si="24">-F39*$D48</f>
        <v>0</v>
      </c>
      <c r="G48" s="112">
        <f t="shared" si="24"/>
        <v>0</v>
      </c>
      <c r="H48" s="112">
        <f t="shared" si="24"/>
        <v>0</v>
      </c>
      <c r="I48" s="112">
        <f t="shared" si="24"/>
        <v>0</v>
      </c>
      <c r="J48" s="112">
        <f t="shared" si="24"/>
        <v>0</v>
      </c>
      <c r="K48" s="112">
        <f t="shared" si="24"/>
        <v>-1939.5250000000001</v>
      </c>
      <c r="L48" s="112">
        <f t="shared" si="24"/>
        <v>-1939.5250000000001</v>
      </c>
      <c r="M48" s="112">
        <f t="shared" si="24"/>
        <v>-1939.5250000000001</v>
      </c>
      <c r="N48" s="112">
        <f t="shared" si="24"/>
        <v>-1939.5250000000001</v>
      </c>
      <c r="O48" s="112">
        <f t="shared" si="24"/>
        <v>-1939.5250000000001</v>
      </c>
    </row>
    <row r="49" spans="2:15" ht="9" customHeight="1">
      <c r="B49" s="108" t="s">
        <v>162</v>
      </c>
      <c r="C49" s="121"/>
      <c r="D49" s="115">
        <f>INDEX(cockpit!$J$6:$Y$16,MATCH($D35,cockpit!$J$6:$J$16,0),MATCH($B49,cockpit!$J$6:$Y$6,0))</f>
        <v>1</v>
      </c>
      <c r="E49" s="113">
        <f t="shared" ref="E49:O49" si="25">-E41*$D49</f>
        <v>0</v>
      </c>
      <c r="F49" s="113">
        <f t="shared" si="25"/>
        <v>0</v>
      </c>
      <c r="G49" s="113">
        <f t="shared" si="25"/>
        <v>0</v>
      </c>
      <c r="H49" s="113">
        <f t="shared" si="25"/>
        <v>0</v>
      </c>
      <c r="I49" s="113">
        <f t="shared" si="25"/>
        <v>0</v>
      </c>
      <c r="J49" s="113">
        <f t="shared" si="25"/>
        <v>0</v>
      </c>
      <c r="K49" s="113">
        <f t="shared" si="25"/>
        <v>-11637.15</v>
      </c>
      <c r="L49" s="113">
        <f t="shared" si="25"/>
        <v>-23274.3</v>
      </c>
      <c r="M49" s="113">
        <f t="shared" si="25"/>
        <v>-34911.449999999997</v>
      </c>
      <c r="N49" s="113">
        <f t="shared" si="25"/>
        <v>-34911.449999999997</v>
      </c>
      <c r="O49" s="113">
        <f t="shared" si="25"/>
        <v>-34911.449999999997</v>
      </c>
    </row>
    <row r="50" spans="2:15" ht="9" customHeight="1">
      <c r="B50" s="114" t="s">
        <v>195</v>
      </c>
      <c r="C50" s="121"/>
      <c r="D50" s="115"/>
      <c r="E50" s="112">
        <f t="shared" ref="E50:O50" si="26">SUM(E48:E49)</f>
        <v>0</v>
      </c>
      <c r="F50" s="112">
        <f t="shared" si="26"/>
        <v>0</v>
      </c>
      <c r="G50" s="112">
        <f t="shared" si="26"/>
        <v>0</v>
      </c>
      <c r="H50" s="112">
        <f t="shared" si="26"/>
        <v>0</v>
      </c>
      <c r="I50" s="112">
        <f t="shared" si="26"/>
        <v>0</v>
      </c>
      <c r="J50" s="112">
        <f t="shared" si="26"/>
        <v>0</v>
      </c>
      <c r="K50" s="112">
        <f t="shared" si="26"/>
        <v>-13576.674999999999</v>
      </c>
      <c r="L50" s="112">
        <f t="shared" si="26"/>
        <v>-25213.825000000001</v>
      </c>
      <c r="M50" s="112">
        <f t="shared" si="26"/>
        <v>-36850.974999999999</v>
      </c>
      <c r="N50" s="112">
        <f t="shared" si="26"/>
        <v>-36850.974999999999</v>
      </c>
      <c r="O50" s="112">
        <f t="shared" si="26"/>
        <v>-36850.974999999999</v>
      </c>
    </row>
    <row r="51" spans="2:15" ht="9" customHeight="1">
      <c r="B51" s="108"/>
      <c r="C51" s="121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ht="9" customHeight="1">
      <c r="B52" s="108" t="s">
        <v>688</v>
      </c>
      <c r="C52" s="121"/>
      <c r="D52" s="111">
        <f>INDEX(cockpit!$J$6:$Y$16,MATCH($D35,cockpit!$J$6:$J$16,0),MATCH($B52,cockpit!$J$6:$Y$6,0))</f>
        <v>50</v>
      </c>
      <c r="E52" s="112">
        <f t="shared" ref="E52:O52" si="27">-(IF(E53&lt;0,SUM($E40:$O40)*$D52*(1+Inflation)^(E$2-1)*(1+Developerfee)))/constructiontimephase2</f>
        <v>0</v>
      </c>
      <c r="F52" s="112">
        <f t="shared" si="27"/>
        <v>0</v>
      </c>
      <c r="G52" s="112">
        <f t="shared" si="27"/>
        <v>0</v>
      </c>
      <c r="H52" s="112">
        <f t="shared" si="27"/>
        <v>0</v>
      </c>
      <c r="I52" s="112">
        <f t="shared" si="27"/>
        <v>-953993.98331369983</v>
      </c>
      <c r="J52" s="112">
        <f t="shared" si="27"/>
        <v>-973073.8629799739</v>
      </c>
      <c r="K52" s="112">
        <f t="shared" si="27"/>
        <v>0</v>
      </c>
      <c r="L52" s="112">
        <f t="shared" si="27"/>
        <v>0</v>
      </c>
      <c r="M52" s="112">
        <f t="shared" si="27"/>
        <v>0</v>
      </c>
      <c r="N52" s="112">
        <f t="shared" si="27"/>
        <v>0</v>
      </c>
      <c r="O52" s="112">
        <f t="shared" si="27"/>
        <v>0</v>
      </c>
    </row>
    <row r="53" spans="2:15" ht="9" customHeight="1">
      <c r="B53" s="108" t="s">
        <v>170</v>
      </c>
      <c r="C53" s="121"/>
      <c r="D53" s="111">
        <f>(OfficeconstructionratePSF*(1-$K34))+((OfficeconstructionratePSF*(1+premiumprices)*$K34))</f>
        <v>135</v>
      </c>
      <c r="E53" s="112">
        <f>-IF(OR(E$2=$H34,E$2=$H35,AND(E$2&gt;$H34,E$2&lt;$H35)),(INDEX(summary!$A$2:$D$24,MATCH($D35,summary!$A$2:$A$24,0),MATCH($D34,summary!$A$2:$D$2,0)))/constructiontimephase2)*($D53*((1+Inflation)^(E$2-1)))*(1+Developerfee)</f>
        <v>0</v>
      </c>
      <c r="F53" s="112">
        <f>-IF(OR(F$2=$H34,F$2=$H35,AND(F$2&gt;$H34,F$2&lt;$H35)),(INDEX(summary!$A$2:$D$24,MATCH($D35,summary!$A$2:$A$24,0),MATCH($D34,summary!$A$2:$D$2,0)))/constructiontimephase2)*($D53*((1+Inflation)^(F$2-1)))*(1+Developerfee)</f>
        <v>0</v>
      </c>
      <c r="G53" s="112">
        <f>-IF(OR(G$2=$H34,G$2=$H35,AND(G$2&gt;$H34,G$2&lt;$H35)),(INDEX(summary!$A$2:$D$24,MATCH($D35,summary!$A$2:$A$24,0),MATCH($D34,summary!$A$2:$D$2,0)))/constructiontimephase2)*($D53*((1+Inflation)^(G$2-1)))*(1+Developerfee)</f>
        <v>0</v>
      </c>
      <c r="H53" s="112">
        <f>-IF(OR(H$2=$H34,H$2=$H35,AND(H$2&gt;$H34,H$2&lt;$H35)),(INDEX(summary!$A$2:$D$24,MATCH($D35,summary!$A$2:$A$24,0),MATCH($D34,summary!$A$2:$D$2,0)))/constructiontimephase2)*($D53*((1+Inflation)^(H$2-1)))*(1+Developerfee)</f>
        <v>0</v>
      </c>
      <c r="I53" s="112">
        <f>-IF(OR(I$2=$H34,I$2=$H35,AND(I$2&gt;$H34,I$2&lt;$H35)),(INDEX(summary!$A$2:$D$24,MATCH($D35,summary!$A$2:$A$24,0),MATCH($D34,summary!$A$2:$D$2,0)))/constructiontimephase2)*($D53*((1+Inflation)^(I$2-1)))*(1+Developerfee)</f>
        <v>-2861981.9499411001</v>
      </c>
      <c r="J53" s="112">
        <f>-IF(OR(J$2=$H34,J$2=$H35,AND(J$2&gt;$H34,J$2&lt;$H35)),(INDEX(summary!$A$2:$D$24,MATCH($D35,summary!$A$2:$A$24,0),MATCH($D34,summary!$A$2:$D$2,0)))/constructiontimephase2)*($D53*((1+Inflation)^(J$2-1)))*(1+Developerfee)</f>
        <v>-2919221.5889399219</v>
      </c>
      <c r="K53" s="112">
        <f>-IF(OR(K$2=$H34,K$2=$H35,AND(K$2&gt;$H34,K$2&lt;$H35)),(INDEX(summary!$A$2:$D$24,MATCH($D35,summary!$A$2:$A$24,0),MATCH($D34,summary!$A$2:$D$2,0)))/constructiontimephase2)*($D53*((1+Inflation)^(K$2-1)))*(1+Developerfee)</f>
        <v>0</v>
      </c>
      <c r="L53" s="112">
        <f>-IF(OR(L$2=$H34,L$2=$H35,AND(L$2&gt;$H34,L$2&lt;$H35)),(INDEX(summary!$A$2:$D$24,MATCH($D35,summary!$A$2:$A$24,0),MATCH($D34,summary!$A$2:$D$2,0)))/constructiontimephase2)*($D53*((1+Inflation)^(L$2-1)))*(1+Developerfee)</f>
        <v>0</v>
      </c>
      <c r="M53" s="112">
        <f>-IF(OR(M$2=$H34,M$2=$H35,AND(M$2&gt;$H34,M$2&lt;$H35)),(INDEX(summary!$A$2:$D$24,MATCH($D35,summary!$A$2:$A$24,0),MATCH($D34,summary!$A$2:$D$2,0)))/constructiontimephase2)*($D53*((1+Inflation)^(M$2-1)))*(1+Developerfee)</f>
        <v>0</v>
      </c>
      <c r="N53" s="112">
        <f>-IF(OR(N$2=$H34,N$2=$H35,AND(N$2&gt;$H34,N$2&lt;$H35)),(INDEX(summary!$A$2:$D$24,MATCH($D35,summary!$A$2:$A$24,0),MATCH($D34,summary!$A$2:$D$2,0)))/constructiontimephase2)*($D53*((1+Inflation)^(N$2-1)))*(1+Developerfee)</f>
        <v>0</v>
      </c>
      <c r="O53" s="112">
        <f>-IF(OR(O$2=$H34,O$2=$H35,AND(O$2&gt;$H34,O$2&lt;$H35)),(INDEX(summary!$A$2:$D$24,MATCH($D35,summary!$A$2:$A$24,0),MATCH($D34,summary!$A$2:$D$2,0)))/constructiontimephase2)*($D53*((1+Inflation)^(O$2-1)))*(1+Developerfee)</f>
        <v>0</v>
      </c>
    </row>
    <row r="54" spans="2:15" ht="9" customHeight="1">
      <c r="B54" s="108" t="s">
        <v>197</v>
      </c>
      <c r="C54" s="121" t="s">
        <v>189</v>
      </c>
      <c r="D54" s="122">
        <f>(INDEX(cockpit!$J$6:$Y$16,MATCH($D35,cockpit!$J$6:$J$16,0),MATCH($C54,cockpit!$J$6:$Y$6,0))*(1-$K34))+((INDEX(cockpit!$J$6:$Y$16,MATCH($D35,cockpit!$J$6:$J$16,0),MATCH($C54,cockpit!$J$6:$Y$6,0))-(Premiumexitcaprate))*$K34)</f>
        <v>7.4999999999999997E-2</v>
      </c>
      <c r="E54" s="113">
        <f t="shared" ref="E54:O54" si="28">IF(E$2=dispositionyear,E46/$D54,0)*(1-Closingcosts)</f>
        <v>0</v>
      </c>
      <c r="F54" s="113">
        <f t="shared" si="28"/>
        <v>0</v>
      </c>
      <c r="G54" s="113">
        <f t="shared" si="28"/>
        <v>0</v>
      </c>
      <c r="H54" s="113">
        <f t="shared" si="28"/>
        <v>0</v>
      </c>
      <c r="I54" s="113">
        <f t="shared" si="28"/>
        <v>0</v>
      </c>
      <c r="J54" s="113">
        <f t="shared" si="28"/>
        <v>0</v>
      </c>
      <c r="K54" s="113">
        <f t="shared" si="28"/>
        <v>0</v>
      </c>
      <c r="L54" s="113">
        <f t="shared" si="28"/>
        <v>0</v>
      </c>
      <c r="M54" s="113">
        <f t="shared" si="28"/>
        <v>0</v>
      </c>
      <c r="N54" s="113">
        <f t="shared" si="28"/>
        <v>0</v>
      </c>
      <c r="O54" s="113">
        <f t="shared" si="28"/>
        <v>12957127.600138677</v>
      </c>
    </row>
    <row r="55" spans="2:15" ht="9" customHeight="1">
      <c r="B55" s="114" t="s">
        <v>196</v>
      </c>
      <c r="C55" s="121"/>
      <c r="D55" s="110"/>
      <c r="E55" s="112">
        <f>SUM(E52:E54)</f>
        <v>0</v>
      </c>
      <c r="F55" s="112">
        <f t="shared" ref="F55:O55" si="29">SUM(F52:F54)</f>
        <v>0</v>
      </c>
      <c r="G55" s="112">
        <f t="shared" si="29"/>
        <v>0</v>
      </c>
      <c r="H55" s="112">
        <f t="shared" si="29"/>
        <v>0</v>
      </c>
      <c r="I55" s="112">
        <f t="shared" si="29"/>
        <v>-3815975.9332547998</v>
      </c>
      <c r="J55" s="112">
        <f t="shared" si="29"/>
        <v>-3892295.4519198956</v>
      </c>
      <c r="K55" s="112">
        <f t="shared" si="29"/>
        <v>0</v>
      </c>
      <c r="L55" s="112">
        <f t="shared" si="29"/>
        <v>0</v>
      </c>
      <c r="M55" s="112">
        <f t="shared" si="29"/>
        <v>0</v>
      </c>
      <c r="N55" s="112">
        <f t="shared" si="29"/>
        <v>0</v>
      </c>
      <c r="O55" s="112">
        <f t="shared" si="29"/>
        <v>12957127.600138677</v>
      </c>
    </row>
    <row r="56" spans="2:15" ht="9" customHeight="1">
      <c r="B56" s="108"/>
      <c r="C56" s="121"/>
      <c r="D56" s="110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</row>
    <row r="57" spans="2:15" ht="9" customHeight="1">
      <c r="B57" s="114" t="s">
        <v>169</v>
      </c>
      <c r="C57" s="114"/>
      <c r="D57" s="116">
        <f ca="1">IRR(OFFSET(E57,0,0,1,Investmenthorizon+1))</f>
        <v>0.15353025362259554</v>
      </c>
      <c r="E57" s="117">
        <f t="shared" ref="E57:O57" si="30">SUM(E46,E50,E55)</f>
        <v>0</v>
      </c>
      <c r="F57" s="117">
        <f t="shared" si="30"/>
        <v>0</v>
      </c>
      <c r="G57" s="117">
        <f t="shared" si="30"/>
        <v>0</v>
      </c>
      <c r="H57" s="117">
        <f t="shared" si="30"/>
        <v>0</v>
      </c>
      <c r="I57" s="117">
        <f t="shared" si="30"/>
        <v>-3815975.9332547998</v>
      </c>
      <c r="J57" s="117">
        <f t="shared" si="30"/>
        <v>-3892295.4519198956</v>
      </c>
      <c r="K57" s="117">
        <f t="shared" si="30"/>
        <v>7837.2481982647914</v>
      </c>
      <c r="L57" s="117">
        <f t="shared" si="30"/>
        <v>455314.61156906199</v>
      </c>
      <c r="M57" s="117">
        <f t="shared" si="30"/>
        <v>921147.98990541173</v>
      </c>
      <c r="N57" s="117">
        <f t="shared" si="30"/>
        <v>940307.96920352022</v>
      </c>
      <c r="O57" s="117">
        <f t="shared" si="30"/>
        <v>13916978.748226268</v>
      </c>
    </row>
    <row r="58" spans="2:15" ht="9" customHeight="1" thickBot="1">
      <c r="B58" s="114"/>
      <c r="C58" s="114"/>
      <c r="D58" s="118"/>
      <c r="E58" s="106"/>
      <c r="F58" s="106"/>
      <c r="G58" s="106"/>
      <c r="H58" s="119"/>
      <c r="I58" s="106"/>
      <c r="J58" s="106"/>
      <c r="K58" s="106"/>
      <c r="L58" s="106"/>
      <c r="M58" s="106"/>
      <c r="N58" s="106"/>
      <c r="O58" s="106"/>
    </row>
    <row r="59" spans="2:15" ht="9" customHeight="1">
      <c r="B59" s="123" t="s">
        <v>198</v>
      </c>
      <c r="C59" s="124"/>
      <c r="D59" s="124"/>
      <c r="E59" s="134"/>
      <c r="F59" s="135"/>
      <c r="G59" s="135"/>
      <c r="H59" s="135"/>
      <c r="I59" s="135"/>
      <c r="J59" s="135"/>
      <c r="K59" s="125"/>
      <c r="L59" s="107"/>
      <c r="M59" s="107"/>
      <c r="N59" s="107"/>
      <c r="O59" s="107"/>
    </row>
    <row r="60" spans="2:15" ht="7.5" customHeight="1">
      <c r="B60" s="126" t="s">
        <v>89</v>
      </c>
      <c r="C60" s="106"/>
      <c r="D60" s="133">
        <v>3</v>
      </c>
      <c r="E60" s="106"/>
      <c r="F60" s="106"/>
      <c r="G60" s="107" t="s">
        <v>204</v>
      </c>
      <c r="H60" s="133">
        <f>Phase3begin</f>
        <v>6</v>
      </c>
      <c r="I60" s="106"/>
      <c r="J60" s="107" t="s">
        <v>201</v>
      </c>
      <c r="K60" s="136">
        <f>summary!AJ15</f>
        <v>0</v>
      </c>
      <c r="L60" s="106"/>
      <c r="M60" s="106"/>
      <c r="N60" s="106"/>
      <c r="O60" s="106"/>
    </row>
    <row r="61" spans="2:15" ht="9" customHeight="1">
      <c r="B61" s="126" t="s">
        <v>93</v>
      </c>
      <c r="C61" s="106"/>
      <c r="D61" s="130" t="s">
        <v>109</v>
      </c>
      <c r="E61" s="106"/>
      <c r="F61" s="106"/>
      <c r="G61" s="107" t="s">
        <v>205</v>
      </c>
      <c r="H61" s="133">
        <f>Phase3end</f>
        <v>7</v>
      </c>
      <c r="I61" s="106"/>
      <c r="J61" s="106"/>
      <c r="K61" s="127"/>
      <c r="L61" s="106"/>
      <c r="M61" s="106"/>
      <c r="N61" s="106"/>
      <c r="O61" s="106"/>
    </row>
    <row r="62" spans="2:15" ht="9" customHeight="1" thickBot="1">
      <c r="B62" s="137"/>
      <c r="C62" s="138"/>
      <c r="D62" s="138"/>
      <c r="E62" s="138"/>
      <c r="F62" s="138"/>
      <c r="G62" s="129" t="s">
        <v>199</v>
      </c>
      <c r="H62" s="131">
        <f>Phase3open</f>
        <v>8</v>
      </c>
      <c r="I62" s="138"/>
      <c r="J62" s="138"/>
      <c r="K62" s="128"/>
      <c r="L62" s="106"/>
      <c r="M62" s="106"/>
      <c r="N62" s="106"/>
      <c r="O62" s="106"/>
    </row>
    <row r="63" spans="2:15" ht="9" customHeight="1">
      <c r="B63" s="106"/>
      <c r="C63" s="120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</row>
    <row r="64" spans="2:15" ht="9" customHeight="1">
      <c r="B64" s="108" t="s">
        <v>182</v>
      </c>
      <c r="C64" s="108"/>
      <c r="D64" s="106"/>
      <c r="E64" s="109">
        <f>IF(OR(E$2=$H62,E$2&gt;$H62),INDEX(summary!$A$2:$D$24,MATCH($D61,summary!$A$2:$A$24,0),MATCH($D60,summary!$A$2:$D$2,0)),0)</f>
        <v>0</v>
      </c>
      <c r="F64" s="109">
        <f>IF(OR(F$2=$H62,F$2&gt;$H62),INDEX(summary!$A$2:$D$24,MATCH($D61,summary!$A$2:$A$24,0),MATCH($D60,summary!$A$2:$D$2,0)),0)</f>
        <v>0</v>
      </c>
      <c r="G64" s="109">
        <f>IF(OR(G$2=$H62,G$2&gt;$H62),INDEX(summary!$A$2:$D$24,MATCH($D61,summary!$A$2:$A$24,0),MATCH($D60,summary!$A$2:$D$2,0)),0)</f>
        <v>0</v>
      </c>
      <c r="H64" s="109">
        <f>IF(OR(H$2=$H62,H$2&gt;$H62),INDEX(summary!$A$2:$D$24,MATCH($D61,summary!$A$2:$A$24,0),MATCH($D60,summary!$A$2:$D$2,0)),0)</f>
        <v>0</v>
      </c>
      <c r="I64" s="109">
        <f>IF(OR(I$2=$H62,I$2&gt;$H62),INDEX(summary!$A$2:$D$24,MATCH($D61,summary!$A$2:$A$24,0),MATCH($D60,summary!$A$2:$D$2,0)),0)</f>
        <v>0</v>
      </c>
      <c r="J64" s="109">
        <f>IF(OR(J$2=$H62,J$2&gt;$H62),INDEX(summary!$A$2:$D$24,MATCH($D61,summary!$A$2:$A$24,0),MATCH($D60,summary!$A$2:$D$2,0)),0)</f>
        <v>0</v>
      </c>
      <c r="K64" s="109">
        <f>IF(OR(K$2=$H62,K$2&gt;$H62),INDEX(summary!$A$2:$D$24,MATCH($D61,summary!$A$2:$A$24,0),MATCH($D60,summary!$A$2:$D$2,0)),0)</f>
        <v>0</v>
      </c>
      <c r="L64" s="109">
        <f>IF(OR(L$2=$H62,L$2&gt;$H62),INDEX(summary!$A$2:$D$24,MATCH($D61,summary!$A$2:$A$24,0),MATCH($D60,summary!$A$2:$D$2,0)),0)</f>
        <v>0</v>
      </c>
      <c r="M64" s="109">
        <f>IF(OR(M$2=$H62,M$2&gt;$H62),INDEX(summary!$A$2:$D$24,MATCH($D61,summary!$A$2:$A$24,0),MATCH($D60,summary!$A$2:$D$2,0)),0)</f>
        <v>511379.82342500007</v>
      </c>
      <c r="N64" s="109">
        <f>IF(OR(N$2=$H62,N$2&gt;$H62),INDEX(summary!$A$2:$D$24,MATCH($D61,summary!$A$2:$A$24,0),MATCH($D60,summary!$A$2:$D$2,0)),0)</f>
        <v>511379.82342500007</v>
      </c>
      <c r="O64" s="109">
        <f>IF(OR(O$2=$H62,O$2&gt;$H62),INDEX(summary!$A$2:$D$24,MATCH($D61,summary!$A$2:$A$24,0),MATCH($D60,summary!$A$2:$D$2,0)),0)</f>
        <v>511379.82342500007</v>
      </c>
    </row>
    <row r="65" spans="2:15" ht="9" customHeight="1">
      <c r="B65" s="108" t="s">
        <v>194</v>
      </c>
      <c r="C65" s="121" t="s">
        <v>191</v>
      </c>
      <c r="D65" s="110">
        <f>INDEX(cockpit!$J$6:$Y$16,MATCH($D61,cockpit!$J$6:$J$16,0),MATCH($C$11,cockpit!$J$6:$Y$6,0))</f>
        <v>0</v>
      </c>
      <c r="E65" s="109">
        <f>E64*(1-$D65)</f>
        <v>0</v>
      </c>
      <c r="F65" s="109">
        <f t="shared" ref="F65:O65" si="31">F64*(1-$D65)</f>
        <v>0</v>
      </c>
      <c r="G65" s="109">
        <f t="shared" si="31"/>
        <v>0</v>
      </c>
      <c r="H65" s="109">
        <f t="shared" si="31"/>
        <v>0</v>
      </c>
      <c r="I65" s="109">
        <f t="shared" si="31"/>
        <v>0</v>
      </c>
      <c r="J65" s="109">
        <f t="shared" si="31"/>
        <v>0</v>
      </c>
      <c r="K65" s="109">
        <f t="shared" si="31"/>
        <v>0</v>
      </c>
      <c r="L65" s="109">
        <f t="shared" si="31"/>
        <v>0</v>
      </c>
      <c r="M65" s="109">
        <f t="shared" si="31"/>
        <v>511379.82342500007</v>
      </c>
      <c r="N65" s="109">
        <f t="shared" si="31"/>
        <v>511379.82342500007</v>
      </c>
      <c r="O65" s="109">
        <f t="shared" si="31"/>
        <v>511379.82342500007</v>
      </c>
    </row>
    <row r="66" spans="2:15" ht="9" customHeight="1">
      <c r="B66" s="108" t="s">
        <v>180</v>
      </c>
      <c r="C66" s="121" t="s">
        <v>152</v>
      </c>
      <c r="D66" s="122">
        <f>Officerampup</f>
        <v>0.3</v>
      </c>
      <c r="E66" s="109">
        <f>IF(OR(E$2=$H62,AND(E$2&gt;$H62,E$2&lt;(SUM($H62,INDEX(cockpit!$J$6:$Y$16,MATCH($D61,cockpit!$J$6:$J$16,0),MATCH($C$12,cockpit!$J$6:$Y$6,0)))))),E65*$D66,0)</f>
        <v>0</v>
      </c>
      <c r="F66" s="109">
        <f>IF(OR(F$2=$H62,AND(F$2&gt;$H62,F$2&lt;(SUM($H62,INDEX(cockpit!$J$6:$Y$16,MATCH($D61,cockpit!$J$6:$J$16,0),MATCH($C$12,cockpit!$J$6:$Y$6,0)))))),F65*$D66,0)</f>
        <v>0</v>
      </c>
      <c r="G66" s="109">
        <f>IF(OR(G$2=$H62,AND(G$2&gt;$H62,G$2&lt;(SUM($H62,INDEX(cockpit!$J$6:$Y$16,MATCH($D61,cockpit!$J$6:$J$16,0),MATCH($C$12,cockpit!$J$6:$Y$6,0)))))),G65*$D66,0)</f>
        <v>0</v>
      </c>
      <c r="H66" s="109">
        <f>IF(OR(H$2=$H62,AND(H$2&gt;$H62,H$2&lt;(SUM($H62,INDEX(cockpit!$J$6:$Y$16,MATCH($D61,cockpit!$J$6:$J$16,0),MATCH($C$12,cockpit!$J$6:$Y$6,0)))))),H65*$D66,0)</f>
        <v>0</v>
      </c>
      <c r="I66" s="109">
        <f>IF(OR(I$2=$H62,AND(I$2&gt;$H62,I$2&lt;(SUM($H62,INDEX(cockpit!$J$6:$Y$16,MATCH($D61,cockpit!$J$6:$J$16,0),MATCH($C$12,cockpit!$J$6:$Y$6,0)))))),I65*$D66,0)</f>
        <v>0</v>
      </c>
      <c r="J66" s="109">
        <f>IF(OR(J$2=$H62,AND(J$2&gt;$H62,J$2&lt;(SUM($H62,INDEX(cockpit!$J$6:$Y$16,MATCH($D61,cockpit!$J$6:$J$16,0),MATCH($C$12,cockpit!$J$6:$Y$6,0)))))),J65*$D66,0)</f>
        <v>0</v>
      </c>
      <c r="K66" s="109">
        <f>IF(OR(K$2=$H62,AND(K$2&gt;$H62,K$2&lt;(SUM($H62,INDEX(cockpit!$J$6:$Y$16,MATCH($D61,cockpit!$J$6:$J$16,0),MATCH($C$12,cockpit!$J$6:$Y$6,0)))))),K65*$D66,0)</f>
        <v>0</v>
      </c>
      <c r="L66" s="109">
        <f>IF(OR(L$2=$H62,AND(L$2&gt;$H62,L$2&lt;(SUM($H62,INDEX(cockpit!$J$6:$Y$16,MATCH($D61,cockpit!$J$6:$J$16,0),MATCH($C$12,cockpit!$J$6:$Y$6,0)))))),L65*$D66,0)</f>
        <v>0</v>
      </c>
      <c r="M66" s="109">
        <f>IF(OR(M$2=$H62,AND(M$2&gt;$H62,M$2&lt;(SUM($H62,INDEX(cockpit!$J$6:$Y$16,MATCH($D61,cockpit!$J$6:$J$16,0),MATCH($C$12,cockpit!$J$6:$Y$6,0)))))),M65*$D66,0)</f>
        <v>153413.94702750002</v>
      </c>
      <c r="N66" s="109">
        <f>IF(OR(N$2=$H62,AND(N$2&gt;$H62,N$2&lt;(SUM($H62,INDEX(cockpit!$J$6:$Y$16,MATCH($D61,cockpit!$J$6:$J$16,0),MATCH($C$12,cockpit!$J$6:$Y$6,0)))))),N65*$D66,0)</f>
        <v>153413.94702750002</v>
      </c>
      <c r="O66" s="109">
        <f>IF(OR(O$2=$H62,AND(O$2&gt;$H62,O$2&lt;(SUM($H62,INDEX(cockpit!$J$6:$Y$16,MATCH($D61,cockpit!$J$6:$J$16,0),MATCH($C$12,cockpit!$J$6:$Y$6,0)))))),O65*$D66,0)</f>
        <v>153413.94702750002</v>
      </c>
    </row>
    <row r="67" spans="2:15" ht="9" customHeight="1">
      <c r="B67" s="108" t="s">
        <v>181</v>
      </c>
      <c r="C67" s="121"/>
      <c r="D67" s="106"/>
      <c r="E67" s="109">
        <f>SUM($E66:E66)</f>
        <v>0</v>
      </c>
      <c r="F67" s="109">
        <f>SUM($E66:F66)</f>
        <v>0</v>
      </c>
      <c r="G67" s="109">
        <f>SUM($E66:G66)</f>
        <v>0</v>
      </c>
      <c r="H67" s="109">
        <f>SUM($E66:H66)</f>
        <v>0</v>
      </c>
      <c r="I67" s="109">
        <f>SUM($E66:I66)</f>
        <v>0</v>
      </c>
      <c r="J67" s="109">
        <f>SUM($E66:J66)</f>
        <v>0</v>
      </c>
      <c r="K67" s="109">
        <f>SUM($E66:K66)</f>
        <v>0</v>
      </c>
      <c r="L67" s="109">
        <f>SUM($E66:L66)</f>
        <v>0</v>
      </c>
      <c r="M67" s="109">
        <f>SUM($E66:M66)</f>
        <v>153413.94702750002</v>
      </c>
      <c r="N67" s="109">
        <f>SUM($E66:N66)</f>
        <v>306827.89405500004</v>
      </c>
      <c r="O67" s="109">
        <f>SUM($E66:O66)</f>
        <v>460241.84108250006</v>
      </c>
    </row>
    <row r="68" spans="2:15" ht="9" customHeight="1">
      <c r="B68" s="108"/>
      <c r="C68" s="121"/>
      <c r="D68" s="106"/>
      <c r="E68" s="362">
        <f t="shared" ref="E68:G68" si="32">IFERROR(1-(E67/E65),0)</f>
        <v>0</v>
      </c>
      <c r="F68" s="362">
        <f t="shared" si="32"/>
        <v>0</v>
      </c>
      <c r="G68" s="362">
        <f t="shared" si="32"/>
        <v>0</v>
      </c>
      <c r="H68" s="362">
        <f>IFERROR(1-(H67/H65),0)</f>
        <v>0</v>
      </c>
      <c r="I68" s="362">
        <f t="shared" ref="I68:O68" si="33">IFERROR(1-(I67/I65),0)</f>
        <v>0</v>
      </c>
      <c r="J68" s="362">
        <f t="shared" si="33"/>
        <v>0</v>
      </c>
      <c r="K68" s="362">
        <f t="shared" si="33"/>
        <v>0</v>
      </c>
      <c r="L68" s="362">
        <f t="shared" si="33"/>
        <v>0</v>
      </c>
      <c r="M68" s="362">
        <f t="shared" si="33"/>
        <v>0.7</v>
      </c>
      <c r="N68" s="362">
        <f t="shared" si="33"/>
        <v>0.4</v>
      </c>
      <c r="O68" s="362">
        <f t="shared" si="33"/>
        <v>9.9999999999999978E-2</v>
      </c>
    </row>
    <row r="69" spans="2:15" ht="9" customHeight="1">
      <c r="B69" s="108" t="s">
        <v>166</v>
      </c>
      <c r="C69" s="121"/>
      <c r="D69" s="111">
        <f>(OfficemarketratePSF*(1-$K60))+((OfficemarketratePSF*(1+premiumprices)*$K60))</f>
        <v>25</v>
      </c>
      <c r="E69" s="112">
        <f t="shared" ref="E69:O69" si="34">E67*($D69*((1+Inflation)^(E$2-1)))</f>
        <v>0</v>
      </c>
      <c r="F69" s="112">
        <f t="shared" si="34"/>
        <v>0</v>
      </c>
      <c r="G69" s="112">
        <f t="shared" si="34"/>
        <v>0</v>
      </c>
      <c r="H69" s="112">
        <f t="shared" si="34"/>
        <v>0</v>
      </c>
      <c r="I69" s="112">
        <f t="shared" si="34"/>
        <v>0</v>
      </c>
      <c r="J69" s="112">
        <f t="shared" si="34"/>
        <v>0</v>
      </c>
      <c r="K69" s="112">
        <f t="shared" si="34"/>
        <v>0</v>
      </c>
      <c r="L69" s="112">
        <f t="shared" si="34"/>
        <v>0</v>
      </c>
      <c r="M69" s="112">
        <f t="shared" si="34"/>
        <v>4405610.0541998772</v>
      </c>
      <c r="N69" s="112">
        <f t="shared" si="34"/>
        <v>8987444.5105677508</v>
      </c>
      <c r="O69" s="112">
        <f t="shared" si="34"/>
        <v>13750790.10116866</v>
      </c>
    </row>
    <row r="70" spans="2:15" ht="9" customHeight="1">
      <c r="B70" s="108" t="s">
        <v>216</v>
      </c>
      <c r="C70" s="121"/>
      <c r="D70" s="111">
        <f>IF(INDEX(cockpit!$J$6:$Y$16,MATCH($D61,cockpit!$J$6:$J$16,0),MATCH($B70,cockpit!$J$6:$Y$6,0))="Y",D71,0)</f>
        <v>10</v>
      </c>
      <c r="E70" s="112">
        <f t="shared" ref="E70:O70" si="35">-IF($D70&gt;0,E71,0)*(1-E68)</f>
        <v>0</v>
      </c>
      <c r="F70" s="112">
        <f t="shared" si="35"/>
        <v>0</v>
      </c>
      <c r="G70" s="112">
        <f t="shared" si="35"/>
        <v>0</v>
      </c>
      <c r="H70" s="112">
        <f t="shared" si="35"/>
        <v>0</v>
      </c>
      <c r="I70" s="112">
        <f t="shared" si="35"/>
        <v>0</v>
      </c>
      <c r="J70" s="112">
        <f t="shared" si="35"/>
        <v>0</v>
      </c>
      <c r="K70" s="112">
        <f t="shared" si="35"/>
        <v>0</v>
      </c>
      <c r="L70" s="112">
        <f t="shared" si="35"/>
        <v>0</v>
      </c>
      <c r="M70" s="112">
        <f t="shared" si="35"/>
        <v>1762244.0216799516</v>
      </c>
      <c r="N70" s="112">
        <f t="shared" si="35"/>
        <v>3594977.8042271002</v>
      </c>
      <c r="O70" s="112">
        <f t="shared" si="35"/>
        <v>5500316.0404674634</v>
      </c>
    </row>
    <row r="71" spans="2:15" ht="9" customHeight="1">
      <c r="B71" s="108" t="s">
        <v>123</v>
      </c>
      <c r="C71" s="121"/>
      <c r="D71" s="111">
        <f>INDEX(cockpit!$J$6:$Y$16,MATCH($D61,cockpit!$J$6:$J$16,0),MATCH($B71,cockpit!$J$6:$Y$6,0))</f>
        <v>10</v>
      </c>
      <c r="E71" s="113">
        <f t="shared" ref="E71:O71" si="36">-IF($D71&gt;1,E64*($D71*((1+Inflation)^(E$2-1))),E69*(1-$D71))</f>
        <v>0</v>
      </c>
      <c r="F71" s="113">
        <f t="shared" si="36"/>
        <v>0</v>
      </c>
      <c r="G71" s="113">
        <f t="shared" si="36"/>
        <v>0</v>
      </c>
      <c r="H71" s="113">
        <f t="shared" si="36"/>
        <v>0</v>
      </c>
      <c r="I71" s="113">
        <f t="shared" si="36"/>
        <v>0</v>
      </c>
      <c r="J71" s="113">
        <f t="shared" si="36"/>
        <v>0</v>
      </c>
      <c r="K71" s="113">
        <f t="shared" si="36"/>
        <v>0</v>
      </c>
      <c r="L71" s="113">
        <f t="shared" si="36"/>
        <v>0</v>
      </c>
      <c r="M71" s="113">
        <f t="shared" si="36"/>
        <v>-5874146.7389331711</v>
      </c>
      <c r="N71" s="113">
        <f t="shared" si="36"/>
        <v>-5991629.6737118335</v>
      </c>
      <c r="O71" s="113">
        <f t="shared" si="36"/>
        <v>-6111462.2671860708</v>
      </c>
    </row>
    <row r="72" spans="2:15" ht="9" customHeight="1">
      <c r="B72" s="114" t="s">
        <v>167</v>
      </c>
      <c r="C72" s="121"/>
      <c r="D72" s="106"/>
      <c r="E72" s="112">
        <f>SUM(E69:E71)</f>
        <v>0</v>
      </c>
      <c r="F72" s="112">
        <f t="shared" ref="F72:O72" si="37">SUM(F69:F71)</f>
        <v>0</v>
      </c>
      <c r="G72" s="112">
        <f t="shared" si="37"/>
        <v>0</v>
      </c>
      <c r="H72" s="112">
        <f t="shared" si="37"/>
        <v>0</v>
      </c>
      <c r="I72" s="112">
        <f t="shared" si="37"/>
        <v>0</v>
      </c>
      <c r="J72" s="112">
        <f t="shared" si="37"/>
        <v>0</v>
      </c>
      <c r="K72" s="112">
        <f t="shared" si="37"/>
        <v>0</v>
      </c>
      <c r="L72" s="112">
        <f t="shared" si="37"/>
        <v>0</v>
      </c>
      <c r="M72" s="112">
        <f t="shared" si="37"/>
        <v>293707.33694665786</v>
      </c>
      <c r="N72" s="112">
        <f t="shared" si="37"/>
        <v>6590792.6410830179</v>
      </c>
      <c r="O72" s="112">
        <f t="shared" si="37"/>
        <v>13139643.874450054</v>
      </c>
    </row>
    <row r="73" spans="2:15" ht="9" customHeight="1">
      <c r="B73" s="106"/>
      <c r="C73" s="121"/>
      <c r="D73" s="106"/>
      <c r="E73" s="187">
        <f t="shared" ref="E73:O73" si="38">IFERROR(E72/SUM(E69:E70),0)</f>
        <v>0</v>
      </c>
      <c r="F73" s="187">
        <f t="shared" si="38"/>
        <v>0</v>
      </c>
      <c r="G73" s="187">
        <f t="shared" si="38"/>
        <v>0</v>
      </c>
      <c r="H73" s="187">
        <f t="shared" si="38"/>
        <v>0</v>
      </c>
      <c r="I73" s="187">
        <f t="shared" si="38"/>
        <v>0</v>
      </c>
      <c r="J73" s="187">
        <f t="shared" si="38"/>
        <v>0</v>
      </c>
      <c r="K73" s="187">
        <f t="shared" si="38"/>
        <v>0</v>
      </c>
      <c r="L73" s="187">
        <f t="shared" si="38"/>
        <v>0</v>
      </c>
      <c r="M73" s="187">
        <f t="shared" si="38"/>
        <v>4.7619047619047512E-2</v>
      </c>
      <c r="N73" s="187">
        <f t="shared" si="38"/>
        <v>0.52380952380952384</v>
      </c>
      <c r="O73" s="187">
        <f t="shared" si="38"/>
        <v>0.68253968253968256</v>
      </c>
    </row>
    <row r="74" spans="2:15" ht="9" customHeight="1">
      <c r="B74" s="108" t="s">
        <v>168</v>
      </c>
      <c r="C74" s="121"/>
      <c r="D74" s="115">
        <f>INDEX(cockpit!$J$6:$Y$16,MATCH($D61,cockpit!$J$6:$J$16,0),MATCH($B74,cockpit!$J$6:$Y$6,0))</f>
        <v>0.05</v>
      </c>
      <c r="E74" s="112">
        <f t="shared" ref="E74:O74" si="39">-E65*$D74</f>
        <v>0</v>
      </c>
      <c r="F74" s="112">
        <f t="shared" si="39"/>
        <v>0</v>
      </c>
      <c r="G74" s="112">
        <f t="shared" si="39"/>
        <v>0</v>
      </c>
      <c r="H74" s="112">
        <f t="shared" si="39"/>
        <v>0</v>
      </c>
      <c r="I74" s="112">
        <f t="shared" si="39"/>
        <v>0</v>
      </c>
      <c r="J74" s="112">
        <f t="shared" si="39"/>
        <v>0</v>
      </c>
      <c r="K74" s="112">
        <f t="shared" si="39"/>
        <v>0</v>
      </c>
      <c r="L74" s="112">
        <f t="shared" si="39"/>
        <v>0</v>
      </c>
      <c r="M74" s="112">
        <f t="shared" si="39"/>
        <v>-25568.991171250003</v>
      </c>
      <c r="N74" s="112">
        <f t="shared" si="39"/>
        <v>-25568.991171250003</v>
      </c>
      <c r="O74" s="112">
        <f t="shared" si="39"/>
        <v>-25568.991171250003</v>
      </c>
    </row>
    <row r="75" spans="2:15" ht="9" customHeight="1">
      <c r="B75" s="108" t="s">
        <v>162</v>
      </c>
      <c r="C75" s="121"/>
      <c r="D75" s="115">
        <f>INDEX(cockpit!$J$6:$Y$16,MATCH($D61,cockpit!$J$6:$J$16,0),MATCH($B75,cockpit!$J$6:$Y$6,0))</f>
        <v>1</v>
      </c>
      <c r="E75" s="113">
        <f t="shared" ref="E75:O75" si="40">-E67*$D75</f>
        <v>0</v>
      </c>
      <c r="F75" s="113">
        <f t="shared" si="40"/>
        <v>0</v>
      </c>
      <c r="G75" s="113">
        <f t="shared" si="40"/>
        <v>0</v>
      </c>
      <c r="H75" s="113">
        <f t="shared" si="40"/>
        <v>0</v>
      </c>
      <c r="I75" s="113">
        <f t="shared" si="40"/>
        <v>0</v>
      </c>
      <c r="J75" s="113">
        <f t="shared" si="40"/>
        <v>0</v>
      </c>
      <c r="K75" s="113">
        <f t="shared" si="40"/>
        <v>0</v>
      </c>
      <c r="L75" s="113">
        <f t="shared" si="40"/>
        <v>0</v>
      </c>
      <c r="M75" s="113">
        <f t="shared" si="40"/>
        <v>-153413.94702750002</v>
      </c>
      <c r="N75" s="113">
        <f t="shared" si="40"/>
        <v>-306827.89405500004</v>
      </c>
      <c r="O75" s="113">
        <f t="shared" si="40"/>
        <v>-460241.84108250006</v>
      </c>
    </row>
    <row r="76" spans="2:15" ht="9" customHeight="1">
      <c r="B76" s="114" t="s">
        <v>195</v>
      </c>
      <c r="C76" s="121"/>
      <c r="D76" s="115"/>
      <c r="E76" s="112">
        <f>SUM(E74:E75)</f>
        <v>0</v>
      </c>
      <c r="F76" s="112">
        <f t="shared" ref="F76:O76" si="41">SUM(F74:F75)</f>
        <v>0</v>
      </c>
      <c r="G76" s="112">
        <f t="shared" si="41"/>
        <v>0</v>
      </c>
      <c r="H76" s="112">
        <f t="shared" si="41"/>
        <v>0</v>
      </c>
      <c r="I76" s="112">
        <f t="shared" si="41"/>
        <v>0</v>
      </c>
      <c r="J76" s="112">
        <f t="shared" si="41"/>
        <v>0</v>
      </c>
      <c r="K76" s="112">
        <f t="shared" si="41"/>
        <v>0</v>
      </c>
      <c r="L76" s="112">
        <f t="shared" si="41"/>
        <v>0</v>
      </c>
      <c r="M76" s="112">
        <f t="shared" si="41"/>
        <v>-178982.93819875002</v>
      </c>
      <c r="N76" s="112">
        <f t="shared" si="41"/>
        <v>-332396.88522625004</v>
      </c>
      <c r="O76" s="112">
        <f t="shared" si="41"/>
        <v>-485810.83225375006</v>
      </c>
    </row>
    <row r="77" spans="2:15" ht="9" customHeight="1">
      <c r="B77" s="108"/>
      <c r="C77" s="121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</row>
    <row r="78" spans="2:15" ht="9" customHeight="1">
      <c r="B78" s="108" t="s">
        <v>688</v>
      </c>
      <c r="C78" s="121"/>
      <c r="D78" s="111">
        <f>INDEX(cockpit!$J$6:$Y$16,MATCH($D61,cockpit!$J$6:$J$16,0),MATCH($B78,cockpit!$J$6:$Y$6,0))</f>
        <v>50</v>
      </c>
      <c r="E78" s="112">
        <f t="shared" ref="E78:O78" si="42">-(IF(E79&lt;0,SUM($E66:$O66)*$D78*(1+Inflation)^(E$2-1)*(1+Developerfee)))/constructiontimephase3</f>
        <v>0</v>
      </c>
      <c r="F78" s="112">
        <f t="shared" si="42"/>
        <v>0</v>
      </c>
      <c r="G78" s="112">
        <f t="shared" si="42"/>
        <v>0</v>
      </c>
      <c r="H78" s="112">
        <f t="shared" si="42"/>
        <v>0</v>
      </c>
      <c r="I78" s="112">
        <f t="shared" si="42"/>
        <v>0</v>
      </c>
      <c r="J78" s="112">
        <f t="shared" si="42"/>
        <v>0</v>
      </c>
      <c r="K78" s="112">
        <f t="shared" si="42"/>
        <v>-13084712.675391795</v>
      </c>
      <c r="L78" s="112">
        <f t="shared" si="42"/>
        <v>-13346406.928899633</v>
      </c>
      <c r="M78" s="112">
        <f t="shared" si="42"/>
        <v>0</v>
      </c>
      <c r="N78" s="112">
        <f t="shared" si="42"/>
        <v>0</v>
      </c>
      <c r="O78" s="112">
        <f t="shared" si="42"/>
        <v>0</v>
      </c>
    </row>
    <row r="79" spans="2:15" ht="9" customHeight="1">
      <c r="B79" s="108" t="s">
        <v>170</v>
      </c>
      <c r="C79" s="121"/>
      <c r="D79" s="111">
        <f>(OfficeconstructionratePSF*(1-$K60))+((OfficeconstructionratePSF*(1+premiumprices)*$K60))</f>
        <v>135</v>
      </c>
      <c r="E79" s="112">
        <f>-IF(OR(E$2=$H60,E$2=$H61,AND(E$2&gt;$H60,E$2&lt;$H61)),(INDEX(summary!$A$2:$D$24,MATCH($D61,summary!$A$2:$A$24,0),MATCH($D60,summary!$A$2:$D$2,0)))/constructiontimephase3)*($D79*((1+Inflation)^(E$2-1)))*(1+Developerfee)</f>
        <v>0</v>
      </c>
      <c r="F79" s="112">
        <f>-IF(OR(F$2=$H60,F$2=$H61,AND(F$2&gt;$H60,F$2&lt;$H61)),(INDEX(summary!$A$2:$D$24,MATCH($D61,summary!$A$2:$A$24,0),MATCH($D60,summary!$A$2:$D$2,0)))/constructiontimephase3)*($D79*((1+Inflation)^(F$2-1)))*(1+Developerfee)</f>
        <v>0</v>
      </c>
      <c r="G79" s="112">
        <f>-IF(OR(G$2=$H60,G$2=$H61,AND(G$2&gt;$H60,G$2&lt;$H61)),(INDEX(summary!$A$2:$D$24,MATCH($D61,summary!$A$2:$A$24,0),MATCH($D60,summary!$A$2:$D$2,0)))/constructiontimephase3)*($D79*((1+Inflation)^(G$2-1)))*(1+Developerfee)</f>
        <v>0</v>
      </c>
      <c r="H79" s="112">
        <f>-IF(OR(H$2=$H60,H$2=$H61,AND(H$2&gt;$H60,H$2&lt;$H61)),(INDEX(summary!$A$2:$D$24,MATCH($D61,summary!$A$2:$A$24,0),MATCH($D60,summary!$A$2:$D$2,0)))/constructiontimephase3)*($D79*((1+Inflation)^(H$2-1)))*(1+Developerfee)</f>
        <v>0</v>
      </c>
      <c r="I79" s="112">
        <f>-IF(OR(I$2=$H60,I$2=$H61,AND(I$2&gt;$H60,I$2&lt;$H61)),(INDEX(summary!$A$2:$D$24,MATCH($D61,summary!$A$2:$A$24,0),MATCH($D60,summary!$A$2:$D$2,0)))/constructiontimephase3)*($D79*((1+Inflation)^(I$2-1)))*(1+Developerfee)</f>
        <v>0</v>
      </c>
      <c r="J79" s="112">
        <f>-IF(OR(J$2=$H60,J$2=$H61,AND(J$2&gt;$H60,J$2&lt;$H61)),(INDEX(summary!$A$2:$D$24,MATCH($D61,summary!$A$2:$A$24,0),MATCH($D60,summary!$A$2:$D$2,0)))/constructiontimephase3)*($D79*((1+Inflation)^(J$2-1)))*(1+Developerfee)</f>
        <v>0</v>
      </c>
      <c r="K79" s="112">
        <f>-IF(OR(K$2=$H60,K$2=$H61,AND(K$2&gt;$H60,K$2&lt;$H61)),(INDEX(summary!$A$2:$D$24,MATCH($D61,summary!$A$2:$A$24,0),MATCH($D60,summary!$A$2:$D$2,0)))/constructiontimephase3)*($D79*((1+Inflation)^(K$2-1)))*(1+Developerfee)</f>
        <v>-39254138.026175387</v>
      </c>
      <c r="L79" s="112">
        <f>-IF(OR(L$2=$H60,L$2=$H61,AND(L$2&gt;$H60,L$2&lt;$H61)),(INDEX(summary!$A$2:$D$24,MATCH($D61,summary!$A$2:$A$24,0),MATCH($D60,summary!$A$2:$D$2,0)))/constructiontimephase3)*($D79*((1+Inflation)^(L$2-1)))*(1+Developerfee)</f>
        <v>-40039220.786698908</v>
      </c>
      <c r="M79" s="112">
        <f>-IF(OR(M$2=$H60,M$2=$H61,AND(M$2&gt;$H60,M$2&lt;$H61)),(INDEX(summary!$A$2:$D$24,MATCH($D61,summary!$A$2:$A$24,0),MATCH($D60,summary!$A$2:$D$2,0)))/constructiontimephase3)*($D79*((1+Inflation)^(M$2-1)))*(1+Developerfee)</f>
        <v>0</v>
      </c>
      <c r="N79" s="112">
        <f>-IF(OR(N$2=$H60,N$2=$H61,AND(N$2&gt;$H60,N$2&lt;$H61)),(INDEX(summary!$A$2:$D$24,MATCH($D61,summary!$A$2:$A$24,0),MATCH($D60,summary!$A$2:$D$2,0)))/constructiontimephase3)*($D79*((1+Inflation)^(N$2-1)))*(1+Developerfee)</f>
        <v>0</v>
      </c>
      <c r="O79" s="112">
        <f>-IF(OR(O$2=$H60,O$2=$H61,AND(O$2&gt;$H60,O$2&lt;$H61)),(INDEX(summary!$A$2:$D$24,MATCH($D61,summary!$A$2:$A$24,0),MATCH($D60,summary!$A$2:$D$2,0)))/constructiontimephase3)*($D79*((1+Inflation)^(O$2-1)))*(1+Developerfee)</f>
        <v>0</v>
      </c>
    </row>
    <row r="80" spans="2:15" ht="9" customHeight="1">
      <c r="B80" s="108" t="s">
        <v>197</v>
      </c>
      <c r="C80" s="121" t="s">
        <v>189</v>
      </c>
      <c r="D80" s="122">
        <f>(INDEX(cockpit!$J$6:$Y$16,MATCH($D61,cockpit!$J$6:$J$16,0),MATCH($C80,cockpit!$J$6:$Y$6,0))*(1-$K60))+((INDEX(cockpit!$J$6:$Y$16,MATCH($D61,cockpit!$J$6:$J$16,0),MATCH($C80,cockpit!$J$6:$Y$6,0))-(Premiumexitcaprate))*$K60)</f>
        <v>7.4999999999999997E-2</v>
      </c>
      <c r="E80" s="113">
        <f t="shared" ref="E80:O80" si="43">IF(E$2=dispositionyear,E72/$D80,0)*(1-Closingcosts)</f>
        <v>0</v>
      </c>
      <c r="F80" s="113">
        <f t="shared" si="43"/>
        <v>0</v>
      </c>
      <c r="G80" s="113">
        <f t="shared" si="43"/>
        <v>0</v>
      </c>
      <c r="H80" s="113">
        <f t="shared" si="43"/>
        <v>0</v>
      </c>
      <c r="I80" s="113">
        <f t="shared" si="43"/>
        <v>0</v>
      </c>
      <c r="J80" s="113">
        <f t="shared" si="43"/>
        <v>0</v>
      </c>
      <c r="K80" s="113">
        <f t="shared" si="43"/>
        <v>0</v>
      </c>
      <c r="L80" s="113">
        <f t="shared" si="43"/>
        <v>0</v>
      </c>
      <c r="M80" s="113">
        <f t="shared" si="43"/>
        <v>0</v>
      </c>
      <c r="N80" s="113">
        <f t="shared" si="43"/>
        <v>0</v>
      </c>
      <c r="O80" s="113">
        <f t="shared" si="43"/>
        <v>170815370.36785072</v>
      </c>
    </row>
    <row r="81" spans="2:16" ht="9" customHeight="1">
      <c r="B81" s="114" t="s">
        <v>196</v>
      </c>
      <c r="C81" s="121"/>
      <c r="D81" s="110"/>
      <c r="E81" s="112">
        <f>SUM(E78:E80)</f>
        <v>0</v>
      </c>
      <c r="F81" s="112">
        <f t="shared" ref="F81:O81" si="44">SUM(F78:F80)</f>
        <v>0</v>
      </c>
      <c r="G81" s="112">
        <f t="shared" si="44"/>
        <v>0</v>
      </c>
      <c r="H81" s="112">
        <f t="shared" si="44"/>
        <v>0</v>
      </c>
      <c r="I81" s="112">
        <f t="shared" si="44"/>
        <v>0</v>
      </c>
      <c r="J81" s="112">
        <f t="shared" si="44"/>
        <v>0</v>
      </c>
      <c r="K81" s="112">
        <f t="shared" si="44"/>
        <v>-52338850.70156718</v>
      </c>
      <c r="L81" s="112">
        <f t="shared" si="44"/>
        <v>-53385627.715598539</v>
      </c>
      <c r="M81" s="112">
        <f t="shared" si="44"/>
        <v>0</v>
      </c>
      <c r="N81" s="112">
        <f t="shared" si="44"/>
        <v>0</v>
      </c>
      <c r="O81" s="112">
        <f t="shared" si="44"/>
        <v>170815370.36785072</v>
      </c>
    </row>
    <row r="82" spans="2:16" ht="9" customHeight="1">
      <c r="B82" s="108"/>
      <c r="C82" s="121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6" ht="9" customHeight="1">
      <c r="B83" s="114" t="s">
        <v>169</v>
      </c>
      <c r="C83" s="114"/>
      <c r="D83" s="116">
        <f ca="1">IRR(OFFSET(E83,0,0,1,Investmenthorizon+1))</f>
        <v>0.18324657931985566</v>
      </c>
      <c r="E83" s="117">
        <f>SUM(E72,E76,E81)</f>
        <v>0</v>
      </c>
      <c r="F83" s="117">
        <f t="shared" ref="F83:O83" si="45">SUM(F72,F76,F81)</f>
        <v>0</v>
      </c>
      <c r="G83" s="117">
        <f t="shared" si="45"/>
        <v>0</v>
      </c>
      <c r="H83" s="117">
        <f t="shared" si="45"/>
        <v>0</v>
      </c>
      <c r="I83" s="117">
        <f t="shared" si="45"/>
        <v>0</v>
      </c>
      <c r="J83" s="117">
        <f t="shared" si="45"/>
        <v>0</v>
      </c>
      <c r="K83" s="117">
        <f t="shared" si="45"/>
        <v>-52338850.70156718</v>
      </c>
      <c r="L83" s="117">
        <f t="shared" si="45"/>
        <v>-53385627.715598539</v>
      </c>
      <c r="M83" s="117">
        <f t="shared" si="45"/>
        <v>114724.39874790784</v>
      </c>
      <c r="N83" s="117">
        <f t="shared" si="45"/>
        <v>6258395.7558567682</v>
      </c>
      <c r="O83" s="117">
        <f t="shared" si="45"/>
        <v>183469203.41004702</v>
      </c>
    </row>
    <row r="84" spans="2:16" ht="9" customHeight="1">
      <c r="B84" s="114"/>
      <c r="C84" s="114"/>
      <c r="D84" s="118"/>
      <c r="E84" s="106"/>
      <c r="F84" s="106"/>
      <c r="G84" s="106"/>
      <c r="H84" s="119"/>
      <c r="I84" s="106"/>
      <c r="J84" s="106"/>
      <c r="K84" s="106"/>
      <c r="L84" s="106"/>
      <c r="M84" s="106"/>
      <c r="N84" s="106"/>
      <c r="O84" s="106"/>
    </row>
    <row r="86" spans="2:16" ht="9" customHeight="1">
      <c r="I86" s="34">
        <f>SUM(I12,I40,I66)</f>
        <v>237947.55</v>
      </c>
      <c r="J86" s="34">
        <f t="shared" ref="J86:O86" si="46">SUM(J12,J40,J66)</f>
        <v>237947.55</v>
      </c>
      <c r="K86" s="34">
        <f t="shared" si="46"/>
        <v>249584.69999999998</v>
      </c>
      <c r="L86" s="34">
        <f t="shared" si="46"/>
        <v>11637.15</v>
      </c>
      <c r="M86" s="34">
        <f t="shared" si="46"/>
        <v>165051.09702750001</v>
      </c>
      <c r="N86" s="34">
        <f t="shared" si="46"/>
        <v>153413.94702750002</v>
      </c>
      <c r="O86" s="34">
        <f t="shared" si="46"/>
        <v>153413.94702750002</v>
      </c>
      <c r="P86" s="14">
        <f>SUM(I86:O86)</f>
        <v>1208995.9410825002</v>
      </c>
    </row>
    <row r="87" spans="2:16" ht="9" customHeight="1">
      <c r="P87" s="14">
        <f>P86/7</f>
        <v>172713.70586892861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54090-B579-4AC2-857A-4EB774824D0C}">
  <dimension ref="A1:AK119"/>
  <sheetViews>
    <sheetView showGridLines="0" zoomScale="70" zoomScaleNormal="70" workbookViewId="0">
      <selection activeCell="B108" sqref="B108"/>
    </sheetView>
  </sheetViews>
  <sheetFormatPr defaultRowHeight="11.5"/>
  <cols>
    <col min="1" max="1" width="8.7265625" style="593"/>
    <col min="2" max="2" width="32.7265625" style="593" customWidth="1"/>
    <col min="3" max="3" width="18.81640625" style="593" customWidth="1"/>
    <col min="4" max="4" width="10.6328125" style="593" customWidth="1"/>
    <col min="5" max="5" width="13.90625" style="593" customWidth="1"/>
    <col min="6" max="7" width="10.6328125" style="593" customWidth="1"/>
    <col min="8" max="10" width="8.7265625" style="593"/>
    <col min="11" max="15" width="10.54296875" style="593" customWidth="1"/>
    <col min="16" max="17" width="8.7265625" style="593"/>
    <col min="18" max="21" width="14.1796875" style="593" customWidth="1"/>
    <col min="22" max="22" width="8.7265625" style="593"/>
    <col min="23" max="23" width="20.453125" style="593" customWidth="1"/>
    <col min="24" max="24" width="14.6328125" style="593" customWidth="1"/>
    <col min="25" max="25" width="17.08984375" style="593" customWidth="1"/>
    <col min="26" max="26" width="12.6328125" style="593" customWidth="1"/>
    <col min="27" max="29" width="8.7265625" style="593"/>
    <col min="30" max="30" width="11.6328125" style="593" bestFit="1" customWidth="1"/>
    <col min="31" max="31" width="9.1796875" style="593" bestFit="1" customWidth="1"/>
    <col min="32" max="32" width="12" style="593" bestFit="1" customWidth="1"/>
    <col min="33" max="16384" width="8.7265625" style="593"/>
  </cols>
  <sheetData>
    <row r="1" spans="2:17">
      <c r="E1" s="593" t="s">
        <v>371</v>
      </c>
      <c r="F1" s="593" t="s">
        <v>370</v>
      </c>
      <c r="G1" s="593" t="s">
        <v>369</v>
      </c>
    </row>
    <row r="2" spans="2:17">
      <c r="B2" s="593" t="s">
        <v>141</v>
      </c>
      <c r="C2" s="593" t="s">
        <v>368</v>
      </c>
      <c r="E2" s="593">
        <v>30</v>
      </c>
      <c r="F2" s="593">
        <v>0.05</v>
      </c>
      <c r="G2" s="593">
        <v>35</v>
      </c>
    </row>
    <row r="3" spans="2:17">
      <c r="C3" s="593" t="s">
        <v>367</v>
      </c>
      <c r="E3" s="593">
        <v>20</v>
      </c>
      <c r="G3" s="593">
        <v>30</v>
      </c>
      <c r="M3" s="593" t="s">
        <v>366</v>
      </c>
      <c r="N3" s="593">
        <v>6</v>
      </c>
      <c r="O3" s="593" t="s">
        <v>365</v>
      </c>
    </row>
    <row r="4" spans="2:17">
      <c r="C4" s="593" t="s">
        <v>364</v>
      </c>
    </row>
    <row r="5" spans="2:17">
      <c r="C5" s="593" t="s">
        <v>363</v>
      </c>
      <c r="E5" s="593">
        <v>25</v>
      </c>
      <c r="M5" s="593" t="s">
        <v>362</v>
      </c>
    </row>
    <row r="6" spans="2:17">
      <c r="C6" s="593" t="s">
        <v>340</v>
      </c>
      <c r="E6" s="593">
        <v>0.03</v>
      </c>
      <c r="H6" s="593" t="s">
        <v>361</v>
      </c>
    </row>
    <row r="7" spans="2:17">
      <c r="M7" s="593" t="s">
        <v>360</v>
      </c>
      <c r="O7" s="594">
        <v>2000000</v>
      </c>
      <c r="P7" s="593">
        <v>50</v>
      </c>
      <c r="Q7" s="593" t="s">
        <v>101</v>
      </c>
    </row>
    <row r="8" spans="2:17">
      <c r="M8" s="593" t="s">
        <v>359</v>
      </c>
      <c r="O8" s="594">
        <v>6000000</v>
      </c>
    </row>
    <row r="9" spans="2:17">
      <c r="M9" s="593" t="s">
        <v>358</v>
      </c>
    </row>
    <row r="10" spans="2:17">
      <c r="B10" s="593" t="s">
        <v>357</v>
      </c>
      <c r="C10" s="593" t="s">
        <v>341</v>
      </c>
      <c r="D10" s="593" t="s">
        <v>356</v>
      </c>
      <c r="E10" s="593">
        <v>1.26</v>
      </c>
    </row>
    <row r="11" spans="2:17">
      <c r="D11" s="593" t="s">
        <v>355</v>
      </c>
      <c r="E11" s="593">
        <v>0.62</v>
      </c>
    </row>
    <row r="12" spans="2:17">
      <c r="M12" s="593" t="s">
        <v>354</v>
      </c>
    </row>
    <row r="15" spans="2:17">
      <c r="B15" s="593" t="s">
        <v>353</v>
      </c>
      <c r="E15" s="593">
        <v>150</v>
      </c>
      <c r="F15" s="593" t="s">
        <v>352</v>
      </c>
      <c r="G15" s="593" t="s">
        <v>351</v>
      </c>
    </row>
    <row r="16" spans="2:17">
      <c r="E16" s="593">
        <v>300</v>
      </c>
      <c r="F16" s="593" t="s">
        <v>350</v>
      </c>
      <c r="G16" s="593" t="s">
        <v>349</v>
      </c>
    </row>
    <row r="17" spans="2:8">
      <c r="E17" s="593">
        <v>104</v>
      </c>
      <c r="F17" s="593" t="s">
        <v>348</v>
      </c>
    </row>
    <row r="21" spans="2:8">
      <c r="B21" s="593" t="s">
        <v>144</v>
      </c>
      <c r="D21" s="593" t="s">
        <v>347</v>
      </c>
      <c r="E21" s="593">
        <v>65</v>
      </c>
    </row>
    <row r="22" spans="2:8">
      <c r="D22" s="593" t="s">
        <v>346</v>
      </c>
      <c r="E22" s="593">
        <v>150</v>
      </c>
      <c r="F22" s="593" t="s">
        <v>345</v>
      </c>
      <c r="G22" s="593">
        <v>125</v>
      </c>
      <c r="H22" s="593" t="s">
        <v>344</v>
      </c>
    </row>
    <row r="23" spans="2:8">
      <c r="D23" s="593" t="s">
        <v>343</v>
      </c>
      <c r="E23" s="593">
        <v>0.2</v>
      </c>
      <c r="F23" s="593" t="s">
        <v>342</v>
      </c>
    </row>
    <row r="27" spans="2:8">
      <c r="B27" s="593" t="s">
        <v>109</v>
      </c>
      <c r="C27" s="593" t="s">
        <v>341</v>
      </c>
      <c r="E27" s="593">
        <v>22</v>
      </c>
    </row>
    <row r="28" spans="2:8">
      <c r="C28" s="593" t="s">
        <v>340</v>
      </c>
      <c r="E28" s="593">
        <v>10</v>
      </c>
    </row>
    <row r="32" spans="2:8">
      <c r="B32" s="593" t="s">
        <v>339</v>
      </c>
      <c r="D32" s="595">
        <v>6000000</v>
      </c>
      <c r="E32" s="593" t="s">
        <v>338</v>
      </c>
      <c r="F32" s="593" t="s">
        <v>337</v>
      </c>
    </row>
    <row r="42" spans="2:6">
      <c r="B42" s="593" t="s">
        <v>130</v>
      </c>
      <c r="D42" s="596">
        <v>157</v>
      </c>
      <c r="E42" s="593" t="s">
        <v>336</v>
      </c>
      <c r="F42" s="593" t="s">
        <v>334</v>
      </c>
    </row>
    <row r="43" spans="2:6">
      <c r="D43" s="596">
        <v>90</v>
      </c>
      <c r="E43" s="593" t="s">
        <v>336</v>
      </c>
      <c r="F43" s="593" t="s">
        <v>334</v>
      </c>
    </row>
    <row r="44" spans="2:6">
      <c r="D44" s="596">
        <v>3</v>
      </c>
      <c r="E44" s="593" t="s">
        <v>335</v>
      </c>
      <c r="F44" s="593" t="s">
        <v>334</v>
      </c>
    </row>
    <row r="47" spans="2:6">
      <c r="D47" s="597">
        <v>7.5</v>
      </c>
      <c r="E47" s="593" t="s">
        <v>222</v>
      </c>
    </row>
    <row r="48" spans="2:6">
      <c r="D48" s="597">
        <v>8.6</v>
      </c>
      <c r="E48" s="593" t="s">
        <v>333</v>
      </c>
    </row>
    <row r="49" spans="2:7">
      <c r="D49" s="597">
        <v>8</v>
      </c>
      <c r="E49" s="593" t="s">
        <v>221</v>
      </c>
    </row>
    <row r="50" spans="2:7">
      <c r="D50" s="597">
        <v>8.1999999999999993</v>
      </c>
      <c r="E50" s="593" t="s">
        <v>224</v>
      </c>
    </row>
    <row r="51" spans="2:7">
      <c r="E51" s="593" t="s">
        <v>332</v>
      </c>
    </row>
    <row r="54" spans="2:7">
      <c r="B54" s="593" t="s">
        <v>331</v>
      </c>
      <c r="D54" s="593">
        <v>2</v>
      </c>
      <c r="E54" s="593" t="s">
        <v>330</v>
      </c>
    </row>
    <row r="55" spans="2:7">
      <c r="D55" s="593">
        <v>5</v>
      </c>
      <c r="E55" s="593" t="s">
        <v>329</v>
      </c>
    </row>
    <row r="59" spans="2:7">
      <c r="B59" s="598" t="s">
        <v>866</v>
      </c>
    </row>
    <row r="61" spans="2:7">
      <c r="B61" s="599" t="s">
        <v>873</v>
      </c>
      <c r="C61" s="599" t="s">
        <v>874</v>
      </c>
      <c r="D61" s="599" t="s">
        <v>207</v>
      </c>
      <c r="E61" s="599" t="s">
        <v>94</v>
      </c>
      <c r="F61" s="599" t="s">
        <v>877</v>
      </c>
      <c r="G61" s="599" t="s">
        <v>870</v>
      </c>
    </row>
    <row r="62" spans="2:7">
      <c r="B62" s="600" t="s">
        <v>875</v>
      </c>
      <c r="C62" s="600" t="s">
        <v>876</v>
      </c>
      <c r="D62" s="600">
        <v>1</v>
      </c>
      <c r="E62" s="601">
        <v>795</v>
      </c>
      <c r="F62" s="602">
        <v>1595</v>
      </c>
      <c r="G62" s="603">
        <f t="shared" ref="G62:G68" si="0">F62/E62</f>
        <v>2.0062893081761008</v>
      </c>
    </row>
    <row r="63" spans="2:7">
      <c r="B63" s="600" t="s">
        <v>875</v>
      </c>
      <c r="C63" s="600" t="s">
        <v>876</v>
      </c>
      <c r="D63" s="600">
        <v>2</v>
      </c>
      <c r="E63" s="601">
        <v>1073</v>
      </c>
      <c r="F63" s="602">
        <v>2015</v>
      </c>
      <c r="G63" s="603">
        <f t="shared" si="0"/>
        <v>1.8779123951537744</v>
      </c>
    </row>
    <row r="64" spans="2:7">
      <c r="B64" s="600" t="s">
        <v>880</v>
      </c>
      <c r="C64" s="600" t="s">
        <v>883</v>
      </c>
      <c r="D64" s="600">
        <v>2</v>
      </c>
      <c r="E64" s="601">
        <v>1148</v>
      </c>
      <c r="F64" s="602">
        <v>1989</v>
      </c>
      <c r="G64" s="603">
        <f t="shared" si="0"/>
        <v>1.7325783972125435</v>
      </c>
    </row>
    <row r="65" spans="1:7">
      <c r="B65" s="600" t="s">
        <v>880</v>
      </c>
      <c r="C65" s="600" t="s">
        <v>883</v>
      </c>
      <c r="D65" s="600">
        <v>2</v>
      </c>
      <c r="E65" s="601">
        <v>1207</v>
      </c>
      <c r="F65" s="602">
        <v>2253</v>
      </c>
      <c r="G65" s="603">
        <f t="shared" si="0"/>
        <v>1.8666114333057167</v>
      </c>
    </row>
    <row r="66" spans="1:7">
      <c r="B66" s="600" t="s">
        <v>881</v>
      </c>
      <c r="C66" s="600" t="s">
        <v>882</v>
      </c>
      <c r="D66" s="600">
        <v>0</v>
      </c>
      <c r="E66" s="601">
        <v>475</v>
      </c>
      <c r="F66" s="602">
        <v>1040</v>
      </c>
      <c r="G66" s="603">
        <f t="shared" si="0"/>
        <v>2.1894736842105265</v>
      </c>
    </row>
    <row r="67" spans="1:7">
      <c r="B67" s="600" t="s">
        <v>881</v>
      </c>
      <c r="C67" s="600" t="s">
        <v>882</v>
      </c>
      <c r="D67" s="600">
        <v>1</v>
      </c>
      <c r="E67" s="601">
        <v>675</v>
      </c>
      <c r="F67" s="602">
        <v>1815</v>
      </c>
      <c r="G67" s="603">
        <f t="shared" si="0"/>
        <v>2.6888888888888891</v>
      </c>
    </row>
    <row r="68" spans="1:7">
      <c r="B68" s="600" t="s">
        <v>881</v>
      </c>
      <c r="C68" s="600" t="s">
        <v>882</v>
      </c>
      <c r="D68" s="600">
        <v>2</v>
      </c>
      <c r="E68" s="601">
        <v>1025</v>
      </c>
      <c r="F68" s="602">
        <v>2305</v>
      </c>
      <c r="G68" s="603">
        <f t="shared" si="0"/>
        <v>2.2487804878048783</v>
      </c>
    </row>
    <row r="69" spans="1:7">
      <c r="F69" s="618" t="s">
        <v>884</v>
      </c>
      <c r="G69" s="604">
        <f>AVERAGE(G62:G68)</f>
        <v>2.0872192278217758</v>
      </c>
    </row>
    <row r="72" spans="1:7">
      <c r="A72" s="593" t="s">
        <v>224</v>
      </c>
    </row>
    <row r="79" spans="1:7">
      <c r="B79" s="593" t="s">
        <v>144</v>
      </c>
    </row>
    <row r="82" spans="2:37">
      <c r="R82" s="593" t="s">
        <v>938</v>
      </c>
      <c r="W82" s="593" t="s">
        <v>109</v>
      </c>
    </row>
    <row r="83" spans="2:37">
      <c r="B83" s="605" t="s">
        <v>878</v>
      </c>
      <c r="C83" s="605" t="s">
        <v>874</v>
      </c>
      <c r="D83" s="605" t="s">
        <v>889</v>
      </c>
      <c r="E83" s="605" t="s">
        <v>890</v>
      </c>
      <c r="F83" s="605" t="s">
        <v>891</v>
      </c>
      <c r="J83" s="593" t="s">
        <v>906</v>
      </c>
    </row>
    <row r="84" spans="2:37">
      <c r="B84" s="607" t="s">
        <v>879</v>
      </c>
      <c r="C84" s="607" t="s">
        <v>905</v>
      </c>
      <c r="D84" s="607" t="s">
        <v>892</v>
      </c>
      <c r="E84" s="607" t="s">
        <v>894</v>
      </c>
      <c r="F84" s="608">
        <v>152</v>
      </c>
      <c r="K84" s="605" t="s">
        <v>874</v>
      </c>
      <c r="L84" s="605" t="s">
        <v>207</v>
      </c>
      <c r="M84" s="605" t="s">
        <v>94</v>
      </c>
      <c r="N84" s="605" t="s">
        <v>907</v>
      </c>
      <c r="O84" s="605" t="s">
        <v>908</v>
      </c>
      <c r="R84" s="605" t="s">
        <v>874</v>
      </c>
      <c r="S84" s="605" t="s">
        <v>94</v>
      </c>
      <c r="T84" s="605" t="s">
        <v>239</v>
      </c>
      <c r="U84" s="605" t="s">
        <v>942</v>
      </c>
      <c r="W84" s="598" t="s">
        <v>984</v>
      </c>
    </row>
    <row r="85" spans="2:37">
      <c r="B85" s="607" t="s">
        <v>879</v>
      </c>
      <c r="C85" s="607" t="s">
        <v>905</v>
      </c>
      <c r="D85" s="607" t="s">
        <v>893</v>
      </c>
      <c r="E85" s="607" t="s">
        <v>894</v>
      </c>
      <c r="F85" s="608">
        <v>161</v>
      </c>
      <c r="K85" s="607" t="s">
        <v>909</v>
      </c>
      <c r="L85" s="607">
        <v>2</v>
      </c>
      <c r="M85" s="610">
        <v>1150</v>
      </c>
      <c r="N85" s="608">
        <v>329900</v>
      </c>
      <c r="O85" s="608">
        <f t="shared" ref="O85:O90" si="1">N85/M85</f>
        <v>286.86956521739131</v>
      </c>
      <c r="R85" s="607" t="s">
        <v>939</v>
      </c>
      <c r="S85" s="610">
        <v>4000</v>
      </c>
      <c r="T85" s="607" t="s">
        <v>940</v>
      </c>
      <c r="U85" s="619">
        <f>36</f>
        <v>36</v>
      </c>
      <c r="W85" s="605" t="s">
        <v>873</v>
      </c>
      <c r="X85" s="605" t="s">
        <v>885</v>
      </c>
      <c r="Y85" s="605" t="s">
        <v>874</v>
      </c>
      <c r="Z85" s="605" t="s">
        <v>987</v>
      </c>
      <c r="AA85" s="593" t="s">
        <v>966</v>
      </c>
    </row>
    <row r="86" spans="2:37">
      <c r="B86" s="607" t="s">
        <v>879</v>
      </c>
      <c r="C86" s="607" t="s">
        <v>905</v>
      </c>
      <c r="D86" s="607" t="s">
        <v>892</v>
      </c>
      <c r="E86" s="607" t="s">
        <v>895</v>
      </c>
      <c r="F86" s="608">
        <v>195</v>
      </c>
      <c r="K86" s="607" t="s">
        <v>910</v>
      </c>
      <c r="L86" s="607">
        <v>2</v>
      </c>
      <c r="M86" s="610">
        <v>932</v>
      </c>
      <c r="N86" s="608">
        <v>314900</v>
      </c>
      <c r="O86" s="608">
        <f t="shared" si="1"/>
        <v>337.87553648068672</v>
      </c>
      <c r="R86" s="607" t="s">
        <v>941</v>
      </c>
      <c r="S86" s="610">
        <v>3400</v>
      </c>
      <c r="T86" s="607" t="s">
        <v>240</v>
      </c>
      <c r="U86" s="619">
        <v>28</v>
      </c>
      <c r="W86" s="607" t="s">
        <v>988</v>
      </c>
      <c r="X86" s="607" t="s">
        <v>341</v>
      </c>
      <c r="Y86" s="607" t="s">
        <v>886</v>
      </c>
      <c r="Z86" s="619">
        <v>25</v>
      </c>
    </row>
    <row r="87" spans="2:37">
      <c r="B87" s="607" t="s">
        <v>879</v>
      </c>
      <c r="C87" s="607" t="s">
        <v>905</v>
      </c>
      <c r="D87" s="607" t="s">
        <v>893</v>
      </c>
      <c r="E87" s="607" t="s">
        <v>895</v>
      </c>
      <c r="F87" s="608">
        <v>195</v>
      </c>
      <c r="K87" s="607" t="s">
        <v>911</v>
      </c>
      <c r="L87" s="607">
        <v>2</v>
      </c>
      <c r="M87" s="610">
        <v>1424</v>
      </c>
      <c r="N87" s="608">
        <v>345000</v>
      </c>
      <c r="O87" s="608">
        <f t="shared" si="1"/>
        <v>242.27528089887642</v>
      </c>
      <c r="R87" s="607" t="s">
        <v>943</v>
      </c>
      <c r="S87" s="610">
        <v>2341</v>
      </c>
      <c r="T87" s="607" t="s">
        <v>240</v>
      </c>
      <c r="U87" s="619">
        <v>25</v>
      </c>
      <c r="W87" s="607" t="s">
        <v>887</v>
      </c>
      <c r="X87" s="607" t="s">
        <v>341</v>
      </c>
      <c r="Y87" s="607" t="s">
        <v>888</v>
      </c>
      <c r="Z87" s="619">
        <v>23</v>
      </c>
    </row>
    <row r="88" spans="2:37">
      <c r="B88" s="607" t="s">
        <v>896</v>
      </c>
      <c r="C88" s="607" t="s">
        <v>899</v>
      </c>
      <c r="D88" s="607" t="s">
        <v>898</v>
      </c>
      <c r="E88" s="607" t="s">
        <v>894</v>
      </c>
      <c r="F88" s="608">
        <v>133</v>
      </c>
      <c r="K88" s="607" t="s">
        <v>912</v>
      </c>
      <c r="L88" s="607">
        <v>1</v>
      </c>
      <c r="M88" s="610">
        <v>1469</v>
      </c>
      <c r="N88" s="608">
        <v>380000</v>
      </c>
      <c r="O88" s="608">
        <f t="shared" si="1"/>
        <v>258.6793737236215</v>
      </c>
      <c r="R88" s="607" t="s">
        <v>944</v>
      </c>
      <c r="S88" s="610">
        <v>2806</v>
      </c>
      <c r="T88" s="607" t="s">
        <v>240</v>
      </c>
      <c r="U88" s="619">
        <v>30</v>
      </c>
      <c r="W88" s="607" t="s">
        <v>964</v>
      </c>
      <c r="X88" s="607" t="s">
        <v>965</v>
      </c>
      <c r="Y88" s="607"/>
      <c r="Z88" s="619">
        <v>22</v>
      </c>
      <c r="AA88" s="593">
        <v>5154</v>
      </c>
    </row>
    <row r="89" spans="2:37">
      <c r="B89" s="607" t="s">
        <v>897</v>
      </c>
      <c r="C89" s="607" t="s">
        <v>903</v>
      </c>
      <c r="D89" s="607" t="s">
        <v>901</v>
      </c>
      <c r="E89" s="607" t="s">
        <v>902</v>
      </c>
      <c r="F89" s="608">
        <v>259</v>
      </c>
      <c r="K89" s="607" t="s">
        <v>913</v>
      </c>
      <c r="L89" s="607">
        <v>2</v>
      </c>
      <c r="M89" s="610">
        <v>1167</v>
      </c>
      <c r="N89" s="608">
        <v>339000</v>
      </c>
      <c r="O89" s="608">
        <f t="shared" si="1"/>
        <v>290.48843187660668</v>
      </c>
      <c r="R89" s="607" t="s">
        <v>945</v>
      </c>
      <c r="S89" s="610">
        <v>4930</v>
      </c>
      <c r="T89" s="607" t="s">
        <v>240</v>
      </c>
      <c r="U89" s="619">
        <v>28</v>
      </c>
      <c r="W89" s="607" t="s">
        <v>964</v>
      </c>
      <c r="X89" s="607" t="s">
        <v>965</v>
      </c>
      <c r="Y89" s="607"/>
      <c r="Z89" s="619">
        <v>22</v>
      </c>
      <c r="AA89" s="593">
        <v>5060</v>
      </c>
      <c r="AK89" s="862">
        <v>322000000</v>
      </c>
    </row>
    <row r="90" spans="2:37">
      <c r="B90" s="607" t="s">
        <v>900</v>
      </c>
      <c r="C90" s="607" t="s">
        <v>904</v>
      </c>
      <c r="D90" s="607" t="s">
        <v>892</v>
      </c>
      <c r="E90" s="607" t="s">
        <v>894</v>
      </c>
      <c r="F90" s="608">
        <v>135.5</v>
      </c>
      <c r="K90" s="607" t="s">
        <v>914</v>
      </c>
      <c r="L90" s="607">
        <v>1</v>
      </c>
      <c r="M90" s="610">
        <v>932</v>
      </c>
      <c r="N90" s="608">
        <v>314900</v>
      </c>
      <c r="O90" s="608">
        <f t="shared" si="1"/>
        <v>337.87553648068672</v>
      </c>
      <c r="T90" s="618" t="s">
        <v>884</v>
      </c>
      <c r="U90" s="869">
        <f>AVERAGE(U85:U89)</f>
        <v>29.4</v>
      </c>
      <c r="W90" s="607" t="s">
        <v>968</v>
      </c>
      <c r="X90" s="607" t="s">
        <v>965</v>
      </c>
      <c r="Y90" s="607" t="s">
        <v>969</v>
      </c>
      <c r="Z90" s="619">
        <v>21</v>
      </c>
      <c r="AA90" s="593">
        <v>4664</v>
      </c>
      <c r="AK90" s="593">
        <f>AK89/AE95</f>
        <v>369.94612803123175</v>
      </c>
    </row>
    <row r="91" spans="2:37">
      <c r="E91" s="618" t="s">
        <v>884</v>
      </c>
      <c r="F91" s="606">
        <f>AVERAGE(F84:F90)</f>
        <v>175.78571428571428</v>
      </c>
      <c r="N91" s="618" t="s">
        <v>884</v>
      </c>
      <c r="O91" s="609">
        <f>AVERAGE(O85:O90)</f>
        <v>292.34395411297822</v>
      </c>
      <c r="W91" s="607" t="s">
        <v>968</v>
      </c>
      <c r="X91" s="607" t="s">
        <v>965</v>
      </c>
      <c r="Y91" s="607" t="s">
        <v>969</v>
      </c>
      <c r="Z91" s="619">
        <v>20</v>
      </c>
      <c r="AA91" s="593">
        <v>4664</v>
      </c>
    </row>
    <row r="92" spans="2:37">
      <c r="Y92" s="618" t="s">
        <v>884</v>
      </c>
      <c r="Z92" s="869">
        <f>AVERAGE(Z86:Z91)</f>
        <v>22.166666666666668</v>
      </c>
    </row>
    <row r="93" spans="2:37">
      <c r="W93" s="598" t="s">
        <v>986</v>
      </c>
    </row>
    <row r="94" spans="2:37">
      <c r="W94" s="867" t="s">
        <v>985</v>
      </c>
      <c r="X94" s="867" t="s">
        <v>885</v>
      </c>
      <c r="Y94" s="867" t="s">
        <v>874</v>
      </c>
      <c r="Z94" s="867" t="s">
        <v>94</v>
      </c>
      <c r="AA94" s="867" t="s">
        <v>987</v>
      </c>
      <c r="AB94" s="867" t="s">
        <v>959</v>
      </c>
      <c r="AC94" s="598" t="s">
        <v>347</v>
      </c>
      <c r="AD94" s="598" t="s">
        <v>960</v>
      </c>
      <c r="AE94" s="598" t="s">
        <v>961</v>
      </c>
      <c r="AF94" s="598" t="s">
        <v>962</v>
      </c>
    </row>
    <row r="95" spans="2:37">
      <c r="W95" s="607" t="s">
        <v>988</v>
      </c>
      <c r="X95" s="607" t="s">
        <v>341</v>
      </c>
      <c r="Y95" s="607" t="s">
        <v>886</v>
      </c>
      <c r="Z95" s="610">
        <v>5335</v>
      </c>
      <c r="AA95" s="619">
        <v>23.5</v>
      </c>
      <c r="AB95" s="868">
        <v>43497</v>
      </c>
      <c r="AC95" s="861">
        <v>0.98599999999999999</v>
      </c>
      <c r="AD95" s="593">
        <v>2011</v>
      </c>
      <c r="AE95" s="862">
        <v>870397</v>
      </c>
      <c r="AF95" s="593" t="s">
        <v>963</v>
      </c>
    </row>
    <row r="96" spans="2:37">
      <c r="W96" s="607" t="s">
        <v>988</v>
      </c>
      <c r="X96" s="607" t="s">
        <v>341</v>
      </c>
      <c r="Y96" s="607" t="s">
        <v>886</v>
      </c>
      <c r="Z96" s="610">
        <v>4700</v>
      </c>
      <c r="AA96" s="619">
        <v>23.5</v>
      </c>
      <c r="AB96" s="868">
        <v>43497</v>
      </c>
      <c r="AE96" s="862"/>
    </row>
    <row r="97" spans="2:31">
      <c r="W97" s="607" t="s">
        <v>988</v>
      </c>
      <c r="X97" s="607" t="s">
        <v>341</v>
      </c>
      <c r="Y97" s="607" t="s">
        <v>886</v>
      </c>
      <c r="Z97" s="610">
        <v>20790</v>
      </c>
      <c r="AA97" s="619">
        <v>25</v>
      </c>
      <c r="AB97" s="868">
        <v>43040</v>
      </c>
      <c r="AE97" s="862"/>
    </row>
    <row r="98" spans="2:31">
      <c r="W98" s="607" t="s">
        <v>964</v>
      </c>
      <c r="X98" s="607" t="s">
        <v>965</v>
      </c>
      <c r="Y98" s="607"/>
      <c r="Z98" s="610">
        <v>15251</v>
      </c>
      <c r="AA98" s="619">
        <v>26</v>
      </c>
      <c r="AB98" s="868">
        <v>43497</v>
      </c>
      <c r="AC98" s="863">
        <v>0.61</v>
      </c>
      <c r="AD98" s="593" t="s">
        <v>967</v>
      </c>
      <c r="AE98" s="862">
        <v>91212</v>
      </c>
    </row>
    <row r="99" spans="2:31">
      <c r="W99" s="607" t="s">
        <v>971</v>
      </c>
      <c r="X99" s="607" t="s">
        <v>965</v>
      </c>
      <c r="Y99" s="607" t="s">
        <v>971</v>
      </c>
      <c r="Z99" s="610">
        <v>55000</v>
      </c>
      <c r="AA99" s="619">
        <v>30</v>
      </c>
      <c r="AB99" s="868">
        <v>43221</v>
      </c>
      <c r="AD99" s="593">
        <v>2018</v>
      </c>
      <c r="AE99" s="862">
        <v>55000</v>
      </c>
    </row>
    <row r="100" spans="2:31">
      <c r="Z100" s="618" t="s">
        <v>884</v>
      </c>
      <c r="AA100" s="869">
        <f>AVERAGE(AA95:AA99)</f>
        <v>25.6</v>
      </c>
    </row>
    <row r="102" spans="2:31">
      <c r="B102" s="593" t="s">
        <v>976</v>
      </c>
    </row>
    <row r="103" spans="2:31">
      <c r="B103" s="593" t="s">
        <v>977</v>
      </c>
      <c r="C103" s="593">
        <v>5343</v>
      </c>
    </row>
    <row r="104" spans="2:31">
      <c r="B104" s="593" t="s">
        <v>978</v>
      </c>
      <c r="C104" s="593">
        <v>3315</v>
      </c>
      <c r="D104" s="593">
        <f>C104/C103</f>
        <v>0.62043795620437958</v>
      </c>
    </row>
    <row r="105" spans="2:31">
      <c r="B105" s="593" t="s">
        <v>979</v>
      </c>
      <c r="C105" s="593">
        <v>3480</v>
      </c>
      <c r="D105" s="593">
        <f>C105/C103</f>
        <v>0.65131948343627177</v>
      </c>
      <c r="AE105" s="862"/>
    </row>
    <row r="106" spans="2:31">
      <c r="W106" s="593" t="s">
        <v>968</v>
      </c>
      <c r="X106" s="593" t="s">
        <v>965</v>
      </c>
      <c r="Y106" s="593" t="s">
        <v>969</v>
      </c>
      <c r="Z106" s="862">
        <v>34528</v>
      </c>
      <c r="AA106" s="848"/>
      <c r="AD106" s="593" t="s">
        <v>970</v>
      </c>
      <c r="AE106" s="862"/>
    </row>
    <row r="107" spans="2:31">
      <c r="B107" s="593" t="s">
        <v>980</v>
      </c>
    </row>
    <row r="110" spans="2:31">
      <c r="W110" s="593" t="s">
        <v>981</v>
      </c>
    </row>
    <row r="111" spans="2:31">
      <c r="W111" s="593" t="s">
        <v>972</v>
      </c>
      <c r="X111" s="862">
        <v>5592</v>
      </c>
    </row>
    <row r="112" spans="2:31">
      <c r="W112" s="593" t="s">
        <v>973</v>
      </c>
      <c r="X112" s="593">
        <v>660</v>
      </c>
      <c r="Y112" s="864">
        <f>X112/X111</f>
        <v>0.11802575107296137</v>
      </c>
    </row>
    <row r="113" spans="23:25">
      <c r="W113" s="593" t="s">
        <v>974</v>
      </c>
      <c r="X113" s="593">
        <v>1117</v>
      </c>
      <c r="Y113" s="865">
        <f>X113/X111</f>
        <v>0.19974964234620887</v>
      </c>
    </row>
    <row r="115" spans="23:25">
      <c r="W115" s="866" t="s">
        <v>975</v>
      </c>
    </row>
    <row r="117" spans="23:25">
      <c r="W117" s="593" t="s">
        <v>982</v>
      </c>
    </row>
    <row r="118" spans="23:25">
      <c r="W118" s="593" t="s">
        <v>972</v>
      </c>
      <c r="X118" s="593">
        <v>224</v>
      </c>
    </row>
    <row r="119" spans="23:25">
      <c r="W119" s="593" t="s">
        <v>983</v>
      </c>
      <c r="X119" s="593">
        <v>185</v>
      </c>
      <c r="Y119" s="593">
        <f>X119/X118</f>
        <v>0.8258928571428571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3994A-5C12-444B-AEE5-8023686FB570}">
  <sheetPr>
    <tabColor theme="9" tint="0.59999389629810485"/>
  </sheetPr>
  <dimension ref="B2:P84"/>
  <sheetViews>
    <sheetView showGridLines="0" topLeftCell="A65" zoomScale="70" zoomScaleNormal="70" workbookViewId="0">
      <selection activeCell="T49" sqref="T49"/>
    </sheetView>
  </sheetViews>
  <sheetFormatPr defaultRowHeight="9" customHeight="1"/>
  <cols>
    <col min="2" max="2" width="24.1796875" bestFit="1" customWidth="1"/>
    <col min="3" max="3" width="1.1796875" style="857" customWidth="1"/>
    <col min="5" max="5" width="9" bestFit="1" customWidth="1"/>
    <col min="6" max="7" width="11.453125" bestFit="1" customWidth="1"/>
    <col min="8" max="8" width="10.36328125" bestFit="1" customWidth="1"/>
    <col min="9" max="14" width="11.08984375" bestFit="1" customWidth="1"/>
    <col min="15" max="15" width="11.7265625" bestFit="1" customWidth="1"/>
  </cols>
  <sheetData>
    <row r="2" spans="2:16" ht="9" customHeight="1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6" ht="9" customHeight="1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6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6" ht="9" customHeight="1">
      <c r="B5" s="126" t="s">
        <v>89</v>
      </c>
      <c r="C5" s="851"/>
      <c r="D5" s="133">
        <f>Phase1</f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f>summary!AF15</f>
        <v>0.12578127184651011</v>
      </c>
      <c r="L5" s="106"/>
      <c r="M5" s="106"/>
      <c r="N5" s="106"/>
      <c r="O5" s="106"/>
    </row>
    <row r="6" spans="2:16" ht="9" customHeight="1">
      <c r="B6" s="126" t="s">
        <v>93</v>
      </c>
      <c r="C6" s="851"/>
      <c r="D6" s="130" t="s">
        <v>224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6" ht="9" customHeight="1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6" ht="9" customHeight="1">
      <c r="B8" s="106"/>
      <c r="C8" s="853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6" ht="9" customHeight="1">
      <c r="B9" s="108" t="s">
        <v>273</v>
      </c>
      <c r="C9" s="853"/>
      <c r="D9" s="106"/>
      <c r="E9" s="200">
        <v>0</v>
      </c>
      <c r="F9" s="200">
        <v>0</v>
      </c>
      <c r="G9" s="200">
        <v>0</v>
      </c>
      <c r="H9" s="377">
        <v>0</v>
      </c>
      <c r="I9" s="202">
        <f>SUM('acq-demo-repur'!G8)</f>
        <v>24300</v>
      </c>
      <c r="J9" s="199">
        <f t="shared" ref="J9:O9" si="0">I9</f>
        <v>24300</v>
      </c>
      <c r="K9" s="199">
        <f t="shared" si="0"/>
        <v>24300</v>
      </c>
      <c r="L9" s="199">
        <f t="shared" si="0"/>
        <v>24300</v>
      </c>
      <c r="M9" s="199">
        <f t="shared" si="0"/>
        <v>24300</v>
      </c>
      <c r="N9" s="199">
        <f t="shared" si="0"/>
        <v>24300</v>
      </c>
      <c r="O9" s="199">
        <f t="shared" si="0"/>
        <v>24300</v>
      </c>
    </row>
    <row r="10" spans="2:16" ht="9" customHeight="1">
      <c r="B10" s="108" t="s">
        <v>272</v>
      </c>
      <c r="C10" s="854"/>
      <c r="D10" s="106"/>
      <c r="E10" s="109">
        <f>IF(OR(E$2=$H7,E$2&gt;$H7),INDEX(summary!$A$2:$D$24,MATCH($D6,summary!$A$2:$A$24,0),MATCH($D5,summary!$A$2:$D$2,0)),0)</f>
        <v>0</v>
      </c>
      <c r="F10" s="109">
        <f>IF(OR(F$2=$H7,F$2&gt;$H7),INDEX(summary!$A$2:$D$24,MATCH($D6,summary!$A$2:$A$24,0),MATCH($D5,summary!$A$2:$D$2,0)),0)</f>
        <v>0</v>
      </c>
      <c r="G10" s="109">
        <f>IF(OR(G$2=$H7,G$2&gt;$H7),INDEX(summary!$A$2:$D$24,MATCH($D6,summary!$A$2:$A$24,0),MATCH($D5,summary!$A$2:$D$2,0)),0)</f>
        <v>0</v>
      </c>
      <c r="H10" s="109">
        <f>IF(OR(H$2=$H7,H$2&gt;$H7),INDEX(summary!$A$2:$D$24,MATCH($D6,summary!$A$2:$A$24,0),MATCH($D5,summary!$A$2:$D$2,0)),0)</f>
        <v>0</v>
      </c>
      <c r="I10" s="109">
        <f>IF(OR(I$2=$H7,I$2&gt;$H7),INDEX(summary!$A$2:$D$24,MATCH($D6,summary!$A$2:$A$24,0),MATCH($D5,summary!$A$2:$D$2,0)),0)</f>
        <v>768858.5</v>
      </c>
      <c r="J10" s="109">
        <f>IF(OR(J$2=$H7,J$2&gt;$H7),INDEX(summary!$A$2:$D$24,MATCH($D6,summary!$A$2:$A$24,0),MATCH($D5,summary!$A$2:$D$2,0)),0)</f>
        <v>768858.5</v>
      </c>
      <c r="K10" s="109">
        <f>IF(OR(K$2=$H7,K$2&gt;$H7),INDEX(summary!$A$2:$D$24,MATCH($D6,summary!$A$2:$A$24,0),MATCH($D5,summary!$A$2:$D$2,0)),0)</f>
        <v>768858.5</v>
      </c>
      <c r="L10" s="109">
        <f>IF(OR(L$2=$H7,L$2&gt;$H7),INDEX(summary!$A$2:$D$24,MATCH($D6,summary!$A$2:$A$24,0),MATCH($D5,summary!$A$2:$D$2,0)),0)</f>
        <v>768858.5</v>
      </c>
      <c r="M10" s="109">
        <f>IF(OR(M$2=$H7,M$2&gt;$H7),INDEX(summary!$A$2:$D$24,MATCH($D6,summary!$A$2:$A$24,0),MATCH($D5,summary!$A$2:$D$2,0)),0)</f>
        <v>768858.5</v>
      </c>
      <c r="N10" s="109">
        <f>IF(OR(N$2=$H7,N$2&gt;$H7),INDEX(summary!$A$2:$D$24,MATCH($D6,summary!$A$2:$A$24,0),MATCH($D5,summary!$A$2:$D$2,0)),0)</f>
        <v>768858.5</v>
      </c>
      <c r="O10" s="109">
        <f>IF(OR(O$2=$H7,O$2&gt;$H7),INDEX(summary!$A$2:$D$24,MATCH($D6,summary!$A$2:$A$24,0),MATCH($D5,summary!$A$2:$D$2,0)),0)</f>
        <v>768858.5</v>
      </c>
    </row>
    <row r="11" spans="2:16" ht="9" customHeight="1">
      <c r="B11" s="108" t="s">
        <v>194</v>
      </c>
      <c r="C11" s="855" t="s">
        <v>191</v>
      </c>
      <c r="D11" s="110">
        <f>INDEX(cockpit!$J$6:$Y$16,MATCH($D6,cockpit!$J$6:$J$16,0),MATCH($C$11,cockpit!$J$6:$Y$6,0))</f>
        <v>0</v>
      </c>
      <c r="E11" s="109">
        <f>E10*(1-$D11)</f>
        <v>0</v>
      </c>
      <c r="F11" s="109">
        <f>F10*(1-$D11)</f>
        <v>0</v>
      </c>
      <c r="G11" s="109">
        <f>G10*(1-$D11)</f>
        <v>0</v>
      </c>
      <c r="H11" s="109">
        <f>SUM(H9:H10)*(1-$D11)</f>
        <v>0</v>
      </c>
      <c r="I11" s="109">
        <f t="shared" ref="I11:O11" si="1">SUM(I9:I10)*(1-$D11)</f>
        <v>793158.5</v>
      </c>
      <c r="J11" s="109">
        <f t="shared" si="1"/>
        <v>793158.5</v>
      </c>
      <c r="K11" s="109">
        <f t="shared" si="1"/>
        <v>793158.5</v>
      </c>
      <c r="L11" s="109">
        <f t="shared" si="1"/>
        <v>793158.5</v>
      </c>
      <c r="M11" s="109">
        <f t="shared" si="1"/>
        <v>793158.5</v>
      </c>
      <c r="N11" s="109">
        <f t="shared" si="1"/>
        <v>793158.5</v>
      </c>
      <c r="O11" s="109">
        <f t="shared" si="1"/>
        <v>793158.5</v>
      </c>
    </row>
    <row r="12" spans="2:16" ht="9" customHeight="1">
      <c r="B12" s="108" t="s">
        <v>180</v>
      </c>
      <c r="C12" s="855" t="s">
        <v>152</v>
      </c>
      <c r="D12" s="122">
        <f>Officerampup</f>
        <v>0.3</v>
      </c>
      <c r="E12" s="109">
        <f>IF(OR(E$2=$H7,AND(E$2&gt;$H7,E$2&lt;(SUM($H7,INDEX(cockpit!$J$6:$Y$16,MATCH($D6,cockpit!$J$6:$J$16,0),MATCH($C$12,cockpit!$J$6:$Y$6,0)))))),E11*$D12,0)</f>
        <v>0</v>
      </c>
      <c r="F12" s="109">
        <f>IF(OR(F$2=$H7,AND(F$2&gt;$H7,F$2&lt;(SUM($H7,INDEX(cockpit!$J$6:$Y$16,MATCH($D6,cockpit!$J$6:$J$16,0),MATCH($C$12,cockpit!$J$6:$Y$6,0)))))),F11*$D12,0)</f>
        <v>0</v>
      </c>
      <c r="G12" s="109">
        <f>IF(OR(G$2=$H7,AND(G$2&gt;$H7,G$2&lt;(SUM($H7,INDEX(cockpit!$J$6:$Y$16,MATCH($D6,cockpit!$J$6:$J$16,0),MATCH($C$12,cockpit!$J$6:$Y$6,0)))))),G11*$D12,0)</f>
        <v>0</v>
      </c>
      <c r="H12" s="109">
        <f>IF(OR(H$2=$H7,AND(H$2&gt;$H7,H$2&lt;(SUM($H7,INDEX(cockpit!$J$6:$Y$16,MATCH($D6,cockpit!$J$6:$J$16,0),MATCH($C$12,cockpit!$J$6:$Y$6,0)))))),H11*$D12,0)</f>
        <v>0</v>
      </c>
      <c r="I12" s="109">
        <f>IF(OR(I$2=$H7,AND(I$2&gt;$H7,I$2&lt;(SUM($H7,INDEX(cockpit!$J$6:$Y$16,MATCH($D6,cockpit!$J$6:$J$16,0),MATCH($C$12,cockpit!$J$6:$Y$6,0)))))),I11*$D12,0)</f>
        <v>237947.55</v>
      </c>
      <c r="J12" s="109">
        <f>IF(OR(J$2=$H7,AND(J$2&gt;$H7,J$2&lt;(SUM($H7,INDEX(cockpit!$J$6:$Y$16,MATCH($D6,cockpit!$J$6:$J$16,0),MATCH($C$12,cockpit!$J$6:$Y$6,0)))))),J11*$D12,0)</f>
        <v>237947.55</v>
      </c>
      <c r="K12" s="109">
        <f>IF(OR(K$2=$H7,AND(K$2&gt;$H7,K$2&lt;(SUM($H7,INDEX(cockpit!$J$6:$Y$16,MATCH($D6,cockpit!$J$6:$J$16,0),MATCH($C$12,cockpit!$J$6:$Y$6,0)))))),K11*$D12,0)</f>
        <v>237947.55</v>
      </c>
      <c r="L12" s="109">
        <f>IF(OR(L$2=$H7,AND(L$2&gt;$H7,L$2&lt;(SUM($H7,INDEX(cockpit!$J$6:$Y$16,MATCH($D6,cockpit!$J$6:$J$16,0),MATCH($C$12,cockpit!$J$6:$Y$6,0)))))),L11*$D12,0)</f>
        <v>0</v>
      </c>
      <c r="M12" s="109">
        <f>IF(OR(M$2=$H7,AND(M$2&gt;$H7,M$2&lt;(SUM($H7,INDEX(cockpit!$J$6:$Y$16,MATCH($D6,cockpit!$J$6:$J$16,0),MATCH($C$12,cockpit!$J$6:$Y$6,0)))))),M11*$D12,0)</f>
        <v>0</v>
      </c>
      <c r="N12" s="109">
        <f>IF(OR(N$2=$H7,AND(N$2&gt;$H7,N$2&lt;(SUM($H7,INDEX(cockpit!$J$6:$Y$16,MATCH($D6,cockpit!$J$6:$J$16,0),MATCH($C$12,cockpit!$J$6:$Y$6,0)))))),N11*$D12,0)</f>
        <v>0</v>
      </c>
      <c r="O12" s="109">
        <f>IF(OR(O$2=$H7,AND(O$2&gt;$H7,O$2&lt;(SUM($H7,INDEX(cockpit!$J$6:$Y$16,MATCH($D6,cockpit!$J$6:$J$16,0),MATCH($C$12,cockpit!$J$6:$Y$6,0)))))),O11*$D12,0)</f>
        <v>0</v>
      </c>
    </row>
    <row r="13" spans="2:16" ht="9" customHeight="1">
      <c r="B13" s="108" t="s">
        <v>181</v>
      </c>
      <c r="C13" s="855"/>
      <c r="D13" s="106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237947.55</v>
      </c>
      <c r="J13" s="109">
        <f>SUM($E12:J12)</f>
        <v>475895.1</v>
      </c>
      <c r="K13" s="109">
        <f>SUM($E12:K12)</f>
        <v>713842.64999999991</v>
      </c>
      <c r="L13" s="109">
        <f>SUM($E12:L12)</f>
        <v>713842.64999999991</v>
      </c>
      <c r="M13" s="109">
        <f>SUM($E12:M12)</f>
        <v>713842.64999999991</v>
      </c>
      <c r="N13" s="109">
        <f>SUM($E12:N12)</f>
        <v>713842.64999999991</v>
      </c>
      <c r="O13" s="109">
        <f>SUM($E12:O12)</f>
        <v>713842.64999999991</v>
      </c>
    </row>
    <row r="14" spans="2:16" ht="9" customHeight="1">
      <c r="B14" s="106"/>
      <c r="C14" s="855"/>
      <c r="D14" s="106"/>
      <c r="E14" s="362">
        <f t="shared" ref="E14:G14" si="2">IFERROR(1-(E13/E11),0)</f>
        <v>0</v>
      </c>
      <c r="F14" s="362">
        <f t="shared" si="2"/>
        <v>0</v>
      </c>
      <c r="G14" s="362">
        <f t="shared" si="2"/>
        <v>0</v>
      </c>
      <c r="H14" s="362">
        <f>IFERROR(1-(H13/H11),0)</f>
        <v>0</v>
      </c>
      <c r="I14" s="362">
        <f t="shared" ref="I14:O14" si="3">IFERROR(1-(I13/I11),0)</f>
        <v>0.7</v>
      </c>
      <c r="J14" s="362">
        <f t="shared" si="3"/>
        <v>0.4</v>
      </c>
      <c r="K14" s="362">
        <f t="shared" si="3"/>
        <v>0.10000000000000009</v>
      </c>
      <c r="L14" s="362">
        <f t="shared" si="3"/>
        <v>0.10000000000000009</v>
      </c>
      <c r="M14" s="362">
        <f t="shared" si="3"/>
        <v>0.10000000000000009</v>
      </c>
      <c r="N14" s="362">
        <f t="shared" si="3"/>
        <v>0.10000000000000009</v>
      </c>
      <c r="O14" s="362">
        <f t="shared" si="3"/>
        <v>0.10000000000000009</v>
      </c>
    </row>
    <row r="15" spans="2:16" ht="9" customHeight="1">
      <c r="B15" s="108" t="s">
        <v>166</v>
      </c>
      <c r="C15" s="855"/>
      <c r="D15" s="111">
        <f>(OfficemarketratePSF*(1-$K5))+((OfficemarketratePSF*(1+premiumprices)*$K5))</f>
        <v>25.786132949040688</v>
      </c>
      <c r="E15" s="112">
        <f t="shared" ref="E15:O15" si="4">E13*($D15*((1+Inflation)^(E$2-1)))</f>
        <v>0</v>
      </c>
      <c r="F15" s="112">
        <f t="shared" si="4"/>
        <v>0</v>
      </c>
      <c r="G15" s="112">
        <f t="shared" si="4"/>
        <v>0</v>
      </c>
      <c r="H15" s="112">
        <f t="shared" si="4"/>
        <v>0</v>
      </c>
      <c r="I15" s="112">
        <f t="shared" si="4"/>
        <v>6511303.9713187283</v>
      </c>
      <c r="J15" s="112">
        <f t="shared" si="4"/>
        <v>13283060.101490205</v>
      </c>
      <c r="K15" s="112">
        <f t="shared" si="4"/>
        <v>20323081.955280013</v>
      </c>
      <c r="L15" s="112">
        <f t="shared" si="4"/>
        <v>20729543.594385616</v>
      </c>
      <c r="M15" s="112">
        <f t="shared" si="4"/>
        <v>21144134.466273323</v>
      </c>
      <c r="N15" s="112">
        <f t="shared" si="4"/>
        <v>21567017.155598793</v>
      </c>
      <c r="O15" s="112">
        <f t="shared" si="4"/>
        <v>21998357.498710766</v>
      </c>
    </row>
    <row r="16" spans="2:16" ht="9" customHeight="1">
      <c r="B16" s="108" t="s">
        <v>216</v>
      </c>
      <c r="C16" s="855"/>
      <c r="D16" s="111">
        <f>IF(INDEX(cockpit!$J$6:$Y$16,MATCH($D6,cockpit!$J$6:$J$16,0),MATCH($B16,cockpit!$J$6:$Y$6,0))="Y",D17,0)</f>
        <v>10</v>
      </c>
      <c r="E16" s="112">
        <f t="shared" ref="E16" si="5">-IF($D16&gt;0,E17,0)*(1-E14)</f>
        <v>0</v>
      </c>
      <c r="F16" s="112">
        <f t="shared" ref="F16" si="6">-IF($D16&gt;0,F17,0)*(1-F14)</f>
        <v>0</v>
      </c>
      <c r="G16" s="112">
        <f t="shared" ref="G16" si="7">-IF($D16&gt;0,G17,0)*(1-G14)</f>
        <v>0</v>
      </c>
      <c r="H16" s="112">
        <f t="shared" ref="H16" si="8">-IF($D16&gt;0,H17,0)*(1-H14)</f>
        <v>0</v>
      </c>
      <c r="I16" s="112">
        <f t="shared" ref="I16" si="9">-IF($D16&gt;0,I17,0)*(1-I14)</f>
        <v>2525118.436404</v>
      </c>
      <c r="J16" s="112">
        <f t="shared" ref="J16" si="10">-IF($D16&gt;0,J17,0)*(1-J14)</f>
        <v>5151241.6102641597</v>
      </c>
      <c r="K16" s="112">
        <f t="shared" ref="K16" si="11">-IF($D16&gt;0,K17,0)*(1-K14)</f>
        <v>7881399.6637041643</v>
      </c>
      <c r="L16" s="112">
        <f t="shared" ref="L16" si="12">-IF($D16&gt;0,L17,0)*(1-L14)</f>
        <v>8039027.6569782486</v>
      </c>
      <c r="M16" s="112">
        <f t="shared" ref="M16" si="13">-IF($D16&gt;0,M17,0)*(1-M14)</f>
        <v>8199808.2101178113</v>
      </c>
      <c r="N16" s="112">
        <f t="shared" ref="N16" si="14">-IF($D16&gt;0,N17,0)*(1-N14)</f>
        <v>8363804.374320168</v>
      </c>
      <c r="O16" s="112">
        <f t="shared" ref="O16" si="15">-IF($D16&gt;0,O17,0)*(1-O14)</f>
        <v>8531080.461806573</v>
      </c>
      <c r="P16" s="112"/>
    </row>
    <row r="17" spans="2:15" ht="9" customHeight="1">
      <c r="B17" s="108" t="s">
        <v>123</v>
      </c>
      <c r="C17" s="855"/>
      <c r="D17" s="111">
        <f>INDEX(cockpit!$J$6:$Y$16,MATCH($D6,cockpit!$J$6:$J$16,0),MATCH($B17,cockpit!$J$6:$Y$6,0))</f>
        <v>10</v>
      </c>
      <c r="E17" s="113">
        <f>-IF($D17&gt;1,E10*($D17*((1+Inflation)^(E$2-1))),E15*(1-$D17))</f>
        <v>0</v>
      </c>
      <c r="F17" s="113">
        <f>-IF($D17&gt;1,F10*($D17*((1+Inflation)^(F$2-1))),F15*(1-$D17))</f>
        <v>0</v>
      </c>
      <c r="G17" s="113">
        <f>-IF($D17&gt;1,G10*($D17*((1+Inflation)^(G$2-1))),G15*(1-$D17))</f>
        <v>0</v>
      </c>
      <c r="H17" s="113">
        <f t="shared" ref="H17:O17" si="16">-IF($D17&gt;1,SUM(H9,H10)*($D17*((1+Inflation)^(H$2-1))),H15*(1-$D17))</f>
        <v>0</v>
      </c>
      <c r="I17" s="113">
        <f t="shared" si="16"/>
        <v>-8417061.4546799995</v>
      </c>
      <c r="J17" s="113">
        <f t="shared" si="16"/>
        <v>-8585402.6837735996</v>
      </c>
      <c r="K17" s="113">
        <f t="shared" si="16"/>
        <v>-8757110.7374490723</v>
      </c>
      <c r="L17" s="113">
        <f t="shared" si="16"/>
        <v>-8932252.9521980546</v>
      </c>
      <c r="M17" s="113">
        <f t="shared" si="16"/>
        <v>-9110898.0112420134</v>
      </c>
      <c r="N17" s="113">
        <f t="shared" si="16"/>
        <v>-9293115.9714668542</v>
      </c>
      <c r="O17" s="113">
        <f t="shared" si="16"/>
        <v>-9478978.2908961922</v>
      </c>
    </row>
    <row r="18" spans="2:15" ht="9" customHeight="1">
      <c r="B18" s="114" t="s">
        <v>167</v>
      </c>
      <c r="C18" s="855"/>
      <c r="D18" s="106"/>
      <c r="E18" s="112">
        <f>SUM(E15:E17)</f>
        <v>0</v>
      </c>
      <c r="F18" s="112">
        <f t="shared" ref="F18:O18" si="17">SUM(F15:F17)</f>
        <v>0</v>
      </c>
      <c r="G18" s="112">
        <f t="shared" si="17"/>
        <v>0</v>
      </c>
      <c r="H18" s="112">
        <f t="shared" si="17"/>
        <v>0</v>
      </c>
      <c r="I18" s="112">
        <f t="shared" si="17"/>
        <v>619360.95304272883</v>
      </c>
      <c r="J18" s="112">
        <f t="shared" si="17"/>
        <v>9848899.0279807672</v>
      </c>
      <c r="K18" s="112">
        <f t="shared" si="17"/>
        <v>19447370.881535105</v>
      </c>
      <c r="L18" s="112">
        <f t="shared" si="17"/>
        <v>19836318.299165811</v>
      </c>
      <c r="M18" s="112">
        <f t="shared" si="17"/>
        <v>20233044.665149119</v>
      </c>
      <c r="N18" s="112">
        <f t="shared" si="17"/>
        <v>20637705.558452107</v>
      </c>
      <c r="O18" s="112">
        <f t="shared" si="17"/>
        <v>21050459.669621147</v>
      </c>
    </row>
    <row r="19" spans="2:15" ht="9" customHeight="1">
      <c r="B19" s="106"/>
      <c r="C19" s="855"/>
      <c r="D19" s="106"/>
      <c r="E19" s="187">
        <f t="shared" ref="E19:O19" si="18">IFERROR(E18/SUM(E15:E16),0)</f>
        <v>0</v>
      </c>
      <c r="F19" s="187">
        <f t="shared" si="18"/>
        <v>0</v>
      </c>
      <c r="G19" s="187">
        <f t="shared" si="18"/>
        <v>0</v>
      </c>
      <c r="H19" s="187">
        <f t="shared" si="18"/>
        <v>0</v>
      </c>
      <c r="I19" s="187">
        <f t="shared" si="18"/>
        <v>6.8540504759207491E-2</v>
      </c>
      <c r="J19" s="187">
        <f t="shared" si="18"/>
        <v>0.53427025237960379</v>
      </c>
      <c r="K19" s="187">
        <f t="shared" si="18"/>
        <v>0.68951350158640246</v>
      </c>
      <c r="L19" s="187">
        <f t="shared" si="18"/>
        <v>0.68951350158640246</v>
      </c>
      <c r="M19" s="187">
        <f t="shared" si="18"/>
        <v>0.68951350158640246</v>
      </c>
      <c r="N19" s="187">
        <f t="shared" si="18"/>
        <v>0.68951350158640246</v>
      </c>
      <c r="O19" s="187">
        <f t="shared" si="18"/>
        <v>0.68951350158640246</v>
      </c>
    </row>
    <row r="20" spans="2:15" ht="9" customHeight="1">
      <c r="B20" s="108" t="s">
        <v>168</v>
      </c>
      <c r="C20" s="855"/>
      <c r="D20" s="115">
        <f>INDEX(cockpit!$J$6:$Y$16,MATCH($D6,cockpit!$J$6:$J$16,0),MATCH($B20,cockpit!$J$6:$Y$6,0))</f>
        <v>0.05</v>
      </c>
      <c r="E20" s="112">
        <f t="shared" ref="E20:O20" si="19">-E11*$D20</f>
        <v>0</v>
      </c>
      <c r="F20" s="112">
        <f t="shared" si="19"/>
        <v>0</v>
      </c>
      <c r="G20" s="112">
        <f t="shared" si="19"/>
        <v>0</v>
      </c>
      <c r="H20" s="112">
        <f t="shared" si="19"/>
        <v>0</v>
      </c>
      <c r="I20" s="112">
        <f t="shared" si="19"/>
        <v>-39657.925000000003</v>
      </c>
      <c r="J20" s="112">
        <f t="shared" si="19"/>
        <v>-39657.925000000003</v>
      </c>
      <c r="K20" s="112">
        <f t="shared" si="19"/>
        <v>-39657.925000000003</v>
      </c>
      <c r="L20" s="112">
        <f t="shared" si="19"/>
        <v>-39657.925000000003</v>
      </c>
      <c r="M20" s="112">
        <f t="shared" si="19"/>
        <v>-39657.925000000003</v>
      </c>
      <c r="N20" s="112">
        <f t="shared" si="19"/>
        <v>-39657.925000000003</v>
      </c>
      <c r="O20" s="112">
        <f t="shared" si="19"/>
        <v>-39657.925000000003</v>
      </c>
    </row>
    <row r="21" spans="2:15" ht="9" customHeight="1">
      <c r="B21" s="108" t="s">
        <v>162</v>
      </c>
      <c r="C21" s="855"/>
      <c r="D21" s="115">
        <f>INDEX(cockpit!$J$6:$Y$16,MATCH($D6,cockpit!$J$6:$J$16,0),MATCH($B21,cockpit!$J$6:$Y$6,0))</f>
        <v>1</v>
      </c>
      <c r="E21" s="113">
        <f t="shared" ref="E21:O21" si="20">-E13*$D21</f>
        <v>0</v>
      </c>
      <c r="F21" s="113">
        <f t="shared" si="20"/>
        <v>0</v>
      </c>
      <c r="G21" s="113">
        <f t="shared" si="20"/>
        <v>0</v>
      </c>
      <c r="H21" s="113">
        <f t="shared" si="20"/>
        <v>0</v>
      </c>
      <c r="I21" s="113">
        <f t="shared" si="20"/>
        <v>-237947.55</v>
      </c>
      <c r="J21" s="113">
        <f t="shared" si="20"/>
        <v>-475895.1</v>
      </c>
      <c r="K21" s="113">
        <f t="shared" si="20"/>
        <v>-713842.64999999991</v>
      </c>
      <c r="L21" s="113">
        <f t="shared" si="20"/>
        <v>-713842.64999999991</v>
      </c>
      <c r="M21" s="113">
        <f t="shared" si="20"/>
        <v>-713842.64999999991</v>
      </c>
      <c r="N21" s="113">
        <f t="shared" si="20"/>
        <v>-713842.64999999991</v>
      </c>
      <c r="O21" s="113">
        <f t="shared" si="20"/>
        <v>-713842.64999999991</v>
      </c>
    </row>
    <row r="22" spans="2:15" ht="9" customHeight="1">
      <c r="B22" s="114" t="s">
        <v>195</v>
      </c>
      <c r="C22" s="855"/>
      <c r="D22" s="115"/>
      <c r="E22" s="112">
        <f t="shared" ref="E22:O22" si="21">SUM(E20:E21)</f>
        <v>0</v>
      </c>
      <c r="F22" s="112">
        <f t="shared" si="21"/>
        <v>0</v>
      </c>
      <c r="G22" s="112">
        <f t="shared" si="21"/>
        <v>0</v>
      </c>
      <c r="H22" s="112">
        <f t="shared" si="21"/>
        <v>0</v>
      </c>
      <c r="I22" s="112">
        <f t="shared" si="21"/>
        <v>-277605.47499999998</v>
      </c>
      <c r="J22" s="112">
        <f t="shared" si="21"/>
        <v>-515553.02499999997</v>
      </c>
      <c r="K22" s="112">
        <f t="shared" si="21"/>
        <v>-753500.57499999995</v>
      </c>
      <c r="L22" s="112">
        <f t="shared" si="21"/>
        <v>-753500.57499999995</v>
      </c>
      <c r="M22" s="112">
        <f t="shared" si="21"/>
        <v>-753500.57499999995</v>
      </c>
      <c r="N22" s="112">
        <f t="shared" si="21"/>
        <v>-753500.57499999995</v>
      </c>
      <c r="O22" s="112">
        <f t="shared" si="21"/>
        <v>-753500.57499999995</v>
      </c>
    </row>
    <row r="23" spans="2:15" ht="9" customHeight="1">
      <c r="B23" s="108"/>
      <c r="C23" s="855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</row>
    <row r="24" spans="2:15" ht="9" customHeight="1">
      <c r="B24" s="108" t="s">
        <v>274</v>
      </c>
      <c r="C24" s="855"/>
      <c r="D24" s="106"/>
      <c r="E24" s="206">
        <v>0</v>
      </c>
      <c r="F24" s="378">
        <v>0</v>
      </c>
      <c r="G24" s="111">
        <f>-('acq-demo-repur'!U8+'acq-demo-repur'!U7)</f>
        <v>-19066954.398437954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</row>
    <row r="25" spans="2:15" ht="9" customHeight="1">
      <c r="B25" s="108" t="s">
        <v>277</v>
      </c>
      <c r="C25" s="855"/>
      <c r="D25" s="106"/>
      <c r="E25" s="206">
        <v>0</v>
      </c>
      <c r="F25" s="206">
        <v>0</v>
      </c>
      <c r="G25" s="377">
        <v>0</v>
      </c>
      <c r="H25" s="111">
        <f>-'acq-demo-repur'!S8</f>
        <v>-850500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</row>
    <row r="26" spans="2:15" ht="9" customHeight="1">
      <c r="B26" s="108" t="s">
        <v>688</v>
      </c>
      <c r="C26" s="855"/>
      <c r="D26" s="111">
        <f>INDEX(cockpit!$J$6:$Y$16,MATCH($D6,cockpit!$J$6:$J$16,0),MATCH($B26,cockpit!$J$6:$Y$6,0))</f>
        <v>50</v>
      </c>
      <c r="E26" s="112">
        <f>$D$26*F12</f>
        <v>0</v>
      </c>
      <c r="F26" s="112">
        <f t="shared" ref="F26:O26" si="22">-(IF(F27&lt;0,SUM($E12:$O12)*$D26*(1+Inflation)^(F$2-1)*(1+Developerfee)))/constructiontimephase1</f>
        <v>-12254298.824999997</v>
      </c>
      <c r="G26" s="112">
        <f t="shared" si="22"/>
        <v>-12499384.801499998</v>
      </c>
      <c r="H26" s="112">
        <f t="shared" si="22"/>
        <v>-12749372.497529997</v>
      </c>
      <c r="I26" s="112">
        <f t="shared" si="22"/>
        <v>0</v>
      </c>
      <c r="J26" s="112">
        <f t="shared" si="22"/>
        <v>0</v>
      </c>
      <c r="K26" s="112">
        <f t="shared" si="22"/>
        <v>0</v>
      </c>
      <c r="L26" s="112">
        <f t="shared" si="22"/>
        <v>0</v>
      </c>
      <c r="M26" s="112">
        <f t="shared" si="22"/>
        <v>0</v>
      </c>
      <c r="N26" s="112">
        <f t="shared" si="22"/>
        <v>0</v>
      </c>
      <c r="O26" s="112">
        <f t="shared" si="22"/>
        <v>0</v>
      </c>
    </row>
    <row r="27" spans="2:15" ht="9" customHeight="1">
      <c r="B27" s="108" t="s">
        <v>170</v>
      </c>
      <c r="C27" s="855"/>
      <c r="D27" s="111">
        <f>(OfficeconstructionratePSF*(1-$K5))+((OfficeconstructionratePSF*(1+premiumprices)*$K5))</f>
        <v>139.24511792481971</v>
      </c>
      <c r="E27" s="112">
        <f>-IF(OR(E$2=$H5,E$2=$H6,AND(E$2&gt;$H5,E$2&lt;$H6)),(INDEX(summary!$A$2:$D$24,MATCH($D6,summary!$A$2:$A$24,0),MATCH($D5,summary!$A$2:$D$2,0)))/constructiontimephase1)*($D27*((1+Inflation)^(E$2-1)))*(1+Developerfee)</f>
        <v>0</v>
      </c>
      <c r="F27" s="112">
        <f>-IF(OR(F$2=$H5,F$2=$H6,AND(F$2&gt;$H5,F$2&lt;$H6)),(INDEX(summary!$A$2:$D$24,MATCH($D6,summary!$A$2:$A$24,0),MATCH($D5,summary!$A$2:$D$2,0)))/constructiontimephase1)*($D27*((1+Inflation)^(F$2-1)))*(1+Developerfee)</f>
        <v>-36757195.425000004</v>
      </c>
      <c r="G27" s="112">
        <f>-IF(OR(G$2=$H5,G$2=$H6,AND(G$2&gt;$H5,G$2&lt;$H6)),(INDEX(summary!$A$2:$D$24,MATCH($D6,summary!$A$2:$A$24,0),MATCH($D5,summary!$A$2:$D$2,0)))/constructiontimephase1)*($D27*((1+Inflation)^(G$2-1)))*(1+Developerfee)</f>
        <v>-37492339.333499998</v>
      </c>
      <c r="H27" s="112">
        <f>-IF(OR(H$2=$H5,H$2=$H6,AND(H$2&gt;$H5,H$2&lt;$H6)),(INDEX(summary!$A$2:$D$24,MATCH($D6,summary!$A$2:$A$24,0),MATCH($D5,summary!$A$2:$D$2,0)))/constructiontimephase1)*($D27*((1+Inflation)^(H$2-1)))*(1+Developerfee)</f>
        <v>-38242186.120169997</v>
      </c>
      <c r="I27" s="112">
        <f>-IF(OR(I$2=$H5,I$2=$H6,AND(I$2&gt;$H5,I$2&lt;$H6)),(INDEX(summary!$A$2:$D$24,MATCH($D6,summary!$A$2:$A$24,0),MATCH($D5,summary!$A$2:$D$2,0)))/constructiontimephase1)*($D27*((1+Inflation)^(I$2-1)))*(1+Developerfee)</f>
        <v>0</v>
      </c>
      <c r="J27" s="112">
        <f>-IF(OR(J$2=$H5,J$2=$H6,AND(J$2&gt;$H5,J$2&lt;$H6)),(INDEX(summary!$A$2:$D$24,MATCH($D6,summary!$A$2:$A$24,0),MATCH($D5,summary!$A$2:$D$2,0)))/constructiontimephase1)*($D27*((1+Inflation)^(J$2-1)))*(1+Developerfee)</f>
        <v>0</v>
      </c>
      <c r="K27" s="112">
        <f>-IF(OR(K$2=$H5,K$2=$H6,AND(K$2&gt;$H5,K$2&lt;$H6)),(INDEX(summary!$A$2:$D$24,MATCH($D6,summary!$A$2:$A$24,0),MATCH($D5,summary!$A$2:$D$2,0)))/constructiontimephase1)*($D27*((1+Inflation)^(K$2-1)))*(1+Developerfee)</f>
        <v>0</v>
      </c>
      <c r="L27" s="112">
        <f>-IF(OR(L$2=$H5,L$2=$H6,AND(L$2&gt;$H5,L$2&lt;$H6)),(INDEX(summary!$A$2:$D$24,MATCH($D6,summary!$A$2:$A$24,0),MATCH($D5,summary!$A$2:$D$2,0)))/constructiontimephase1)*($D27*((1+Inflation)^(L$2-1)))*(1+Developerfee)</f>
        <v>0</v>
      </c>
      <c r="M27" s="112">
        <f>-IF(OR(M$2=$H5,M$2=$H6,AND(M$2&gt;$H5,M$2&lt;$H6)),(INDEX(summary!$A$2:$D$24,MATCH($D6,summary!$A$2:$A$24,0),MATCH($D5,summary!$A$2:$D$2,0)))/constructiontimephase1)*($D27*((1+Inflation)^(M$2-1)))*(1+Developerfee)</f>
        <v>0</v>
      </c>
      <c r="N27" s="112">
        <f>-IF(OR(N$2=$H5,N$2=$H6,AND(N$2&gt;$H5,N$2&lt;$H6)),(INDEX(summary!$A$2:$D$24,MATCH($D6,summary!$A$2:$A$24,0),MATCH($D5,summary!$A$2:$D$2,0)))/constructiontimephase1)*($D27*((1+Inflation)^(N$2-1)))*(1+Developerfee)</f>
        <v>0</v>
      </c>
      <c r="O27" s="112">
        <f>-IF(OR(O$2=$H5,O$2=$H6,AND(O$2&gt;$H5,O$2&lt;$H6)),(INDEX(summary!$A$2:$D$24,MATCH($D6,summary!$A$2:$A$24,0),MATCH($D5,summary!$A$2:$D$2,0)))/constructiontimephase1)*($D27*((1+Inflation)^(O$2-1)))*(1+Developerfee)</f>
        <v>0</v>
      </c>
    </row>
    <row r="28" spans="2:15" ht="9" customHeight="1">
      <c r="B28" s="108" t="s">
        <v>197</v>
      </c>
      <c r="C28" s="855" t="s">
        <v>189</v>
      </c>
      <c r="D28" s="122">
        <f>(INDEX(cockpit!$J$6:$Y$16,MATCH($D6,cockpit!$J$6:$J$16,0),MATCH($C28,cockpit!$J$6:$Y$6,0))*(1-$K5))+((INDEX(cockpit!$J$6:$Y$16,MATCH($D6,cockpit!$J$6:$J$16,0),MATCH($C28,cockpit!$J$6:$Y$6,0))-(Premiumexitcaprate))*$K5)</f>
        <v>7.405664046115118E-2</v>
      </c>
      <c r="E28" s="113">
        <f t="shared" ref="E28:O28" si="23">IF(E$2=dispositionyear,E18/$D28,0)*(1-Closingcosts)</f>
        <v>0</v>
      </c>
      <c r="F28" s="113">
        <f t="shared" si="23"/>
        <v>0</v>
      </c>
      <c r="G28" s="113">
        <f t="shared" si="23"/>
        <v>0</v>
      </c>
      <c r="H28" s="113">
        <f t="shared" si="23"/>
        <v>0</v>
      </c>
      <c r="I28" s="113">
        <f t="shared" si="23"/>
        <v>0</v>
      </c>
      <c r="J28" s="113">
        <f t="shared" si="23"/>
        <v>0</v>
      </c>
      <c r="K28" s="113">
        <f t="shared" si="23"/>
        <v>0</v>
      </c>
      <c r="L28" s="113">
        <f t="shared" si="23"/>
        <v>0</v>
      </c>
      <c r="M28" s="113">
        <f t="shared" si="23"/>
        <v>0</v>
      </c>
      <c r="N28" s="113">
        <f t="shared" si="23"/>
        <v>0</v>
      </c>
      <c r="O28" s="113">
        <f t="shared" si="23"/>
        <v>277141901.79403633</v>
      </c>
    </row>
    <row r="29" spans="2:15" ht="9" customHeight="1">
      <c r="B29" s="114" t="s">
        <v>196</v>
      </c>
      <c r="C29" s="855"/>
      <c r="D29" s="110"/>
      <c r="E29" s="112">
        <f>SUM(E24:E28)</f>
        <v>0</v>
      </c>
      <c r="F29" s="112">
        <f t="shared" ref="F29:O29" si="24">SUM(F24:F28)</f>
        <v>-49011494.25</v>
      </c>
      <c r="G29" s="112">
        <f t="shared" si="24"/>
        <v>-69058678.533437952</v>
      </c>
      <c r="H29" s="112">
        <f t="shared" si="24"/>
        <v>-51842058.617699996</v>
      </c>
      <c r="I29" s="112">
        <f t="shared" si="24"/>
        <v>0</v>
      </c>
      <c r="J29" s="112">
        <f t="shared" si="24"/>
        <v>0</v>
      </c>
      <c r="K29" s="112">
        <f t="shared" si="24"/>
        <v>0</v>
      </c>
      <c r="L29" s="112">
        <f t="shared" si="24"/>
        <v>0</v>
      </c>
      <c r="M29" s="112">
        <f t="shared" si="24"/>
        <v>0</v>
      </c>
      <c r="N29" s="112">
        <f t="shared" si="24"/>
        <v>0</v>
      </c>
      <c r="O29" s="112">
        <f t="shared" si="24"/>
        <v>277141901.79403633</v>
      </c>
    </row>
    <row r="30" spans="2:15" ht="9" customHeight="1">
      <c r="B30" s="108"/>
      <c r="C30" s="855"/>
      <c r="D30" s="110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</row>
    <row r="31" spans="2:15" ht="9" customHeight="1">
      <c r="B31" s="114" t="s">
        <v>169</v>
      </c>
      <c r="C31" s="856"/>
      <c r="D31" s="116">
        <f ca="1">IRR(OFFSET(E31,0,0,1,Investmenthorizon+1))</f>
        <v>0.11851286452595078</v>
      </c>
      <c r="E31" s="117">
        <f t="shared" ref="E31:O31" si="25">SUM(E18,E22,E29)</f>
        <v>0</v>
      </c>
      <c r="F31" s="117">
        <f t="shared" si="25"/>
        <v>-49011494.25</v>
      </c>
      <c r="G31" s="117">
        <f t="shared" si="25"/>
        <v>-69058678.533437952</v>
      </c>
      <c r="H31" s="117">
        <f t="shared" si="25"/>
        <v>-51842058.617699996</v>
      </c>
      <c r="I31" s="117">
        <f t="shared" si="25"/>
        <v>341755.47804272885</v>
      </c>
      <c r="J31" s="117">
        <f t="shared" si="25"/>
        <v>9333346.0029807668</v>
      </c>
      <c r="K31" s="117">
        <f t="shared" si="25"/>
        <v>18693870.306535106</v>
      </c>
      <c r="L31" s="117">
        <f t="shared" si="25"/>
        <v>19082817.724165812</v>
      </c>
      <c r="M31" s="117">
        <f t="shared" si="25"/>
        <v>19479544.090149119</v>
      </c>
      <c r="N31" s="117">
        <f t="shared" si="25"/>
        <v>19884204.983452108</v>
      </c>
      <c r="O31" s="117">
        <f t="shared" si="25"/>
        <v>297438860.88865745</v>
      </c>
    </row>
    <row r="32" spans="2:15" ht="9" customHeight="1" thickBot="1"/>
    <row r="33" spans="2:15" ht="9" customHeight="1">
      <c r="B33" s="123" t="s">
        <v>198</v>
      </c>
      <c r="C33" s="124"/>
      <c r="D33" s="124"/>
      <c r="E33" s="134"/>
      <c r="F33" s="135"/>
      <c r="G33" s="135"/>
      <c r="H33" s="135"/>
      <c r="I33" s="135"/>
      <c r="J33" s="135"/>
      <c r="K33" s="125"/>
      <c r="L33" s="107"/>
      <c r="M33" s="107"/>
      <c r="N33" s="107"/>
      <c r="O33" s="107"/>
    </row>
    <row r="34" spans="2:15" ht="9" customHeight="1">
      <c r="B34" s="126" t="s">
        <v>89</v>
      </c>
      <c r="C34" s="851"/>
      <c r="D34" s="133">
        <v>2</v>
      </c>
      <c r="E34" s="106"/>
      <c r="F34" s="106"/>
      <c r="G34" s="107" t="s">
        <v>204</v>
      </c>
      <c r="H34" s="133">
        <f>Phase2begin</f>
        <v>4</v>
      </c>
      <c r="I34" s="106"/>
      <c r="J34" s="107" t="s">
        <v>201</v>
      </c>
      <c r="K34" s="136">
        <f>summary!AH15</f>
        <v>0</v>
      </c>
      <c r="L34" s="106"/>
      <c r="M34" s="106"/>
      <c r="N34" s="106"/>
      <c r="O34" s="106"/>
    </row>
    <row r="35" spans="2:15" ht="9" customHeight="1">
      <c r="B35" s="126" t="s">
        <v>93</v>
      </c>
      <c r="C35" s="851"/>
      <c r="D35" s="130" t="s">
        <v>109</v>
      </c>
      <c r="E35" s="106"/>
      <c r="F35" s="106"/>
      <c r="G35" s="107" t="s">
        <v>205</v>
      </c>
      <c r="H35" s="133">
        <f>Phase2end</f>
        <v>5</v>
      </c>
      <c r="I35" s="106"/>
      <c r="J35" s="106"/>
      <c r="K35" s="127"/>
      <c r="L35" s="106"/>
      <c r="M35" s="106"/>
      <c r="N35" s="106"/>
      <c r="O35" s="106"/>
    </row>
    <row r="36" spans="2:15" ht="9" customHeight="1" thickBot="1">
      <c r="B36" s="137"/>
      <c r="C36" s="852"/>
      <c r="D36" s="138"/>
      <c r="E36" s="138"/>
      <c r="F36" s="138"/>
      <c r="G36" s="129" t="s">
        <v>199</v>
      </c>
      <c r="H36" s="131">
        <f>Phase2open</f>
        <v>6</v>
      </c>
      <c r="I36" s="138"/>
      <c r="J36" s="138"/>
      <c r="K36" s="128"/>
      <c r="L36" s="106"/>
      <c r="M36" s="106"/>
      <c r="N36" s="106"/>
      <c r="O36" s="106"/>
    </row>
    <row r="37" spans="2:15" ht="9" customHeight="1">
      <c r="B37" s="106"/>
      <c r="C37" s="853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</row>
    <row r="38" spans="2:15" ht="9" customHeight="1">
      <c r="B38" s="108" t="s">
        <v>182</v>
      </c>
      <c r="C38" s="854"/>
      <c r="D38" s="106"/>
      <c r="E38" s="109">
        <f>IF(OR(E$2=$H36,E$2&gt;$H36),INDEX(summary!$A$2:$D$24,MATCH($D35,summary!$A$2:$A$24,0),MATCH($D34,summary!$A$2:$D$2,0)),0)</f>
        <v>0</v>
      </c>
      <c r="F38" s="109">
        <f>IF(OR(F$2=$H36,F$2&gt;$H36),INDEX(summary!$A$2:$D$24,MATCH($D35,summary!$A$2:$A$24,0),MATCH($D34,summary!$A$2:$D$2,0)),0)</f>
        <v>0</v>
      </c>
      <c r="G38" s="109">
        <f>IF(OR(G$2=$H36,G$2&gt;$H36),INDEX(summary!$A$2:$D$24,MATCH($D35,summary!$A$2:$A$24,0),MATCH($D34,summary!$A$2:$D$2,0)),0)</f>
        <v>0</v>
      </c>
      <c r="H38" s="109">
        <f>IF(OR(H$2=$H36,H$2&gt;$H36),INDEX(summary!$A$2:$D$24,MATCH($D35,summary!$A$2:$A$24,0),MATCH($D34,summary!$A$2:$D$2,0)),0)</f>
        <v>0</v>
      </c>
      <c r="I38" s="109">
        <f>IF(OR(I$2=$H36,I$2&gt;$H36),INDEX(summary!$A$2:$D$24,MATCH($D35,summary!$A$2:$A$24,0),MATCH($D34,summary!$A$2:$D$2,0)),0)</f>
        <v>0</v>
      </c>
      <c r="J38" s="109">
        <f>IF(OR(J$2=$H36,J$2&gt;$H36),INDEX(summary!$A$2:$D$24,MATCH($D35,summary!$A$2:$A$24,0),MATCH($D34,summary!$A$2:$D$2,0)),0)</f>
        <v>0</v>
      </c>
      <c r="K38" s="109">
        <f>IF(OR(K$2=$H36,K$2&gt;$H36),INDEX(summary!$A$2:$D$24,MATCH($D35,summary!$A$2:$A$24,0),MATCH($D34,summary!$A$2:$D$2,0)),0)</f>
        <v>38790.5</v>
      </c>
      <c r="L38" s="109">
        <f>IF(OR(L$2=$H36,L$2&gt;$H36),INDEX(summary!$A$2:$D$24,MATCH($D35,summary!$A$2:$A$24,0),MATCH($D34,summary!$A$2:$D$2,0)),0)</f>
        <v>38790.5</v>
      </c>
      <c r="M38" s="109">
        <f>IF(OR(M$2=$H36,M$2&gt;$H36),INDEX(summary!$A$2:$D$24,MATCH($D35,summary!$A$2:$A$24,0),MATCH($D34,summary!$A$2:$D$2,0)),0)</f>
        <v>38790.5</v>
      </c>
      <c r="N38" s="109">
        <f>IF(OR(N$2=$H36,N$2&gt;$H36),INDEX(summary!$A$2:$D$24,MATCH($D35,summary!$A$2:$A$24,0),MATCH($D34,summary!$A$2:$D$2,0)),0)</f>
        <v>38790.5</v>
      </c>
      <c r="O38" s="109">
        <f>IF(OR(O$2=$H36,O$2&gt;$H36),INDEX(summary!$A$2:$D$24,MATCH($D35,summary!$A$2:$A$24,0),MATCH($D34,summary!$A$2:$D$2,0)),0)</f>
        <v>38790.5</v>
      </c>
    </row>
    <row r="39" spans="2:15" ht="9" customHeight="1">
      <c r="B39" s="108" t="s">
        <v>194</v>
      </c>
      <c r="C39" s="855" t="s">
        <v>191</v>
      </c>
      <c r="D39" s="110">
        <f>INDEX(cockpit!$J$6:$Y$16,MATCH($D35,cockpit!$J$6:$J$16,0),MATCH($C$11,cockpit!$J$6:$Y$6,0))</f>
        <v>0</v>
      </c>
      <c r="E39" s="109">
        <f t="shared" ref="E39:O39" si="26">E38*(1-$D39)</f>
        <v>0</v>
      </c>
      <c r="F39" s="109">
        <f t="shared" si="26"/>
        <v>0</v>
      </c>
      <c r="G39" s="109">
        <f t="shared" si="26"/>
        <v>0</v>
      </c>
      <c r="H39" s="109">
        <f t="shared" si="26"/>
        <v>0</v>
      </c>
      <c r="I39" s="109">
        <f t="shared" si="26"/>
        <v>0</v>
      </c>
      <c r="J39" s="109">
        <f t="shared" si="26"/>
        <v>0</v>
      </c>
      <c r="K39" s="109">
        <f t="shared" si="26"/>
        <v>38790.5</v>
      </c>
      <c r="L39" s="109">
        <f t="shared" si="26"/>
        <v>38790.5</v>
      </c>
      <c r="M39" s="109">
        <f t="shared" si="26"/>
        <v>38790.5</v>
      </c>
      <c r="N39" s="109">
        <f t="shared" si="26"/>
        <v>38790.5</v>
      </c>
      <c r="O39" s="109">
        <f t="shared" si="26"/>
        <v>38790.5</v>
      </c>
    </row>
    <row r="40" spans="2:15" ht="9" customHeight="1">
      <c r="B40" s="108" t="s">
        <v>180</v>
      </c>
      <c r="C40" s="855" t="s">
        <v>152</v>
      </c>
      <c r="D40" s="122">
        <f>Officerampup</f>
        <v>0.3</v>
      </c>
      <c r="E40" s="109">
        <f>IF(OR(E$2=$H36,AND(E$2&gt;$H36,E$2&lt;(SUM($H36,INDEX(cockpit!$J$6:$Y$16,MATCH($D35,cockpit!$J$6:$J$16,0),MATCH($C$12,cockpit!$J$6:$Y$6,0)))))),E39*$D40,0)</f>
        <v>0</v>
      </c>
      <c r="F40" s="109">
        <f>IF(OR(F$2=$H36,AND(F$2&gt;$H36,F$2&lt;(SUM($H36,INDEX(cockpit!$J$6:$Y$16,MATCH($D35,cockpit!$J$6:$J$16,0),MATCH($C$12,cockpit!$J$6:$Y$6,0)))))),F39*$D40,0)</f>
        <v>0</v>
      </c>
      <c r="G40" s="109">
        <f>IF(OR(G$2=$H36,AND(G$2&gt;$H36,G$2&lt;(SUM($H36,INDEX(cockpit!$J$6:$Y$16,MATCH($D35,cockpit!$J$6:$J$16,0),MATCH($C$12,cockpit!$J$6:$Y$6,0)))))),G39*$D40,0)</f>
        <v>0</v>
      </c>
      <c r="H40" s="109">
        <f>IF(OR(H$2=$H36,AND(H$2&gt;$H36,H$2&lt;(SUM($H36,INDEX(cockpit!$J$6:$Y$16,MATCH($D35,cockpit!$J$6:$J$16,0),MATCH($C$12,cockpit!$J$6:$Y$6,0)))))),H39*$D40,0)</f>
        <v>0</v>
      </c>
      <c r="I40" s="109">
        <f>IF(OR(I$2=$H36,AND(I$2&gt;$H36,I$2&lt;(SUM($H36,INDEX(cockpit!$J$6:$Y$16,MATCH($D35,cockpit!$J$6:$J$16,0),MATCH($C$12,cockpit!$J$6:$Y$6,0)))))),I39*$D40,0)</f>
        <v>0</v>
      </c>
      <c r="J40" s="109">
        <f>IF(OR(J$2=$H36,AND(J$2&gt;$H36,J$2&lt;(SUM($H36,INDEX(cockpit!$J$6:$Y$16,MATCH($D35,cockpit!$J$6:$J$16,0),MATCH($C$12,cockpit!$J$6:$Y$6,0)))))),J39*$D40,0)</f>
        <v>0</v>
      </c>
      <c r="K40" s="109">
        <f>IF(OR(K$2=$H36,AND(K$2&gt;$H36,K$2&lt;(SUM($H36,INDEX(cockpit!$J$6:$Y$16,MATCH($D35,cockpit!$J$6:$J$16,0),MATCH($C$12,cockpit!$J$6:$Y$6,0)))))),K39*$D40,0)</f>
        <v>11637.15</v>
      </c>
      <c r="L40" s="109">
        <f>IF(OR(L$2=$H36,AND(L$2&gt;$H36,L$2&lt;(SUM($H36,INDEX(cockpit!$J$6:$Y$16,MATCH($D35,cockpit!$J$6:$J$16,0),MATCH($C$12,cockpit!$J$6:$Y$6,0)))))),L39*$D40,0)</f>
        <v>11637.15</v>
      </c>
      <c r="M40" s="109">
        <f>IF(OR(M$2=$H36,AND(M$2&gt;$H36,M$2&lt;(SUM($H36,INDEX(cockpit!$J$6:$Y$16,MATCH($D35,cockpit!$J$6:$J$16,0),MATCH($C$12,cockpit!$J$6:$Y$6,0)))))),M39*$D40,0)</f>
        <v>11637.15</v>
      </c>
      <c r="N40" s="109">
        <f>IF(OR(N$2=$H36,AND(N$2&gt;$H36,N$2&lt;(SUM($H36,INDEX(cockpit!$J$6:$Y$16,MATCH($D35,cockpit!$J$6:$J$16,0),MATCH($C$12,cockpit!$J$6:$Y$6,0)))))),N39*$D40,0)</f>
        <v>0</v>
      </c>
      <c r="O40" s="109">
        <f>IF(OR(O$2=$H36,AND(O$2&gt;$H36,O$2&lt;(SUM($H36,INDEX(cockpit!$J$6:$Y$16,MATCH($D35,cockpit!$J$6:$J$16,0),MATCH($C$12,cockpit!$J$6:$Y$6,0)))))),O39*$D40,0)</f>
        <v>0</v>
      </c>
    </row>
    <row r="41" spans="2:15" ht="9" customHeight="1">
      <c r="B41" s="108" t="s">
        <v>181</v>
      </c>
      <c r="C41" s="855"/>
      <c r="D41" s="106"/>
      <c r="E41" s="109">
        <f>SUM($E40:E40)</f>
        <v>0</v>
      </c>
      <c r="F41" s="109">
        <f>SUM($E40:F40)</f>
        <v>0</v>
      </c>
      <c r="G41" s="109">
        <f>SUM($E40:G40)</f>
        <v>0</v>
      </c>
      <c r="H41" s="109">
        <f>SUM($E40:H40)</f>
        <v>0</v>
      </c>
      <c r="I41" s="109">
        <f>SUM($E40:I40)</f>
        <v>0</v>
      </c>
      <c r="J41" s="109">
        <f>SUM($E40:J40)</f>
        <v>0</v>
      </c>
      <c r="K41" s="109">
        <f>SUM($E40:K40)</f>
        <v>11637.15</v>
      </c>
      <c r="L41" s="109">
        <f>SUM($E40:L40)</f>
        <v>23274.3</v>
      </c>
      <c r="M41" s="109">
        <f>SUM($E40:M40)</f>
        <v>34911.449999999997</v>
      </c>
      <c r="N41" s="109">
        <f>SUM($E40:N40)</f>
        <v>34911.449999999997</v>
      </c>
      <c r="O41" s="109">
        <f>SUM($E40:O40)</f>
        <v>34911.449999999997</v>
      </c>
    </row>
    <row r="42" spans="2:15" ht="9" customHeight="1">
      <c r="B42" s="106"/>
      <c r="C42" s="855"/>
      <c r="D42" s="106"/>
      <c r="E42" s="362">
        <f t="shared" ref="E42" si="27">IFERROR(1-(E41/E39),0)</f>
        <v>0</v>
      </c>
      <c r="F42" s="362">
        <f t="shared" ref="F42" si="28">IFERROR(1-(F41/F39),0)</f>
        <v>0</v>
      </c>
      <c r="G42" s="362">
        <f t="shared" ref="G42" si="29">IFERROR(1-(G41/G39),0)</f>
        <v>0</v>
      </c>
      <c r="H42" s="362">
        <f>IFERROR(1-(H41/H39),0)</f>
        <v>0</v>
      </c>
      <c r="I42" s="362">
        <f t="shared" ref="I42" si="30">IFERROR(1-(I41/I39),0)</f>
        <v>0</v>
      </c>
      <c r="J42" s="362">
        <f t="shared" ref="J42" si="31">IFERROR(1-(J41/J39),0)</f>
        <v>0</v>
      </c>
      <c r="K42" s="362">
        <f t="shared" ref="K42" si="32">IFERROR(1-(K41/K39),0)</f>
        <v>0.7</v>
      </c>
      <c r="L42" s="362">
        <f t="shared" ref="L42" si="33">IFERROR(1-(L41/L39),0)</f>
        <v>0.4</v>
      </c>
      <c r="M42" s="362">
        <f t="shared" ref="M42" si="34">IFERROR(1-(M41/M39),0)</f>
        <v>0.10000000000000009</v>
      </c>
      <c r="N42" s="362">
        <f t="shared" ref="N42" si="35">IFERROR(1-(N41/N39),0)</f>
        <v>0.10000000000000009</v>
      </c>
      <c r="O42" s="362">
        <f t="shared" ref="O42" si="36">IFERROR(1-(O41/O39),0)</f>
        <v>0.10000000000000009</v>
      </c>
    </row>
    <row r="43" spans="2:15" ht="9" customHeight="1">
      <c r="B43" s="108" t="s">
        <v>166</v>
      </c>
      <c r="C43" s="855"/>
      <c r="D43" s="111">
        <f>(OfficemarketratePSF*(1-$K34))+((OfficemarketratePSF*(1+premiumprices)*$K34))</f>
        <v>25</v>
      </c>
      <c r="E43" s="112">
        <f t="shared" ref="E43:O43" si="37">E41*($D43*((1+Inflation)^(E$2-1)))</f>
        <v>0</v>
      </c>
      <c r="F43" s="112">
        <f t="shared" si="37"/>
        <v>0</v>
      </c>
      <c r="G43" s="112">
        <f t="shared" si="37"/>
        <v>0</v>
      </c>
      <c r="H43" s="112">
        <f t="shared" si="37"/>
        <v>0</v>
      </c>
      <c r="I43" s="112">
        <f t="shared" si="37"/>
        <v>0</v>
      </c>
      <c r="J43" s="112">
        <f t="shared" si="37"/>
        <v>0</v>
      </c>
      <c r="K43" s="112">
        <f t="shared" si="37"/>
        <v>321208.84797397198</v>
      </c>
      <c r="L43" s="112">
        <f t="shared" si="37"/>
        <v>655266.04986690287</v>
      </c>
      <c r="M43" s="112">
        <f t="shared" si="37"/>
        <v>1002557.0562963611</v>
      </c>
      <c r="N43" s="112">
        <f t="shared" si="37"/>
        <v>1022608.1974222885</v>
      </c>
      <c r="O43" s="112">
        <f t="shared" si="37"/>
        <v>1043060.3613707343</v>
      </c>
    </row>
    <row r="44" spans="2:15" ht="9" customHeight="1">
      <c r="B44" s="108" t="s">
        <v>216</v>
      </c>
      <c r="C44" s="855"/>
      <c r="D44" s="111">
        <f>IF(INDEX(cockpit!$J$6:$Y$16,MATCH($D35,cockpit!$J$6:$J$16,0),MATCH($B44,cockpit!$J$6:$Y$6,0))="Y",D45,0)</f>
        <v>10</v>
      </c>
      <c r="E44" s="112">
        <f t="shared" ref="E44" si="38">-IF($D44&gt;0,E45,0)*(1-E42)</f>
        <v>0</v>
      </c>
      <c r="F44" s="112">
        <f t="shared" ref="F44" si="39">-IF($D44&gt;0,F45,0)*(1-F42)</f>
        <v>0</v>
      </c>
      <c r="G44" s="112">
        <f t="shared" ref="G44" si="40">-IF($D44&gt;0,G45,0)*(1-G42)</f>
        <v>0</v>
      </c>
      <c r="H44" s="112">
        <f t="shared" ref="H44" si="41">-IF($D44&gt;0,H45,0)*(1-H42)</f>
        <v>0</v>
      </c>
      <c r="I44" s="112">
        <f t="shared" ref="I44" si="42">-IF($D44&gt;0,I45,0)*(1-I42)</f>
        <v>0</v>
      </c>
      <c r="J44" s="112">
        <f t="shared" ref="J44" si="43">-IF($D44&gt;0,J45,0)*(1-J42)</f>
        <v>0</v>
      </c>
      <c r="K44" s="112">
        <f t="shared" ref="K44" si="44">-IF($D44&gt;0,K45,0)*(1-K42)</f>
        <v>128483.53918958883</v>
      </c>
      <c r="L44" s="112">
        <f t="shared" ref="L44" si="45">-IF($D44&gt;0,L45,0)*(1-L42)</f>
        <v>262106.41994676116</v>
      </c>
      <c r="M44" s="112">
        <f t="shared" ref="M44" si="46">-IF($D44&gt;0,M45,0)*(1-M42)</f>
        <v>401022.8225185445</v>
      </c>
      <c r="N44" s="112">
        <f t="shared" ref="N44" si="47">-IF($D44&gt;0,N45,0)*(1-N42)</f>
        <v>409043.2789689154</v>
      </c>
      <c r="O44" s="112">
        <f t="shared" ref="O44" si="48">-IF($D44&gt;0,O45,0)*(1-O42)</f>
        <v>417224.14454829373</v>
      </c>
    </row>
    <row r="45" spans="2:15" ht="9" customHeight="1">
      <c r="B45" s="108" t="s">
        <v>123</v>
      </c>
      <c r="C45" s="855"/>
      <c r="D45" s="111">
        <f>INDEX(cockpit!$J$6:$Y$16,MATCH($D35,cockpit!$J$6:$J$16,0),MATCH($B45,cockpit!$J$6:$Y$6,0))</f>
        <v>10</v>
      </c>
      <c r="E45" s="113">
        <f t="shared" ref="E45:O45" si="49">-IF($D45&gt;1,E38*($D45*((1+Inflation)^(E$2-1))),E43*(1-$D45))</f>
        <v>0</v>
      </c>
      <c r="F45" s="113">
        <f t="shared" si="49"/>
        <v>0</v>
      </c>
      <c r="G45" s="113">
        <f t="shared" si="49"/>
        <v>0</v>
      </c>
      <c r="H45" s="113">
        <f t="shared" si="49"/>
        <v>0</v>
      </c>
      <c r="I45" s="113">
        <f t="shared" si="49"/>
        <v>0</v>
      </c>
      <c r="J45" s="113">
        <f t="shared" si="49"/>
        <v>0</v>
      </c>
      <c r="K45" s="113">
        <f t="shared" si="49"/>
        <v>-428278.46396529605</v>
      </c>
      <c r="L45" s="113">
        <f t="shared" si="49"/>
        <v>-436844.03324460197</v>
      </c>
      <c r="M45" s="113">
        <f t="shared" si="49"/>
        <v>-445580.91390949395</v>
      </c>
      <c r="N45" s="113">
        <f t="shared" si="49"/>
        <v>-454492.5321876838</v>
      </c>
      <c r="O45" s="113">
        <f t="shared" si="49"/>
        <v>-463582.38283143751</v>
      </c>
    </row>
    <row r="46" spans="2:15" ht="9" customHeight="1">
      <c r="B46" s="114" t="s">
        <v>167</v>
      </c>
      <c r="C46" s="855"/>
      <c r="D46" s="106"/>
      <c r="E46" s="112">
        <f t="shared" ref="E46:O46" si="50">SUM(E43:E45)</f>
        <v>0</v>
      </c>
      <c r="F46" s="112">
        <f t="shared" si="50"/>
        <v>0</v>
      </c>
      <c r="G46" s="112">
        <f t="shared" si="50"/>
        <v>0</v>
      </c>
      <c r="H46" s="112">
        <f t="shared" si="50"/>
        <v>0</v>
      </c>
      <c r="I46" s="112">
        <f t="shared" si="50"/>
        <v>0</v>
      </c>
      <c r="J46" s="112">
        <f t="shared" si="50"/>
        <v>0</v>
      </c>
      <c r="K46" s="112">
        <f t="shared" si="50"/>
        <v>21413.923198264791</v>
      </c>
      <c r="L46" s="112">
        <f t="shared" si="50"/>
        <v>480528.436569062</v>
      </c>
      <c r="M46" s="112">
        <f t="shared" si="50"/>
        <v>957998.9649054117</v>
      </c>
      <c r="N46" s="112">
        <f t="shared" si="50"/>
        <v>977158.94420352019</v>
      </c>
      <c r="O46" s="112">
        <f t="shared" si="50"/>
        <v>996702.12308759056</v>
      </c>
    </row>
    <row r="47" spans="2:15" ht="9" customHeight="1">
      <c r="B47" s="106"/>
      <c r="C47" s="855"/>
      <c r="D47" s="106"/>
      <c r="E47" s="187">
        <f t="shared" ref="E47:O47" si="51">IFERROR(E46/SUM(E43:E44),0)</f>
        <v>0</v>
      </c>
      <c r="F47" s="187">
        <f t="shared" si="51"/>
        <v>0</v>
      </c>
      <c r="G47" s="187">
        <f t="shared" si="51"/>
        <v>0</v>
      </c>
      <c r="H47" s="187">
        <f t="shared" si="51"/>
        <v>0</v>
      </c>
      <c r="I47" s="187">
        <f t="shared" si="51"/>
        <v>0</v>
      </c>
      <c r="J47" s="187">
        <f t="shared" si="51"/>
        <v>0</v>
      </c>
      <c r="K47" s="187">
        <f t="shared" si="51"/>
        <v>4.7619047619047596E-2</v>
      </c>
      <c r="L47" s="187">
        <f t="shared" si="51"/>
        <v>0.52380952380952372</v>
      </c>
      <c r="M47" s="187">
        <f t="shared" si="51"/>
        <v>0.68253968253968245</v>
      </c>
      <c r="N47" s="187">
        <f t="shared" si="51"/>
        <v>0.68253968253968256</v>
      </c>
      <c r="O47" s="187">
        <f t="shared" si="51"/>
        <v>0.68253968253968256</v>
      </c>
    </row>
    <row r="48" spans="2:15" ht="9" customHeight="1">
      <c r="B48" s="108" t="s">
        <v>168</v>
      </c>
      <c r="C48" s="855"/>
      <c r="D48" s="115">
        <f>INDEX(cockpit!$J$6:$Y$16,MATCH($D35,cockpit!$J$6:$J$16,0),MATCH($B48,cockpit!$J$6:$Y$6,0))</f>
        <v>0.05</v>
      </c>
      <c r="E48" s="112">
        <f>-E39*$D48</f>
        <v>0</v>
      </c>
      <c r="F48" s="112">
        <f t="shared" ref="F48:O48" si="52">-F39*$D48</f>
        <v>0</v>
      </c>
      <c r="G48" s="112">
        <f t="shared" si="52"/>
        <v>0</v>
      </c>
      <c r="H48" s="112">
        <f t="shared" si="52"/>
        <v>0</v>
      </c>
      <c r="I48" s="112">
        <f t="shared" si="52"/>
        <v>0</v>
      </c>
      <c r="J48" s="112">
        <f t="shared" si="52"/>
        <v>0</v>
      </c>
      <c r="K48" s="112">
        <f t="shared" si="52"/>
        <v>-1939.5250000000001</v>
      </c>
      <c r="L48" s="112">
        <f t="shared" si="52"/>
        <v>-1939.5250000000001</v>
      </c>
      <c r="M48" s="112">
        <f t="shared" si="52"/>
        <v>-1939.5250000000001</v>
      </c>
      <c r="N48" s="112">
        <f t="shared" si="52"/>
        <v>-1939.5250000000001</v>
      </c>
      <c r="O48" s="112">
        <f t="shared" si="52"/>
        <v>-1939.5250000000001</v>
      </c>
    </row>
    <row r="49" spans="2:15" ht="9" customHeight="1">
      <c r="B49" s="108" t="s">
        <v>162</v>
      </c>
      <c r="C49" s="855"/>
      <c r="D49" s="115">
        <f>INDEX(cockpit!$J$6:$Y$16,MATCH($D35,cockpit!$J$6:$J$16,0),MATCH($B49,cockpit!$J$6:$Y$6,0))</f>
        <v>1</v>
      </c>
      <c r="E49" s="113">
        <f t="shared" ref="E49:O49" si="53">-E41*$D49</f>
        <v>0</v>
      </c>
      <c r="F49" s="113">
        <f t="shared" si="53"/>
        <v>0</v>
      </c>
      <c r="G49" s="113">
        <f t="shared" si="53"/>
        <v>0</v>
      </c>
      <c r="H49" s="113">
        <f t="shared" si="53"/>
        <v>0</v>
      </c>
      <c r="I49" s="113">
        <f t="shared" si="53"/>
        <v>0</v>
      </c>
      <c r="J49" s="113">
        <f t="shared" si="53"/>
        <v>0</v>
      </c>
      <c r="K49" s="113">
        <f t="shared" si="53"/>
        <v>-11637.15</v>
      </c>
      <c r="L49" s="113">
        <f t="shared" si="53"/>
        <v>-23274.3</v>
      </c>
      <c r="M49" s="113">
        <f t="shared" si="53"/>
        <v>-34911.449999999997</v>
      </c>
      <c r="N49" s="113">
        <f t="shared" si="53"/>
        <v>-34911.449999999997</v>
      </c>
      <c r="O49" s="113">
        <f t="shared" si="53"/>
        <v>-34911.449999999997</v>
      </c>
    </row>
    <row r="50" spans="2:15" ht="9" customHeight="1">
      <c r="B50" s="114" t="s">
        <v>195</v>
      </c>
      <c r="C50" s="855"/>
      <c r="D50" s="115"/>
      <c r="E50" s="112">
        <f t="shared" ref="E50:O50" si="54">SUM(E48:E49)</f>
        <v>0</v>
      </c>
      <c r="F50" s="112">
        <f t="shared" si="54"/>
        <v>0</v>
      </c>
      <c r="G50" s="112">
        <f t="shared" si="54"/>
        <v>0</v>
      </c>
      <c r="H50" s="112">
        <f t="shared" si="54"/>
        <v>0</v>
      </c>
      <c r="I50" s="112">
        <f t="shared" si="54"/>
        <v>0</v>
      </c>
      <c r="J50" s="112">
        <f t="shared" si="54"/>
        <v>0</v>
      </c>
      <c r="K50" s="112">
        <f t="shared" si="54"/>
        <v>-13576.674999999999</v>
      </c>
      <c r="L50" s="112">
        <f t="shared" si="54"/>
        <v>-25213.825000000001</v>
      </c>
      <c r="M50" s="112">
        <f t="shared" si="54"/>
        <v>-36850.974999999999</v>
      </c>
      <c r="N50" s="112">
        <f t="shared" si="54"/>
        <v>-36850.974999999999</v>
      </c>
      <c r="O50" s="112">
        <f t="shared" si="54"/>
        <v>-36850.974999999999</v>
      </c>
    </row>
    <row r="51" spans="2:15" ht="9" customHeight="1">
      <c r="B51" s="108"/>
      <c r="C51" s="855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ht="9" customHeight="1">
      <c r="B52" s="108" t="s">
        <v>688</v>
      </c>
      <c r="C52" s="855"/>
      <c r="D52" s="111">
        <f>INDEX(cockpit!$J$6:$Y$16,MATCH($D35,cockpit!$J$6:$J$16,0),MATCH($B52,cockpit!$J$6:$Y$6,0))</f>
        <v>50</v>
      </c>
      <c r="E52" s="112">
        <f t="shared" ref="E52:O52" si="55">-(IF(E53&lt;0,SUM($E40:$O40)*$D52*(1+Inflation)^(E$2-1)*(1+Developerfee)))/constructiontimephase2</f>
        <v>0</v>
      </c>
      <c r="F52" s="112">
        <f t="shared" si="55"/>
        <v>0</v>
      </c>
      <c r="G52" s="112">
        <f t="shared" si="55"/>
        <v>0</v>
      </c>
      <c r="H52" s="112">
        <f t="shared" si="55"/>
        <v>0</v>
      </c>
      <c r="I52" s="112">
        <f t="shared" si="55"/>
        <v>-953993.98331369983</v>
      </c>
      <c r="J52" s="112">
        <f t="shared" si="55"/>
        <v>-973073.8629799739</v>
      </c>
      <c r="K52" s="112">
        <f t="shared" si="55"/>
        <v>0</v>
      </c>
      <c r="L52" s="112">
        <f t="shared" si="55"/>
        <v>0</v>
      </c>
      <c r="M52" s="112">
        <f t="shared" si="55"/>
        <v>0</v>
      </c>
      <c r="N52" s="112">
        <f t="shared" si="55"/>
        <v>0</v>
      </c>
      <c r="O52" s="112">
        <f t="shared" si="55"/>
        <v>0</v>
      </c>
    </row>
    <row r="53" spans="2:15" ht="9" customHeight="1">
      <c r="B53" s="108" t="s">
        <v>170</v>
      </c>
      <c r="C53" s="855"/>
      <c r="D53" s="111">
        <f>(OfficeconstructionratePSF*(1-$K34))+((OfficeconstructionratePSF*(1+premiumprices)*$K34))</f>
        <v>135</v>
      </c>
      <c r="E53" s="112">
        <f>-IF(OR(E$2=$H34,E$2=$H35,AND(E$2&gt;$H34,E$2&lt;$H35)),(INDEX(summary!$A$2:$D$24,MATCH($D35,summary!$A$2:$A$24,0),MATCH($D34,summary!$A$2:$D$2,0)))/constructiontimephase2)*($D53*((1+Inflation)^(E$2-1)))*(1+Developerfee)</f>
        <v>0</v>
      </c>
      <c r="F53" s="112">
        <f>-IF(OR(F$2=$H34,F$2=$H35,AND(F$2&gt;$H34,F$2&lt;$H35)),(INDEX(summary!$A$2:$D$24,MATCH($D35,summary!$A$2:$A$24,0),MATCH($D34,summary!$A$2:$D$2,0)))/constructiontimephase2)*($D53*((1+Inflation)^(F$2-1)))*(1+Developerfee)</f>
        <v>0</v>
      </c>
      <c r="G53" s="112">
        <f>-IF(OR(G$2=$H34,G$2=$H35,AND(G$2&gt;$H34,G$2&lt;$H35)),(INDEX(summary!$A$2:$D$24,MATCH($D35,summary!$A$2:$A$24,0),MATCH($D34,summary!$A$2:$D$2,0)))/constructiontimephase2)*($D53*((1+Inflation)^(G$2-1)))*(1+Developerfee)</f>
        <v>0</v>
      </c>
      <c r="H53" s="112">
        <f>-IF(OR(H$2=$H34,H$2=$H35,AND(H$2&gt;$H34,H$2&lt;$H35)),(INDEX(summary!$A$2:$D$24,MATCH($D35,summary!$A$2:$A$24,0),MATCH($D34,summary!$A$2:$D$2,0)))/constructiontimephase2)*($D53*((1+Inflation)^(H$2-1)))*(1+Developerfee)</f>
        <v>0</v>
      </c>
      <c r="I53" s="112">
        <f>-IF(OR(I$2=$H34,I$2=$H35,AND(I$2&gt;$H34,I$2&lt;$H35)),(INDEX(summary!$A$2:$D$24,MATCH($D35,summary!$A$2:$A$24,0),MATCH($D34,summary!$A$2:$D$2,0)))/constructiontimephase2)*($D53*((1+Inflation)^(I$2-1)))*(1+Developerfee)</f>
        <v>-2861981.9499411001</v>
      </c>
      <c r="J53" s="112">
        <f>-IF(OR(J$2=$H34,J$2=$H35,AND(J$2&gt;$H34,J$2&lt;$H35)),(INDEX(summary!$A$2:$D$24,MATCH($D35,summary!$A$2:$A$24,0),MATCH($D34,summary!$A$2:$D$2,0)))/constructiontimephase2)*($D53*((1+Inflation)^(J$2-1)))*(1+Developerfee)</f>
        <v>-2919221.5889399219</v>
      </c>
      <c r="K53" s="112">
        <f>-IF(OR(K$2=$H34,K$2=$H35,AND(K$2&gt;$H34,K$2&lt;$H35)),(INDEX(summary!$A$2:$D$24,MATCH($D35,summary!$A$2:$A$24,0),MATCH($D34,summary!$A$2:$D$2,0)))/constructiontimephase2)*($D53*((1+Inflation)^(K$2-1)))*(1+Developerfee)</f>
        <v>0</v>
      </c>
      <c r="L53" s="112">
        <f>-IF(OR(L$2=$H34,L$2=$H35,AND(L$2&gt;$H34,L$2&lt;$H35)),(INDEX(summary!$A$2:$D$24,MATCH($D35,summary!$A$2:$A$24,0),MATCH($D34,summary!$A$2:$D$2,0)))/constructiontimephase2)*($D53*((1+Inflation)^(L$2-1)))*(1+Developerfee)</f>
        <v>0</v>
      </c>
      <c r="M53" s="112">
        <f>-IF(OR(M$2=$H34,M$2=$H35,AND(M$2&gt;$H34,M$2&lt;$H35)),(INDEX(summary!$A$2:$D$24,MATCH($D35,summary!$A$2:$A$24,0),MATCH($D34,summary!$A$2:$D$2,0)))/constructiontimephase2)*($D53*((1+Inflation)^(M$2-1)))*(1+Developerfee)</f>
        <v>0</v>
      </c>
      <c r="N53" s="112">
        <f>-IF(OR(N$2=$H34,N$2=$H35,AND(N$2&gt;$H34,N$2&lt;$H35)),(INDEX(summary!$A$2:$D$24,MATCH($D35,summary!$A$2:$A$24,0),MATCH($D34,summary!$A$2:$D$2,0)))/constructiontimephase2)*($D53*((1+Inflation)^(N$2-1)))*(1+Developerfee)</f>
        <v>0</v>
      </c>
      <c r="O53" s="112">
        <f>-IF(OR(O$2=$H34,O$2=$H35,AND(O$2&gt;$H34,O$2&lt;$H35)),(INDEX(summary!$A$2:$D$24,MATCH($D35,summary!$A$2:$A$24,0),MATCH($D34,summary!$A$2:$D$2,0)))/constructiontimephase2)*($D53*((1+Inflation)^(O$2-1)))*(1+Developerfee)</f>
        <v>0</v>
      </c>
    </row>
    <row r="54" spans="2:15" ht="9" customHeight="1">
      <c r="B54" s="108" t="s">
        <v>197</v>
      </c>
      <c r="C54" s="855" t="s">
        <v>189</v>
      </c>
      <c r="D54" s="122">
        <f>(INDEX(cockpit!$J$6:$Y$16,MATCH($D35,cockpit!$J$6:$J$16,0),MATCH($C54,cockpit!$J$6:$Y$6,0))*(1-$K34))+((INDEX(cockpit!$J$6:$Y$16,MATCH($D35,cockpit!$J$6:$J$16,0),MATCH($C54,cockpit!$J$6:$Y$6,0))-(Premiumexitcaprate))*$K34)</f>
        <v>7.4999999999999997E-2</v>
      </c>
      <c r="E54" s="113">
        <f t="shared" ref="E54:O54" si="56">IF(E$2=dispositionyear,E46/$D54,0)*(1-Closingcosts)</f>
        <v>0</v>
      </c>
      <c r="F54" s="113">
        <f t="shared" si="56"/>
        <v>0</v>
      </c>
      <c r="G54" s="113">
        <f t="shared" si="56"/>
        <v>0</v>
      </c>
      <c r="H54" s="113">
        <f t="shared" si="56"/>
        <v>0</v>
      </c>
      <c r="I54" s="113">
        <f t="shared" si="56"/>
        <v>0</v>
      </c>
      <c r="J54" s="113">
        <f t="shared" si="56"/>
        <v>0</v>
      </c>
      <c r="K54" s="113">
        <f t="shared" si="56"/>
        <v>0</v>
      </c>
      <c r="L54" s="113">
        <f t="shared" si="56"/>
        <v>0</v>
      </c>
      <c r="M54" s="113">
        <f t="shared" si="56"/>
        <v>0</v>
      </c>
      <c r="N54" s="113">
        <f t="shared" si="56"/>
        <v>0</v>
      </c>
      <c r="O54" s="113">
        <f t="shared" si="56"/>
        <v>12957127.600138677</v>
      </c>
    </row>
    <row r="55" spans="2:15" ht="9" customHeight="1">
      <c r="B55" s="114" t="s">
        <v>196</v>
      </c>
      <c r="C55" s="855"/>
      <c r="D55" s="110"/>
      <c r="E55" s="112">
        <f>SUM(E52:E54)</f>
        <v>0</v>
      </c>
      <c r="F55" s="112">
        <f t="shared" ref="F55:O55" si="57">SUM(F52:F54)</f>
        <v>0</v>
      </c>
      <c r="G55" s="112">
        <f t="shared" si="57"/>
        <v>0</v>
      </c>
      <c r="H55" s="112">
        <f t="shared" si="57"/>
        <v>0</v>
      </c>
      <c r="I55" s="112">
        <f t="shared" si="57"/>
        <v>-3815975.9332547998</v>
      </c>
      <c r="J55" s="112">
        <f t="shared" si="57"/>
        <v>-3892295.4519198956</v>
      </c>
      <c r="K55" s="112">
        <f t="shared" si="57"/>
        <v>0</v>
      </c>
      <c r="L55" s="112">
        <f t="shared" si="57"/>
        <v>0</v>
      </c>
      <c r="M55" s="112">
        <f t="shared" si="57"/>
        <v>0</v>
      </c>
      <c r="N55" s="112">
        <f t="shared" si="57"/>
        <v>0</v>
      </c>
      <c r="O55" s="112">
        <f t="shared" si="57"/>
        <v>12957127.600138677</v>
      </c>
    </row>
    <row r="56" spans="2:15" ht="9" customHeight="1">
      <c r="B56" s="108"/>
      <c r="C56" s="855"/>
      <c r="D56" s="110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</row>
    <row r="57" spans="2:15" ht="9" customHeight="1">
      <c r="B57" s="114" t="s">
        <v>169</v>
      </c>
      <c r="C57" s="856"/>
      <c r="D57" s="116">
        <f ca="1">IRR(OFFSET(E57,0,0,1,Investmenthorizon+1))</f>
        <v>0.15353025362259554</v>
      </c>
      <c r="E57" s="117">
        <f t="shared" ref="E57:O57" si="58">SUM(E46,E50,E55)</f>
        <v>0</v>
      </c>
      <c r="F57" s="117">
        <f t="shared" si="58"/>
        <v>0</v>
      </c>
      <c r="G57" s="117">
        <f t="shared" si="58"/>
        <v>0</v>
      </c>
      <c r="H57" s="117">
        <f t="shared" si="58"/>
        <v>0</v>
      </c>
      <c r="I57" s="117">
        <f t="shared" si="58"/>
        <v>-3815975.9332547998</v>
      </c>
      <c r="J57" s="117">
        <f t="shared" si="58"/>
        <v>-3892295.4519198956</v>
      </c>
      <c r="K57" s="117">
        <f t="shared" si="58"/>
        <v>7837.2481982647914</v>
      </c>
      <c r="L57" s="117">
        <f t="shared" si="58"/>
        <v>455314.61156906199</v>
      </c>
      <c r="M57" s="117">
        <f t="shared" si="58"/>
        <v>921147.98990541173</v>
      </c>
      <c r="N57" s="117">
        <f t="shared" si="58"/>
        <v>940307.96920352022</v>
      </c>
      <c r="O57" s="117">
        <f t="shared" si="58"/>
        <v>13916978.748226268</v>
      </c>
    </row>
    <row r="58" spans="2:15" ht="9" customHeight="1" thickBot="1">
      <c r="B58" s="114"/>
      <c r="C58" s="856"/>
      <c r="D58" s="118"/>
      <c r="E58" s="106"/>
      <c r="F58" s="106"/>
      <c r="G58" s="106"/>
      <c r="H58" s="119"/>
      <c r="I58" s="106"/>
      <c r="J58" s="106"/>
      <c r="K58" s="106"/>
      <c r="L58" s="106"/>
      <c r="M58" s="106"/>
      <c r="N58" s="106"/>
      <c r="O58" s="106"/>
    </row>
    <row r="59" spans="2:15" ht="9" customHeight="1">
      <c r="B59" s="123" t="s">
        <v>198</v>
      </c>
      <c r="C59" s="124"/>
      <c r="D59" s="124"/>
      <c r="E59" s="134"/>
      <c r="F59" s="135"/>
      <c r="G59" s="135"/>
      <c r="H59" s="135"/>
      <c r="I59" s="135"/>
      <c r="J59" s="135"/>
      <c r="K59" s="125"/>
      <c r="L59" s="107"/>
      <c r="M59" s="107"/>
      <c r="N59" s="107"/>
      <c r="O59" s="107"/>
    </row>
    <row r="60" spans="2:15" ht="7.5" customHeight="1">
      <c r="B60" s="126" t="s">
        <v>89</v>
      </c>
      <c r="C60" s="851"/>
      <c r="D60" s="133">
        <v>3</v>
      </c>
      <c r="E60" s="106"/>
      <c r="F60" s="106"/>
      <c r="G60" s="107" t="s">
        <v>204</v>
      </c>
      <c r="H60" s="133">
        <f>Phase3begin</f>
        <v>6</v>
      </c>
      <c r="I60" s="106"/>
      <c r="J60" s="107" t="s">
        <v>201</v>
      </c>
      <c r="K60" s="136">
        <f>summary!AJ15</f>
        <v>0</v>
      </c>
      <c r="L60" s="106"/>
      <c r="M60" s="106"/>
      <c r="N60" s="106"/>
      <c r="O60" s="106"/>
    </row>
    <row r="61" spans="2:15" ht="9" customHeight="1">
      <c r="B61" s="126" t="s">
        <v>93</v>
      </c>
      <c r="C61" s="851"/>
      <c r="D61" s="130" t="s">
        <v>109</v>
      </c>
      <c r="E61" s="106"/>
      <c r="F61" s="106"/>
      <c r="G61" s="107" t="s">
        <v>205</v>
      </c>
      <c r="H61" s="133">
        <f>Phase3end</f>
        <v>7</v>
      </c>
      <c r="I61" s="106"/>
      <c r="J61" s="106"/>
      <c r="K61" s="127"/>
      <c r="L61" s="106"/>
      <c r="M61" s="106"/>
      <c r="N61" s="106"/>
      <c r="O61" s="106"/>
    </row>
    <row r="62" spans="2:15" ht="9" customHeight="1" thickBot="1">
      <c r="B62" s="137"/>
      <c r="C62" s="852"/>
      <c r="D62" s="138"/>
      <c r="E62" s="138"/>
      <c r="F62" s="138"/>
      <c r="G62" s="129" t="s">
        <v>199</v>
      </c>
      <c r="H62" s="131">
        <f>Phase3open</f>
        <v>8</v>
      </c>
      <c r="I62" s="138"/>
      <c r="J62" s="138"/>
      <c r="K62" s="128"/>
      <c r="L62" s="106"/>
      <c r="M62" s="106"/>
      <c r="N62" s="106"/>
      <c r="O62" s="106"/>
    </row>
    <row r="63" spans="2:15" ht="9" customHeight="1">
      <c r="B63" s="106"/>
      <c r="C63" s="853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</row>
    <row r="64" spans="2:15" ht="9" customHeight="1">
      <c r="B64" s="108" t="s">
        <v>182</v>
      </c>
      <c r="C64" s="854"/>
      <c r="D64" s="106"/>
      <c r="E64" s="109">
        <f>IF(OR(E$2=$H62,E$2&gt;$H62),INDEX(summary!$A$2:$D$24,MATCH($D61,summary!$A$2:$A$24,0),MATCH($D60,summary!$A$2:$D$2,0)),0)</f>
        <v>0</v>
      </c>
      <c r="F64" s="109">
        <f>IF(OR(F$2=$H62,F$2&gt;$H62),INDEX(summary!$A$2:$D$24,MATCH($D61,summary!$A$2:$A$24,0),MATCH($D60,summary!$A$2:$D$2,0)),0)</f>
        <v>0</v>
      </c>
      <c r="G64" s="109">
        <f>IF(OR(G$2=$H62,G$2&gt;$H62),INDEX(summary!$A$2:$D$24,MATCH($D61,summary!$A$2:$A$24,0),MATCH($D60,summary!$A$2:$D$2,0)),0)</f>
        <v>0</v>
      </c>
      <c r="H64" s="109">
        <f>IF(OR(H$2=$H62,H$2&gt;$H62),INDEX(summary!$A$2:$D$24,MATCH($D61,summary!$A$2:$A$24,0),MATCH($D60,summary!$A$2:$D$2,0)),0)</f>
        <v>0</v>
      </c>
      <c r="I64" s="109">
        <f>IF(OR(I$2=$H62,I$2&gt;$H62),INDEX(summary!$A$2:$D$24,MATCH($D61,summary!$A$2:$A$24,0),MATCH($D60,summary!$A$2:$D$2,0)),0)</f>
        <v>0</v>
      </c>
      <c r="J64" s="109">
        <f>IF(OR(J$2=$H62,J$2&gt;$H62),INDEX(summary!$A$2:$D$24,MATCH($D61,summary!$A$2:$A$24,0),MATCH($D60,summary!$A$2:$D$2,0)),0)</f>
        <v>0</v>
      </c>
      <c r="K64" s="109">
        <f>IF(OR(K$2=$H62,K$2&gt;$H62),INDEX(summary!$A$2:$D$24,MATCH($D61,summary!$A$2:$A$24,0),MATCH($D60,summary!$A$2:$D$2,0)),0)</f>
        <v>0</v>
      </c>
      <c r="L64" s="109">
        <f>IF(OR(L$2=$H62,L$2&gt;$H62),INDEX(summary!$A$2:$D$24,MATCH($D61,summary!$A$2:$A$24,0),MATCH($D60,summary!$A$2:$D$2,0)),0)</f>
        <v>0</v>
      </c>
      <c r="M64" s="109">
        <f>IF(OR(M$2=$H62,M$2&gt;$H62),INDEX(summary!$A$2:$D$24,MATCH($D61,summary!$A$2:$A$24,0),MATCH($D60,summary!$A$2:$D$2,0)),0)</f>
        <v>511379.82342500007</v>
      </c>
      <c r="N64" s="109">
        <f>IF(OR(N$2=$H62,N$2&gt;$H62),INDEX(summary!$A$2:$D$24,MATCH($D61,summary!$A$2:$A$24,0),MATCH($D60,summary!$A$2:$D$2,0)),0)</f>
        <v>511379.82342500007</v>
      </c>
      <c r="O64" s="109">
        <f>IF(OR(O$2=$H62,O$2&gt;$H62),INDEX(summary!$A$2:$D$24,MATCH($D61,summary!$A$2:$A$24,0),MATCH($D60,summary!$A$2:$D$2,0)),0)</f>
        <v>511379.82342500007</v>
      </c>
    </row>
    <row r="65" spans="2:15" ht="9" customHeight="1">
      <c r="B65" s="108" t="s">
        <v>194</v>
      </c>
      <c r="C65" s="855" t="s">
        <v>191</v>
      </c>
      <c r="D65" s="110">
        <f>INDEX(cockpit!$J$6:$Y$16,MATCH($D61,cockpit!$J$6:$J$16,0),MATCH($C$11,cockpit!$J$6:$Y$6,0))</f>
        <v>0</v>
      </c>
      <c r="E65" s="109">
        <f>E64*(1-$D65)</f>
        <v>0</v>
      </c>
      <c r="F65" s="109">
        <f t="shared" ref="F65:O65" si="59">F64*(1-$D65)</f>
        <v>0</v>
      </c>
      <c r="G65" s="109">
        <f t="shared" si="59"/>
        <v>0</v>
      </c>
      <c r="H65" s="109">
        <f t="shared" si="59"/>
        <v>0</v>
      </c>
      <c r="I65" s="109">
        <f t="shared" si="59"/>
        <v>0</v>
      </c>
      <c r="J65" s="109">
        <f t="shared" si="59"/>
        <v>0</v>
      </c>
      <c r="K65" s="109">
        <f t="shared" si="59"/>
        <v>0</v>
      </c>
      <c r="L65" s="109">
        <f t="shared" si="59"/>
        <v>0</v>
      </c>
      <c r="M65" s="109">
        <f t="shared" si="59"/>
        <v>511379.82342500007</v>
      </c>
      <c r="N65" s="109">
        <f t="shared" si="59"/>
        <v>511379.82342500007</v>
      </c>
      <c r="O65" s="109">
        <f t="shared" si="59"/>
        <v>511379.82342500007</v>
      </c>
    </row>
    <row r="66" spans="2:15" ht="9" customHeight="1">
      <c r="B66" s="108" t="s">
        <v>180</v>
      </c>
      <c r="C66" s="855" t="s">
        <v>152</v>
      </c>
      <c r="D66" s="122">
        <f>Officerampup</f>
        <v>0.3</v>
      </c>
      <c r="E66" s="109">
        <f>IF(OR(E$2=$H62,AND(E$2&gt;$H62,E$2&lt;(SUM($H62,INDEX(cockpit!$J$6:$Y$16,MATCH($D61,cockpit!$J$6:$J$16,0),MATCH($C$12,cockpit!$J$6:$Y$6,0)))))),E65*$D66,0)</f>
        <v>0</v>
      </c>
      <c r="F66" s="109">
        <f>IF(OR(F$2=$H62,AND(F$2&gt;$H62,F$2&lt;(SUM($H62,INDEX(cockpit!$J$6:$Y$16,MATCH($D61,cockpit!$J$6:$J$16,0),MATCH($C$12,cockpit!$J$6:$Y$6,0)))))),F65*$D66,0)</f>
        <v>0</v>
      </c>
      <c r="G66" s="109">
        <f>IF(OR(G$2=$H62,AND(G$2&gt;$H62,G$2&lt;(SUM($H62,INDEX(cockpit!$J$6:$Y$16,MATCH($D61,cockpit!$J$6:$J$16,0),MATCH($C$12,cockpit!$J$6:$Y$6,0)))))),G65*$D66,0)</f>
        <v>0</v>
      </c>
      <c r="H66" s="109">
        <f>IF(OR(H$2=$H62,AND(H$2&gt;$H62,H$2&lt;(SUM($H62,INDEX(cockpit!$J$6:$Y$16,MATCH($D61,cockpit!$J$6:$J$16,0),MATCH($C$12,cockpit!$J$6:$Y$6,0)))))),H65*$D66,0)</f>
        <v>0</v>
      </c>
      <c r="I66" s="109">
        <f>IF(OR(I$2=$H62,AND(I$2&gt;$H62,I$2&lt;(SUM($H62,INDEX(cockpit!$J$6:$Y$16,MATCH($D61,cockpit!$J$6:$J$16,0),MATCH($C$12,cockpit!$J$6:$Y$6,0)))))),I65*$D66,0)</f>
        <v>0</v>
      </c>
      <c r="J66" s="109">
        <f>IF(OR(J$2=$H62,AND(J$2&gt;$H62,J$2&lt;(SUM($H62,INDEX(cockpit!$J$6:$Y$16,MATCH($D61,cockpit!$J$6:$J$16,0),MATCH($C$12,cockpit!$J$6:$Y$6,0)))))),J65*$D66,0)</f>
        <v>0</v>
      </c>
      <c r="K66" s="109">
        <f>IF(OR(K$2=$H62,AND(K$2&gt;$H62,K$2&lt;(SUM($H62,INDEX(cockpit!$J$6:$Y$16,MATCH($D61,cockpit!$J$6:$J$16,0),MATCH($C$12,cockpit!$J$6:$Y$6,0)))))),K65*$D66,0)</f>
        <v>0</v>
      </c>
      <c r="L66" s="109">
        <f>IF(OR(L$2=$H62,AND(L$2&gt;$H62,L$2&lt;(SUM($H62,INDEX(cockpit!$J$6:$Y$16,MATCH($D61,cockpit!$J$6:$J$16,0),MATCH($C$12,cockpit!$J$6:$Y$6,0)))))),L65*$D66,0)</f>
        <v>0</v>
      </c>
      <c r="M66" s="109">
        <f>IF(OR(M$2=$H62,AND(M$2&gt;$H62,M$2&lt;(SUM($H62,INDEX(cockpit!$J$6:$Y$16,MATCH($D61,cockpit!$J$6:$J$16,0),MATCH($C$12,cockpit!$J$6:$Y$6,0)))))),M65*$D66,0)</f>
        <v>153413.94702750002</v>
      </c>
      <c r="N66" s="109">
        <f>IF(OR(N$2=$H62,AND(N$2&gt;$H62,N$2&lt;(SUM($H62,INDEX(cockpit!$J$6:$Y$16,MATCH($D61,cockpit!$J$6:$J$16,0),MATCH($C$12,cockpit!$J$6:$Y$6,0)))))),N65*$D66,0)</f>
        <v>153413.94702750002</v>
      </c>
      <c r="O66" s="109">
        <f>IF(OR(O$2=$H62,AND(O$2&gt;$H62,O$2&lt;(SUM($H62,INDEX(cockpit!$J$6:$Y$16,MATCH($D61,cockpit!$J$6:$J$16,0),MATCH($C$12,cockpit!$J$6:$Y$6,0)))))),O65*$D66,0)</f>
        <v>153413.94702750002</v>
      </c>
    </row>
    <row r="67" spans="2:15" ht="9" customHeight="1">
      <c r="B67" s="108" t="s">
        <v>181</v>
      </c>
      <c r="C67" s="855"/>
      <c r="D67" s="106"/>
      <c r="E67" s="109">
        <f>SUM($E66:E66)</f>
        <v>0</v>
      </c>
      <c r="F67" s="109">
        <f>SUM($E66:F66)</f>
        <v>0</v>
      </c>
      <c r="G67" s="109">
        <f>SUM($E66:G66)</f>
        <v>0</v>
      </c>
      <c r="H67" s="109">
        <f>SUM($E66:H66)</f>
        <v>0</v>
      </c>
      <c r="I67" s="109">
        <f>SUM($E66:I66)</f>
        <v>0</v>
      </c>
      <c r="J67" s="109">
        <f>SUM($E66:J66)</f>
        <v>0</v>
      </c>
      <c r="K67" s="109">
        <f>SUM($E66:K66)</f>
        <v>0</v>
      </c>
      <c r="L67" s="109">
        <f>SUM($E66:L66)</f>
        <v>0</v>
      </c>
      <c r="M67" s="109">
        <f>SUM($E66:M66)</f>
        <v>153413.94702750002</v>
      </c>
      <c r="N67" s="109">
        <f>SUM($E66:N66)</f>
        <v>306827.89405500004</v>
      </c>
      <c r="O67" s="109">
        <f>SUM($E66:O66)</f>
        <v>460241.84108250006</v>
      </c>
    </row>
    <row r="68" spans="2:15" ht="9" customHeight="1">
      <c r="B68" s="108"/>
      <c r="C68" s="855"/>
      <c r="D68" s="106"/>
      <c r="E68" s="362">
        <f t="shared" ref="E68" si="60">IFERROR(1-(E67/E65),0)</f>
        <v>0</v>
      </c>
      <c r="F68" s="362">
        <f t="shared" ref="F68" si="61">IFERROR(1-(F67/F65),0)</f>
        <v>0</v>
      </c>
      <c r="G68" s="362">
        <f t="shared" ref="G68" si="62">IFERROR(1-(G67/G65),0)</f>
        <v>0</v>
      </c>
      <c r="H68" s="362">
        <f>IFERROR(1-(H67/H65),0)</f>
        <v>0</v>
      </c>
      <c r="I68" s="362">
        <f t="shared" ref="I68" si="63">IFERROR(1-(I67/I65),0)</f>
        <v>0</v>
      </c>
      <c r="J68" s="362">
        <f t="shared" ref="J68" si="64">IFERROR(1-(J67/J65),0)</f>
        <v>0</v>
      </c>
      <c r="K68" s="362">
        <f t="shared" ref="K68" si="65">IFERROR(1-(K67/K65),0)</f>
        <v>0</v>
      </c>
      <c r="L68" s="362">
        <f t="shared" ref="L68" si="66">IFERROR(1-(L67/L65),0)</f>
        <v>0</v>
      </c>
      <c r="M68" s="362">
        <f t="shared" ref="M68" si="67">IFERROR(1-(M67/M65),0)</f>
        <v>0.7</v>
      </c>
      <c r="N68" s="362">
        <f t="shared" ref="N68" si="68">IFERROR(1-(N67/N65),0)</f>
        <v>0.4</v>
      </c>
      <c r="O68" s="362">
        <f t="shared" ref="O68" si="69">IFERROR(1-(O67/O65),0)</f>
        <v>9.9999999999999978E-2</v>
      </c>
    </row>
    <row r="69" spans="2:15" ht="9" customHeight="1">
      <c r="B69" s="108" t="s">
        <v>166</v>
      </c>
      <c r="C69" s="855"/>
      <c r="D69" s="111">
        <f>(OfficemarketratePSF*(1-$K60))+((OfficemarketratePSF*(1+premiumprices)*$K60))</f>
        <v>25</v>
      </c>
      <c r="E69" s="112">
        <f t="shared" ref="E69:O69" si="70">E67*($D69*((1+Inflation)^(E$2-1)))</f>
        <v>0</v>
      </c>
      <c r="F69" s="112">
        <f t="shared" si="70"/>
        <v>0</v>
      </c>
      <c r="G69" s="112">
        <f t="shared" si="70"/>
        <v>0</v>
      </c>
      <c r="H69" s="112">
        <f t="shared" si="70"/>
        <v>0</v>
      </c>
      <c r="I69" s="112">
        <f t="shared" si="70"/>
        <v>0</v>
      </c>
      <c r="J69" s="112">
        <f t="shared" si="70"/>
        <v>0</v>
      </c>
      <c r="K69" s="112">
        <f t="shared" si="70"/>
        <v>0</v>
      </c>
      <c r="L69" s="112">
        <f t="shared" si="70"/>
        <v>0</v>
      </c>
      <c r="M69" s="112">
        <f t="shared" si="70"/>
        <v>4405610.0541998772</v>
      </c>
      <c r="N69" s="112">
        <f t="shared" si="70"/>
        <v>8987444.5105677508</v>
      </c>
      <c r="O69" s="112">
        <f t="shared" si="70"/>
        <v>13750790.10116866</v>
      </c>
    </row>
    <row r="70" spans="2:15" ht="9" customHeight="1">
      <c r="B70" s="108" t="s">
        <v>216</v>
      </c>
      <c r="C70" s="855"/>
      <c r="D70" s="111">
        <f>IF(INDEX(cockpit!$J$6:$Y$16,MATCH($D61,cockpit!$J$6:$J$16,0),MATCH($B70,cockpit!$J$6:$Y$6,0))="Y",D71,0)</f>
        <v>10</v>
      </c>
      <c r="E70" s="112">
        <f t="shared" ref="E70" si="71">-IF($D70&gt;0,E71,0)*(1-E68)</f>
        <v>0</v>
      </c>
      <c r="F70" s="112">
        <f t="shared" ref="F70" si="72">-IF($D70&gt;0,F71,0)*(1-F68)</f>
        <v>0</v>
      </c>
      <c r="G70" s="112">
        <f t="shared" ref="G70" si="73">-IF($D70&gt;0,G71,0)*(1-G68)</f>
        <v>0</v>
      </c>
      <c r="H70" s="112">
        <f t="shared" ref="H70" si="74">-IF($D70&gt;0,H71,0)*(1-H68)</f>
        <v>0</v>
      </c>
      <c r="I70" s="112">
        <f t="shared" ref="I70" si="75">-IF($D70&gt;0,I71,0)*(1-I68)</f>
        <v>0</v>
      </c>
      <c r="J70" s="112">
        <f t="shared" ref="J70" si="76">-IF($D70&gt;0,J71,0)*(1-J68)</f>
        <v>0</v>
      </c>
      <c r="K70" s="112">
        <f t="shared" ref="K70" si="77">-IF($D70&gt;0,K71,0)*(1-K68)</f>
        <v>0</v>
      </c>
      <c r="L70" s="112">
        <f t="shared" ref="L70" si="78">-IF($D70&gt;0,L71,0)*(1-L68)</f>
        <v>0</v>
      </c>
      <c r="M70" s="112">
        <f t="shared" ref="M70" si="79">-IF($D70&gt;0,M71,0)*(1-M68)</f>
        <v>1762244.0216799516</v>
      </c>
      <c r="N70" s="112">
        <f t="shared" ref="N70" si="80">-IF($D70&gt;0,N71,0)*(1-N68)</f>
        <v>3594977.8042271002</v>
      </c>
      <c r="O70" s="112">
        <f t="shared" ref="O70" si="81">-IF($D70&gt;0,O71,0)*(1-O68)</f>
        <v>5500316.0404674634</v>
      </c>
    </row>
    <row r="71" spans="2:15" ht="9" customHeight="1">
      <c r="B71" s="108" t="s">
        <v>123</v>
      </c>
      <c r="C71" s="855"/>
      <c r="D71" s="111">
        <f>INDEX(cockpit!$J$6:$Y$16,MATCH($D61,cockpit!$J$6:$J$16,0),MATCH($B71,cockpit!$J$6:$Y$6,0))</f>
        <v>10</v>
      </c>
      <c r="E71" s="113">
        <f t="shared" ref="E71:O71" si="82">-IF($D71&gt;1,E64*($D71*((1+Inflation)^(E$2-1))),E69*(1-$D71))</f>
        <v>0</v>
      </c>
      <c r="F71" s="113">
        <f t="shared" si="82"/>
        <v>0</v>
      </c>
      <c r="G71" s="113">
        <f t="shared" si="82"/>
        <v>0</v>
      </c>
      <c r="H71" s="113">
        <f t="shared" si="82"/>
        <v>0</v>
      </c>
      <c r="I71" s="113">
        <f t="shared" si="82"/>
        <v>0</v>
      </c>
      <c r="J71" s="113">
        <f t="shared" si="82"/>
        <v>0</v>
      </c>
      <c r="K71" s="113">
        <f t="shared" si="82"/>
        <v>0</v>
      </c>
      <c r="L71" s="113">
        <f t="shared" si="82"/>
        <v>0</v>
      </c>
      <c r="M71" s="113">
        <f t="shared" si="82"/>
        <v>-5874146.7389331711</v>
      </c>
      <c r="N71" s="113">
        <f t="shared" si="82"/>
        <v>-5991629.6737118335</v>
      </c>
      <c r="O71" s="113">
        <f t="shared" si="82"/>
        <v>-6111462.2671860708</v>
      </c>
    </row>
    <row r="72" spans="2:15" ht="9" customHeight="1">
      <c r="B72" s="114" t="s">
        <v>167</v>
      </c>
      <c r="C72" s="855"/>
      <c r="D72" s="106"/>
      <c r="E72" s="112">
        <f>SUM(E69:E71)</f>
        <v>0</v>
      </c>
      <c r="F72" s="112">
        <f t="shared" ref="F72:O72" si="83">SUM(F69:F71)</f>
        <v>0</v>
      </c>
      <c r="G72" s="112">
        <f t="shared" si="83"/>
        <v>0</v>
      </c>
      <c r="H72" s="112">
        <f t="shared" si="83"/>
        <v>0</v>
      </c>
      <c r="I72" s="112">
        <f t="shared" si="83"/>
        <v>0</v>
      </c>
      <c r="J72" s="112">
        <f t="shared" si="83"/>
        <v>0</v>
      </c>
      <c r="K72" s="112">
        <f t="shared" si="83"/>
        <v>0</v>
      </c>
      <c r="L72" s="112">
        <f t="shared" si="83"/>
        <v>0</v>
      </c>
      <c r="M72" s="112">
        <f t="shared" si="83"/>
        <v>293707.33694665786</v>
      </c>
      <c r="N72" s="112">
        <f t="shared" si="83"/>
        <v>6590792.6410830179</v>
      </c>
      <c r="O72" s="112">
        <f t="shared" si="83"/>
        <v>13139643.874450054</v>
      </c>
    </row>
    <row r="73" spans="2:15" ht="9" customHeight="1">
      <c r="B73" s="106"/>
      <c r="C73" s="855"/>
      <c r="D73" s="106"/>
      <c r="E73" s="187">
        <f t="shared" ref="E73:O73" si="84">IFERROR(E72/SUM(E69:E70),0)</f>
        <v>0</v>
      </c>
      <c r="F73" s="187">
        <f t="shared" si="84"/>
        <v>0</v>
      </c>
      <c r="G73" s="187">
        <f t="shared" si="84"/>
        <v>0</v>
      </c>
      <c r="H73" s="187">
        <f t="shared" si="84"/>
        <v>0</v>
      </c>
      <c r="I73" s="187">
        <f t="shared" si="84"/>
        <v>0</v>
      </c>
      <c r="J73" s="187">
        <f t="shared" si="84"/>
        <v>0</v>
      </c>
      <c r="K73" s="187">
        <f t="shared" si="84"/>
        <v>0</v>
      </c>
      <c r="L73" s="187">
        <f t="shared" si="84"/>
        <v>0</v>
      </c>
      <c r="M73" s="187">
        <f t="shared" si="84"/>
        <v>4.7619047619047512E-2</v>
      </c>
      <c r="N73" s="187">
        <f t="shared" si="84"/>
        <v>0.52380952380952384</v>
      </c>
      <c r="O73" s="187">
        <f t="shared" si="84"/>
        <v>0.68253968253968256</v>
      </c>
    </row>
    <row r="74" spans="2:15" ht="9" customHeight="1">
      <c r="B74" s="108" t="s">
        <v>168</v>
      </c>
      <c r="C74" s="855"/>
      <c r="D74" s="115">
        <f>INDEX(cockpit!$J$6:$Y$16,MATCH($D61,cockpit!$J$6:$J$16,0),MATCH($B74,cockpit!$J$6:$Y$6,0))</f>
        <v>0.05</v>
      </c>
      <c r="E74" s="112">
        <f t="shared" ref="E74:O74" si="85">-E65*$D74</f>
        <v>0</v>
      </c>
      <c r="F74" s="112">
        <f t="shared" si="85"/>
        <v>0</v>
      </c>
      <c r="G74" s="112">
        <f t="shared" si="85"/>
        <v>0</v>
      </c>
      <c r="H74" s="112">
        <f t="shared" si="85"/>
        <v>0</v>
      </c>
      <c r="I74" s="112">
        <f t="shared" si="85"/>
        <v>0</v>
      </c>
      <c r="J74" s="112">
        <f t="shared" si="85"/>
        <v>0</v>
      </c>
      <c r="K74" s="112">
        <f t="shared" si="85"/>
        <v>0</v>
      </c>
      <c r="L74" s="112">
        <f t="shared" si="85"/>
        <v>0</v>
      </c>
      <c r="M74" s="112">
        <f t="shared" si="85"/>
        <v>-25568.991171250003</v>
      </c>
      <c r="N74" s="112">
        <f t="shared" si="85"/>
        <v>-25568.991171250003</v>
      </c>
      <c r="O74" s="112">
        <f t="shared" si="85"/>
        <v>-25568.991171250003</v>
      </c>
    </row>
    <row r="75" spans="2:15" ht="9" customHeight="1">
      <c r="B75" s="108" t="s">
        <v>162</v>
      </c>
      <c r="C75" s="855"/>
      <c r="D75" s="115">
        <f>INDEX(cockpit!$J$6:$Y$16,MATCH($D61,cockpit!$J$6:$J$16,0),MATCH($B75,cockpit!$J$6:$Y$6,0))</f>
        <v>1</v>
      </c>
      <c r="E75" s="113">
        <f t="shared" ref="E75:O75" si="86">-E67*$D75</f>
        <v>0</v>
      </c>
      <c r="F75" s="113">
        <f t="shared" si="86"/>
        <v>0</v>
      </c>
      <c r="G75" s="113">
        <f t="shared" si="86"/>
        <v>0</v>
      </c>
      <c r="H75" s="113">
        <f t="shared" si="86"/>
        <v>0</v>
      </c>
      <c r="I75" s="113">
        <f t="shared" si="86"/>
        <v>0</v>
      </c>
      <c r="J75" s="113">
        <f t="shared" si="86"/>
        <v>0</v>
      </c>
      <c r="K75" s="113">
        <f t="shared" si="86"/>
        <v>0</v>
      </c>
      <c r="L75" s="113">
        <f t="shared" si="86"/>
        <v>0</v>
      </c>
      <c r="M75" s="113">
        <f t="shared" si="86"/>
        <v>-153413.94702750002</v>
      </c>
      <c r="N75" s="113">
        <f t="shared" si="86"/>
        <v>-306827.89405500004</v>
      </c>
      <c r="O75" s="113">
        <f t="shared" si="86"/>
        <v>-460241.84108250006</v>
      </c>
    </row>
    <row r="76" spans="2:15" ht="9" customHeight="1">
      <c r="B76" s="114" t="s">
        <v>195</v>
      </c>
      <c r="C76" s="855"/>
      <c r="D76" s="115"/>
      <c r="E76" s="112">
        <f>SUM(E74:E75)</f>
        <v>0</v>
      </c>
      <c r="F76" s="112">
        <f t="shared" ref="F76:O76" si="87">SUM(F74:F75)</f>
        <v>0</v>
      </c>
      <c r="G76" s="112">
        <f t="shared" si="87"/>
        <v>0</v>
      </c>
      <c r="H76" s="112">
        <f t="shared" si="87"/>
        <v>0</v>
      </c>
      <c r="I76" s="112">
        <f t="shared" si="87"/>
        <v>0</v>
      </c>
      <c r="J76" s="112">
        <f t="shared" si="87"/>
        <v>0</v>
      </c>
      <c r="K76" s="112">
        <f t="shared" si="87"/>
        <v>0</v>
      </c>
      <c r="L76" s="112">
        <f t="shared" si="87"/>
        <v>0</v>
      </c>
      <c r="M76" s="112">
        <f t="shared" si="87"/>
        <v>-178982.93819875002</v>
      </c>
      <c r="N76" s="112">
        <f t="shared" si="87"/>
        <v>-332396.88522625004</v>
      </c>
      <c r="O76" s="112">
        <f t="shared" si="87"/>
        <v>-485810.83225375006</v>
      </c>
    </row>
    <row r="77" spans="2:15" ht="9" customHeight="1">
      <c r="B77" s="108"/>
      <c r="C77" s="855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</row>
    <row r="78" spans="2:15" ht="9" customHeight="1">
      <c r="B78" s="108" t="s">
        <v>688</v>
      </c>
      <c r="C78" s="855"/>
      <c r="D78" s="111">
        <f>INDEX(cockpit!$J$6:$Y$16,MATCH($D61,cockpit!$J$6:$J$16,0),MATCH($B78,cockpit!$J$6:$Y$6,0))</f>
        <v>50</v>
      </c>
      <c r="E78" s="112">
        <f t="shared" ref="E78:O78" si="88">-(IF(E79&lt;0,SUM($E66:$O66)*$D78*(1+Inflation)^(E$2-1)*(1+Developerfee)))/constructiontimephase3</f>
        <v>0</v>
      </c>
      <c r="F78" s="112">
        <f t="shared" si="88"/>
        <v>0</v>
      </c>
      <c r="G78" s="112">
        <f t="shared" si="88"/>
        <v>0</v>
      </c>
      <c r="H78" s="112">
        <f t="shared" si="88"/>
        <v>0</v>
      </c>
      <c r="I78" s="112">
        <f t="shared" si="88"/>
        <v>0</v>
      </c>
      <c r="J78" s="112">
        <f t="shared" si="88"/>
        <v>0</v>
      </c>
      <c r="K78" s="112">
        <f t="shared" si="88"/>
        <v>-13084712.675391795</v>
      </c>
      <c r="L78" s="112">
        <f t="shared" si="88"/>
        <v>-13346406.928899633</v>
      </c>
      <c r="M78" s="112">
        <f t="shared" si="88"/>
        <v>0</v>
      </c>
      <c r="N78" s="112">
        <f t="shared" si="88"/>
        <v>0</v>
      </c>
      <c r="O78" s="112">
        <f t="shared" si="88"/>
        <v>0</v>
      </c>
    </row>
    <row r="79" spans="2:15" ht="9" customHeight="1">
      <c r="B79" s="108" t="s">
        <v>170</v>
      </c>
      <c r="C79" s="855"/>
      <c r="D79" s="111">
        <f>(OfficeconstructionratePSF*(1-$K60))+((OfficeconstructionratePSF*(1+premiumprices)*$K60))</f>
        <v>135</v>
      </c>
      <c r="E79" s="112">
        <f>-IF(OR(E$2=$H60,E$2=$H61,AND(E$2&gt;$H60,E$2&lt;$H61)),(INDEX(summary!$A$2:$D$24,MATCH($D61,summary!$A$2:$A$24,0),MATCH($D60,summary!$A$2:$D$2,0)))/constructiontimephase3)*($D79*((1+Inflation)^(E$2-1)))*(1+Developerfee)</f>
        <v>0</v>
      </c>
      <c r="F79" s="112">
        <f>-IF(OR(F$2=$H60,F$2=$H61,AND(F$2&gt;$H60,F$2&lt;$H61)),(INDEX(summary!$A$2:$D$24,MATCH($D61,summary!$A$2:$A$24,0),MATCH($D60,summary!$A$2:$D$2,0)))/constructiontimephase3)*($D79*((1+Inflation)^(F$2-1)))*(1+Developerfee)</f>
        <v>0</v>
      </c>
      <c r="G79" s="112">
        <f>-IF(OR(G$2=$H60,G$2=$H61,AND(G$2&gt;$H60,G$2&lt;$H61)),(INDEX(summary!$A$2:$D$24,MATCH($D61,summary!$A$2:$A$24,0),MATCH($D60,summary!$A$2:$D$2,0)))/constructiontimephase3)*($D79*((1+Inflation)^(G$2-1)))*(1+Developerfee)</f>
        <v>0</v>
      </c>
      <c r="H79" s="112">
        <f>-IF(OR(H$2=$H60,H$2=$H61,AND(H$2&gt;$H60,H$2&lt;$H61)),(INDEX(summary!$A$2:$D$24,MATCH($D61,summary!$A$2:$A$24,0),MATCH($D60,summary!$A$2:$D$2,0)))/constructiontimephase3)*($D79*((1+Inflation)^(H$2-1)))*(1+Developerfee)</f>
        <v>0</v>
      </c>
      <c r="I79" s="112">
        <f>-IF(OR(I$2=$H60,I$2=$H61,AND(I$2&gt;$H60,I$2&lt;$H61)),(INDEX(summary!$A$2:$D$24,MATCH($D61,summary!$A$2:$A$24,0),MATCH($D60,summary!$A$2:$D$2,0)))/constructiontimephase3)*($D79*((1+Inflation)^(I$2-1)))*(1+Developerfee)</f>
        <v>0</v>
      </c>
      <c r="J79" s="112">
        <f>-IF(OR(J$2=$H60,J$2=$H61,AND(J$2&gt;$H60,J$2&lt;$H61)),(INDEX(summary!$A$2:$D$24,MATCH($D61,summary!$A$2:$A$24,0),MATCH($D60,summary!$A$2:$D$2,0)))/constructiontimephase3)*($D79*((1+Inflation)^(J$2-1)))*(1+Developerfee)</f>
        <v>0</v>
      </c>
      <c r="K79" s="112">
        <f>-IF(OR(K$2=$H60,K$2=$H61,AND(K$2&gt;$H60,K$2&lt;$H61)),(INDEX(summary!$A$2:$D$24,MATCH($D61,summary!$A$2:$A$24,0),MATCH($D60,summary!$A$2:$D$2,0)))/constructiontimephase3)*($D79*((1+Inflation)^(K$2-1)))*(1+Developerfee)</f>
        <v>-39254138.026175387</v>
      </c>
      <c r="L79" s="112">
        <f>-IF(OR(L$2=$H60,L$2=$H61,AND(L$2&gt;$H60,L$2&lt;$H61)),(INDEX(summary!$A$2:$D$24,MATCH($D61,summary!$A$2:$A$24,0),MATCH($D60,summary!$A$2:$D$2,0)))/constructiontimephase3)*($D79*((1+Inflation)^(L$2-1)))*(1+Developerfee)</f>
        <v>-40039220.786698908</v>
      </c>
      <c r="M79" s="112">
        <f>-IF(OR(M$2=$H60,M$2=$H61,AND(M$2&gt;$H60,M$2&lt;$H61)),(INDEX(summary!$A$2:$D$24,MATCH($D61,summary!$A$2:$A$24,0),MATCH($D60,summary!$A$2:$D$2,0)))/constructiontimephase3)*($D79*((1+Inflation)^(M$2-1)))*(1+Developerfee)</f>
        <v>0</v>
      </c>
      <c r="N79" s="112">
        <f>-IF(OR(N$2=$H60,N$2=$H61,AND(N$2&gt;$H60,N$2&lt;$H61)),(INDEX(summary!$A$2:$D$24,MATCH($D61,summary!$A$2:$A$24,0),MATCH($D60,summary!$A$2:$D$2,0)))/constructiontimephase3)*($D79*((1+Inflation)^(N$2-1)))*(1+Developerfee)</f>
        <v>0</v>
      </c>
      <c r="O79" s="112">
        <f>-IF(OR(O$2=$H60,O$2=$H61,AND(O$2&gt;$H60,O$2&lt;$H61)),(INDEX(summary!$A$2:$D$24,MATCH($D61,summary!$A$2:$A$24,0),MATCH($D60,summary!$A$2:$D$2,0)))/constructiontimephase3)*($D79*((1+Inflation)^(O$2-1)))*(1+Developerfee)</f>
        <v>0</v>
      </c>
    </row>
    <row r="80" spans="2:15" ht="9" customHeight="1">
      <c r="B80" s="108" t="s">
        <v>197</v>
      </c>
      <c r="C80" s="855" t="s">
        <v>189</v>
      </c>
      <c r="D80" s="122">
        <f>(INDEX(cockpit!$J$6:$Y$16,MATCH($D61,cockpit!$J$6:$J$16,0),MATCH($C80,cockpit!$J$6:$Y$6,0))*(1-$K60))+((INDEX(cockpit!$J$6:$Y$16,MATCH($D61,cockpit!$J$6:$J$16,0),MATCH($C80,cockpit!$J$6:$Y$6,0))-(Premiumexitcaprate))*$K60)</f>
        <v>7.4999999999999997E-2</v>
      </c>
      <c r="E80" s="113">
        <f t="shared" ref="E80:O80" si="89">IF(E$2=dispositionyear,E72/$D80,0)*(1-Closingcosts)</f>
        <v>0</v>
      </c>
      <c r="F80" s="113">
        <f t="shared" si="89"/>
        <v>0</v>
      </c>
      <c r="G80" s="113">
        <f t="shared" si="89"/>
        <v>0</v>
      </c>
      <c r="H80" s="113">
        <f t="shared" si="89"/>
        <v>0</v>
      </c>
      <c r="I80" s="113">
        <f t="shared" si="89"/>
        <v>0</v>
      </c>
      <c r="J80" s="113">
        <f t="shared" si="89"/>
        <v>0</v>
      </c>
      <c r="K80" s="113">
        <f t="shared" si="89"/>
        <v>0</v>
      </c>
      <c r="L80" s="113">
        <f t="shared" si="89"/>
        <v>0</v>
      </c>
      <c r="M80" s="113">
        <f t="shared" si="89"/>
        <v>0</v>
      </c>
      <c r="N80" s="113">
        <f t="shared" si="89"/>
        <v>0</v>
      </c>
      <c r="O80" s="113">
        <f t="shared" si="89"/>
        <v>170815370.36785072</v>
      </c>
    </row>
    <row r="81" spans="2:15" ht="9" customHeight="1">
      <c r="B81" s="114" t="s">
        <v>196</v>
      </c>
      <c r="C81" s="855"/>
      <c r="D81" s="110"/>
      <c r="E81" s="112">
        <f>SUM(E78:E80)</f>
        <v>0</v>
      </c>
      <c r="F81" s="112">
        <f t="shared" ref="F81:O81" si="90">SUM(F78:F80)</f>
        <v>0</v>
      </c>
      <c r="G81" s="112">
        <f t="shared" si="90"/>
        <v>0</v>
      </c>
      <c r="H81" s="112">
        <f t="shared" si="90"/>
        <v>0</v>
      </c>
      <c r="I81" s="112">
        <f t="shared" si="90"/>
        <v>0</v>
      </c>
      <c r="J81" s="112">
        <f t="shared" si="90"/>
        <v>0</v>
      </c>
      <c r="K81" s="112">
        <f t="shared" si="90"/>
        <v>-52338850.70156718</v>
      </c>
      <c r="L81" s="112">
        <f t="shared" si="90"/>
        <v>-53385627.715598539</v>
      </c>
      <c r="M81" s="112">
        <f t="shared" si="90"/>
        <v>0</v>
      </c>
      <c r="N81" s="112">
        <f t="shared" si="90"/>
        <v>0</v>
      </c>
      <c r="O81" s="112">
        <f t="shared" si="90"/>
        <v>170815370.36785072</v>
      </c>
    </row>
    <row r="82" spans="2:15" ht="9" customHeight="1">
      <c r="B82" s="108"/>
      <c r="C82" s="855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5" ht="9" customHeight="1">
      <c r="B83" s="114" t="s">
        <v>169</v>
      </c>
      <c r="C83" s="856"/>
      <c r="D83" s="116">
        <f ca="1">IRR(OFFSET(E83,0,0,1,Investmenthorizon+1))</f>
        <v>0.18324657931985566</v>
      </c>
      <c r="E83" s="117">
        <f>SUM(E72,E76,E81)</f>
        <v>0</v>
      </c>
      <c r="F83" s="117">
        <f t="shared" ref="F83:O83" si="91">SUM(F72,F76,F81)</f>
        <v>0</v>
      </c>
      <c r="G83" s="117">
        <f t="shared" si="91"/>
        <v>0</v>
      </c>
      <c r="H83" s="117">
        <f t="shared" si="91"/>
        <v>0</v>
      </c>
      <c r="I83" s="117">
        <f t="shared" si="91"/>
        <v>0</v>
      </c>
      <c r="J83" s="117">
        <f t="shared" si="91"/>
        <v>0</v>
      </c>
      <c r="K83" s="117">
        <f t="shared" si="91"/>
        <v>-52338850.70156718</v>
      </c>
      <c r="L83" s="117">
        <f t="shared" si="91"/>
        <v>-53385627.715598539</v>
      </c>
      <c r="M83" s="117">
        <f t="shared" si="91"/>
        <v>114724.39874790784</v>
      </c>
      <c r="N83" s="117">
        <f t="shared" si="91"/>
        <v>6258395.7558567682</v>
      </c>
      <c r="O83" s="117">
        <f t="shared" si="91"/>
        <v>183469203.41004702</v>
      </c>
    </row>
    <row r="84" spans="2:15" ht="9" customHeight="1">
      <c r="B84" s="114"/>
      <c r="C84" s="856"/>
      <c r="D84" s="118"/>
      <c r="E84" s="106"/>
      <c r="F84" s="106"/>
      <c r="G84" s="106"/>
      <c r="H84" s="119"/>
      <c r="I84" s="106"/>
      <c r="J84" s="106"/>
      <c r="K84" s="106"/>
      <c r="L84" s="106"/>
      <c r="M84" s="106"/>
      <c r="N84" s="106"/>
      <c r="O84" s="10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0B82-4481-4D8E-A563-7C107BF6304E}">
  <sheetPr>
    <tabColor theme="9" tint="0.59999389629810485"/>
  </sheetPr>
  <dimension ref="B2:P84"/>
  <sheetViews>
    <sheetView showGridLines="0" topLeftCell="A70" zoomScale="85" zoomScaleNormal="85" workbookViewId="0">
      <selection activeCell="F27" sqref="F26:F27"/>
    </sheetView>
  </sheetViews>
  <sheetFormatPr defaultRowHeight="9" customHeight="1"/>
  <cols>
    <col min="2" max="2" width="24.1796875" bestFit="1" customWidth="1"/>
    <col min="3" max="3" width="1.1796875" style="857" customWidth="1"/>
    <col min="5" max="5" width="9" bestFit="1" customWidth="1"/>
    <col min="6" max="7" width="11.453125" bestFit="1" customWidth="1"/>
    <col min="8" max="8" width="10.36328125" bestFit="1" customWidth="1"/>
    <col min="9" max="14" width="11.08984375" bestFit="1" customWidth="1"/>
    <col min="15" max="15" width="11.7265625" bestFit="1" customWidth="1"/>
  </cols>
  <sheetData>
    <row r="2" spans="2:16" ht="9" customHeight="1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6" ht="9" customHeight="1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6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6" ht="9" customHeight="1">
      <c r="B5" s="126" t="s">
        <v>89</v>
      </c>
      <c r="C5" s="851"/>
      <c r="D5" s="133">
        <f>Phase1</f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f>summary!AF16</f>
        <v>0.70760046757823258</v>
      </c>
      <c r="L5" s="106"/>
      <c r="M5" s="106"/>
      <c r="N5" s="106"/>
      <c r="O5" s="106"/>
    </row>
    <row r="6" spans="2:16" ht="9" customHeight="1">
      <c r="B6" s="126" t="s">
        <v>93</v>
      </c>
      <c r="C6" s="851"/>
      <c r="D6" s="130" t="s">
        <v>141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6" ht="9" customHeight="1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6" ht="9" customHeight="1">
      <c r="B8" s="106"/>
      <c r="C8" s="853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6" ht="9" customHeight="1">
      <c r="B9" s="108" t="s">
        <v>273</v>
      </c>
      <c r="C9" s="853"/>
      <c r="D9" s="106"/>
      <c r="E9" s="200">
        <v>0</v>
      </c>
      <c r="F9" s="200">
        <v>0</v>
      </c>
      <c r="G9" s="200">
        <v>0</v>
      </c>
      <c r="H9" s="200">
        <v>0</v>
      </c>
      <c r="I9" s="204">
        <f>'acq-demo-repur'!G9</f>
        <v>18007</v>
      </c>
      <c r="J9" s="109">
        <f t="shared" ref="J9:O9" si="0">I9</f>
        <v>18007</v>
      </c>
      <c r="K9" s="109">
        <f t="shared" si="0"/>
        <v>18007</v>
      </c>
      <c r="L9" s="109">
        <f t="shared" si="0"/>
        <v>18007</v>
      </c>
      <c r="M9" s="109">
        <f t="shared" si="0"/>
        <v>18007</v>
      </c>
      <c r="N9" s="109">
        <f t="shared" si="0"/>
        <v>18007</v>
      </c>
      <c r="O9" s="109">
        <f t="shared" si="0"/>
        <v>18007</v>
      </c>
    </row>
    <row r="10" spans="2:16" ht="9" customHeight="1">
      <c r="B10" s="108" t="s">
        <v>182</v>
      </c>
      <c r="C10" s="854"/>
      <c r="D10" s="106"/>
      <c r="E10" s="109">
        <f>IF(OR(E$2=$H7,E$2&gt;$H7),INDEX(summary!$A$2:$D$24,MATCH($D6,summary!$A$2:$A$24,0),MATCH($D5,summary!$A$2:$D$2,0)),0)</f>
        <v>0</v>
      </c>
      <c r="F10" s="109">
        <f>IF(OR(F$2=$H7,F$2&gt;$H7),INDEX(summary!$A$2:$D$24,MATCH($D6,summary!$A$2:$A$24,0),MATCH($D5,summary!$A$2:$D$2,0)),0)</f>
        <v>0</v>
      </c>
      <c r="G10" s="109">
        <f>IF(OR(G$2=$H7,G$2&gt;$H7),INDEX(summary!$A$2:$D$24,MATCH($D6,summary!$A$2:$A$24,0),MATCH($D5,summary!$A$2:$D$2,0)),0)</f>
        <v>0</v>
      </c>
      <c r="H10" s="109">
        <f>IF(OR(H$2=$H7,H$2&gt;$H7),INDEX(summary!$A$2:$D$24,MATCH($D6,summary!$A$2:$A$24,0),MATCH($D5,summary!$A$2:$D$2,0)),0)</f>
        <v>0</v>
      </c>
      <c r="I10" s="109">
        <f>IF(OR(I$2=$H7,I$2&gt;$H7),INDEX(summary!$A$2:$D$24,MATCH($D6,summary!$A$2:$A$24,0),MATCH($D5,summary!$A$2:$D$2,0)),0)</f>
        <v>152440.54370000001</v>
      </c>
      <c r="J10" s="109">
        <f>IF(OR(J$2=$H7,J$2&gt;$H7),INDEX(summary!$A$2:$D$24,MATCH($D6,summary!$A$2:$A$24,0),MATCH($D5,summary!$A$2:$D$2,0)),0)</f>
        <v>152440.54370000001</v>
      </c>
      <c r="K10" s="109">
        <f>IF(OR(K$2=$H7,K$2&gt;$H7),INDEX(summary!$A$2:$D$24,MATCH($D6,summary!$A$2:$A$24,0),MATCH($D5,summary!$A$2:$D$2,0)),0)</f>
        <v>152440.54370000001</v>
      </c>
      <c r="L10" s="109">
        <f>IF(OR(L$2=$H7,L$2&gt;$H7),INDEX(summary!$A$2:$D$24,MATCH($D6,summary!$A$2:$A$24,0),MATCH($D5,summary!$A$2:$D$2,0)),0)</f>
        <v>152440.54370000001</v>
      </c>
      <c r="M10" s="109">
        <f>IF(OR(M$2=$H7,M$2&gt;$H7),INDEX(summary!$A$2:$D$24,MATCH($D6,summary!$A$2:$A$24,0),MATCH($D5,summary!$A$2:$D$2,0)),0)</f>
        <v>152440.54370000001</v>
      </c>
      <c r="N10" s="109">
        <f>IF(OR(N$2=$H7,N$2&gt;$H7),INDEX(summary!$A$2:$D$24,MATCH($D6,summary!$A$2:$A$24,0),MATCH($D5,summary!$A$2:$D$2,0)),0)</f>
        <v>152440.54370000001</v>
      </c>
      <c r="O10" s="109">
        <f>IF(OR(O$2=$H7,O$2&gt;$H7),INDEX(summary!$A$2:$D$24,MATCH($D6,summary!$A$2:$A$24,0),MATCH($D5,summary!$A$2:$D$2,0)),0)</f>
        <v>152440.54370000001</v>
      </c>
    </row>
    <row r="11" spans="2:16" ht="9" customHeight="1">
      <c r="B11" s="108" t="s">
        <v>194</v>
      </c>
      <c r="C11" s="855" t="s">
        <v>191</v>
      </c>
      <c r="D11" s="110">
        <f>INDEX(cockpit!$J$6:$Y$16,MATCH($D6,cockpit!$J$6:$J$16,0),MATCH($C$11,cockpit!$J$6:$Y$6,0))</f>
        <v>0</v>
      </c>
      <c r="E11" s="109">
        <f>E10*(1-$D11)</f>
        <v>0</v>
      </c>
      <c r="F11" s="109">
        <f>F10*(1-$D11)</f>
        <v>0</v>
      </c>
      <c r="G11" s="109">
        <f>G10*(1-$D11)</f>
        <v>0</v>
      </c>
      <c r="H11" s="109">
        <f>SUM(H9:H10)*(1-$D11)</f>
        <v>0</v>
      </c>
      <c r="I11" s="109">
        <f t="shared" ref="I11:O11" si="1">SUM(I9:I10)*(1-$D11)</f>
        <v>170447.54370000001</v>
      </c>
      <c r="J11" s="109">
        <f t="shared" si="1"/>
        <v>170447.54370000001</v>
      </c>
      <c r="K11" s="109">
        <f t="shared" si="1"/>
        <v>170447.54370000001</v>
      </c>
      <c r="L11" s="109">
        <f t="shared" si="1"/>
        <v>170447.54370000001</v>
      </c>
      <c r="M11" s="109">
        <f t="shared" si="1"/>
        <v>170447.54370000001</v>
      </c>
      <c r="N11" s="109">
        <f t="shared" si="1"/>
        <v>170447.54370000001</v>
      </c>
      <c r="O11" s="109">
        <f t="shared" si="1"/>
        <v>170447.54370000001</v>
      </c>
      <c r="P11" s="109"/>
    </row>
    <row r="12" spans="2:16" ht="9" customHeight="1">
      <c r="B12" s="108" t="s">
        <v>180</v>
      </c>
      <c r="C12" s="855" t="s">
        <v>152</v>
      </c>
      <c r="D12" s="122">
        <f>Retailrampup</f>
        <v>0.47499999999999998</v>
      </c>
      <c r="E12" s="109">
        <f>IF(OR(E$2=$H7,AND(E$2&gt;$H7,E$2&lt;(SUM($H7,INDEX(cockpit!$J$6:$Y$16,MATCH($D6,cockpit!$J$6:$J$16,0),MATCH($C$12,cockpit!$J$6:$Y$6,0)))))),E11*$D12,0)</f>
        <v>0</v>
      </c>
      <c r="F12" s="109">
        <f>IF(OR(F$2=$H7,AND(F$2&gt;$H7,F$2&lt;(SUM($H7,INDEX(cockpit!$J$6:$Y$16,MATCH($D6,cockpit!$J$6:$J$16,0),MATCH($C$12,cockpit!$J$6:$Y$6,0)))))),F11*$D12,0)</f>
        <v>0</v>
      </c>
      <c r="G12" s="109">
        <f>IF(OR(G$2=$H7,AND(G$2&gt;$H7,G$2&lt;(SUM($H7,INDEX(cockpit!$J$6:$Y$16,MATCH($D6,cockpit!$J$6:$J$16,0),MATCH($C$12,cockpit!$J$6:$Y$6,0)))))),G11*$D12,0)</f>
        <v>0</v>
      </c>
      <c r="H12" s="109">
        <f>IF(OR(H$2=$H7,AND(H$2&gt;$H7,H$2&lt;(SUM($H7,INDEX(cockpit!$J$6:$Y$16,MATCH($D6,cockpit!$J$6:$J$16,0),MATCH($C$12,cockpit!$J$6:$Y$6,0)))))),H11*$D12,0)</f>
        <v>0</v>
      </c>
      <c r="I12" s="109">
        <f>IF(OR(I$2=$H7,AND(I$2&gt;$H7,I$2&lt;(SUM($H7,INDEX(cockpit!$J$6:$Y$16,MATCH($D6,cockpit!$J$6:$J$16,0),MATCH($C$12,cockpit!$J$6:$Y$6,0)))))),I11*$D12,0)</f>
        <v>80962.583257499995</v>
      </c>
      <c r="J12" s="109">
        <f>IF(OR(J$2=$H7,AND(J$2&gt;$H7,J$2&lt;(SUM($H7,INDEX(cockpit!$J$6:$Y$16,MATCH($D6,cockpit!$J$6:$J$16,0),MATCH($C$12,cockpit!$J$6:$Y$6,0)))))),J11*$D12,0)</f>
        <v>80962.583257499995</v>
      </c>
      <c r="K12" s="109">
        <f>IF(OR(K$2=$H7,AND(K$2&gt;$H7,K$2&lt;(SUM($H7,INDEX(cockpit!$J$6:$Y$16,MATCH($D6,cockpit!$J$6:$J$16,0),MATCH($C$12,cockpit!$J$6:$Y$6,0)))))),K11*$D12,0)</f>
        <v>0</v>
      </c>
      <c r="L12" s="109">
        <f>IF(OR(L$2=$H7,AND(L$2&gt;$H7,L$2&lt;(SUM($H7,INDEX(cockpit!$J$6:$Y$16,MATCH($D6,cockpit!$J$6:$J$16,0),MATCH($C$12,cockpit!$J$6:$Y$6,0)))))),L11*$D12,0)</f>
        <v>0</v>
      </c>
      <c r="M12" s="109">
        <f>IF(OR(M$2=$H7,AND(M$2&gt;$H7,M$2&lt;(SUM($H7,INDEX(cockpit!$J$6:$Y$16,MATCH($D6,cockpit!$J$6:$J$16,0),MATCH($C$12,cockpit!$J$6:$Y$6,0)))))),M11*$D12,0)</f>
        <v>0</v>
      </c>
      <c r="N12" s="109">
        <f>IF(OR(N$2=$H7,AND(N$2&gt;$H7,N$2&lt;(SUM($H7,INDEX(cockpit!$J$6:$Y$16,MATCH($D6,cockpit!$J$6:$J$16,0),MATCH($C$12,cockpit!$J$6:$Y$6,0)))))),N11*$D12,0)</f>
        <v>0</v>
      </c>
      <c r="O12" s="109">
        <f>IF(OR(O$2=$H7,AND(O$2&gt;$H7,O$2&lt;(SUM($H7,INDEX(cockpit!$J$6:$Y$16,MATCH($D6,cockpit!$J$6:$J$16,0),MATCH($C$12,cockpit!$J$6:$Y$6,0)))))),O11*$D12,0)</f>
        <v>0</v>
      </c>
    </row>
    <row r="13" spans="2:16" ht="9" customHeight="1">
      <c r="B13" s="108" t="s">
        <v>181</v>
      </c>
      <c r="C13" s="855"/>
      <c r="D13" s="106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80962.583257499995</v>
      </c>
      <c r="J13" s="109">
        <f>SUM($E12:J12)</f>
        <v>161925.16651499999</v>
      </c>
      <c r="K13" s="109">
        <f>SUM($E12:K12)</f>
        <v>161925.16651499999</v>
      </c>
      <c r="L13" s="109">
        <f>SUM($E12:L12)</f>
        <v>161925.16651499999</v>
      </c>
      <c r="M13" s="109">
        <f>SUM($E12:M12)</f>
        <v>161925.16651499999</v>
      </c>
      <c r="N13" s="109">
        <f>SUM($E12:N12)</f>
        <v>161925.16651499999</v>
      </c>
      <c r="O13" s="109">
        <f>SUM($E12:O12)</f>
        <v>161925.16651499999</v>
      </c>
    </row>
    <row r="14" spans="2:16" ht="9" customHeight="1">
      <c r="B14" s="106"/>
      <c r="C14" s="855"/>
      <c r="D14" s="106"/>
      <c r="E14" s="362">
        <f t="shared" ref="E14:G14" si="2">IFERROR(1-(E13/E11),0)</f>
        <v>0</v>
      </c>
      <c r="F14" s="362">
        <f t="shared" si="2"/>
        <v>0</v>
      </c>
      <c r="G14" s="362">
        <f t="shared" si="2"/>
        <v>0</v>
      </c>
      <c r="H14" s="362">
        <f>IFERROR(1-(H13/H11),0)</f>
        <v>0</v>
      </c>
      <c r="I14" s="362">
        <f t="shared" ref="I14" si="3">IFERROR(1-(I13/I11),0)</f>
        <v>0.52500000000000013</v>
      </c>
      <c r="J14" s="362">
        <f t="shared" ref="J14" si="4">IFERROR(1-(J13/J11),0)</f>
        <v>5.0000000000000155E-2</v>
      </c>
      <c r="K14" s="362">
        <f t="shared" ref="K14:L14" si="5">IFERROR(1-(K13/K11),0)</f>
        <v>5.0000000000000155E-2</v>
      </c>
      <c r="L14" s="362">
        <f t="shared" si="5"/>
        <v>5.0000000000000155E-2</v>
      </c>
      <c r="M14" s="362">
        <f t="shared" ref="M14" si="6">IFERROR(1-(M13/M11),0)</f>
        <v>5.0000000000000155E-2</v>
      </c>
      <c r="N14" s="362">
        <f t="shared" ref="N14" si="7">IFERROR(1-(N13/N11),0)</f>
        <v>5.0000000000000155E-2</v>
      </c>
      <c r="O14" s="362">
        <f t="shared" ref="O14" si="8">IFERROR(1-(O13/O11),0)</f>
        <v>5.0000000000000155E-2</v>
      </c>
    </row>
    <row r="15" spans="2:16" ht="9" customHeight="1">
      <c r="B15" s="108" t="s">
        <v>166</v>
      </c>
      <c r="C15" s="855"/>
      <c r="D15" s="111">
        <f>(RetailrentalratePSF*(1-$K5))+((RetailrentalratePSF*(1+premiumprices)*$K5))</f>
        <v>34.908579922065421</v>
      </c>
      <c r="E15" s="112">
        <f t="shared" ref="E15:O15" si="9">E13*($D15*((1+Inflation)^(E$2-1)))</f>
        <v>0</v>
      </c>
      <c r="F15" s="112">
        <f t="shared" si="9"/>
        <v>0</v>
      </c>
      <c r="G15" s="112">
        <f t="shared" si="9"/>
        <v>0</v>
      </c>
      <c r="H15" s="112">
        <f t="shared" si="9"/>
        <v>0</v>
      </c>
      <c r="I15" s="112">
        <f t="shared" si="9"/>
        <v>2999280.2937222691</v>
      </c>
      <c r="J15" s="112">
        <f t="shared" si="9"/>
        <v>6118531.7991934298</v>
      </c>
      <c r="K15" s="112">
        <f t="shared" si="9"/>
        <v>6240902.4351772983</v>
      </c>
      <c r="L15" s="112">
        <f t="shared" si="9"/>
        <v>6365720.4838808449</v>
      </c>
      <c r="M15" s="112">
        <f t="shared" si="9"/>
        <v>6493034.8935584594</v>
      </c>
      <c r="N15" s="112">
        <f t="shared" si="9"/>
        <v>6622895.5914296294</v>
      </c>
      <c r="O15" s="112">
        <f t="shared" si="9"/>
        <v>6755353.5032582227</v>
      </c>
    </row>
    <row r="16" spans="2:16" ht="9" customHeight="1">
      <c r="B16" s="108" t="s">
        <v>216</v>
      </c>
      <c r="C16" s="855"/>
      <c r="D16" s="111">
        <f>IF(INDEX(cockpit!$J$6:$Y$16,MATCH($D6,cockpit!$J$6:$J$16,0),MATCH($B16,cockpit!$J$6:$Y$6,0))="Y",D17,0)</f>
        <v>11</v>
      </c>
      <c r="E16" s="112">
        <f t="shared" ref="E16" si="10">-IF($D16&gt;0,E17,0)*(1-E14)</f>
        <v>0</v>
      </c>
      <c r="F16" s="112">
        <f t="shared" ref="F16" si="11">-IF($D16&gt;0,F17,0)*(1-F14)</f>
        <v>0</v>
      </c>
      <c r="G16" s="112">
        <f t="shared" ref="G16" si="12">-IF($D16&gt;0,G17,0)*(1-G14)</f>
        <v>0</v>
      </c>
      <c r="H16" s="112">
        <f t="shared" ref="H16" si="13">-IF($D16&gt;0,H17,0)*(1-H14)</f>
        <v>0</v>
      </c>
      <c r="I16" s="112">
        <f t="shared" ref="I16" si="14">-IF($D16&gt;0,I17,0)*(1-I14)</f>
        <v>845254.12550617545</v>
      </c>
      <c r="J16" s="112">
        <f t="shared" ref="J16" si="15">-IF($D16&gt;0,J17,0)*(1-J14)</f>
        <v>1724318.4160325981</v>
      </c>
      <c r="K16" s="112">
        <f t="shared" ref="K16" si="16">-IF($D16&gt;0,K17,0)*(1-K14)</f>
        <v>1758804.7843532502</v>
      </c>
      <c r="L16" s="112">
        <f t="shared" ref="L16" si="17">-IF($D16&gt;0,L17,0)*(1-L14)</f>
        <v>1793980.8800403152</v>
      </c>
      <c r="M16" s="112">
        <f t="shared" ref="M16" si="18">-IF($D16&gt;0,M17,0)*(1-M14)</f>
        <v>1829860.4976411213</v>
      </c>
      <c r="N16" s="112">
        <f t="shared" ref="N16" si="19">-IF($D16&gt;0,N17,0)*(1-N14)</f>
        <v>1866457.7075939437</v>
      </c>
      <c r="O16" s="112">
        <f t="shared" ref="O16" si="20">-IF($D16&gt;0,O17,0)*(1-O14)</f>
        <v>1903786.8617458225</v>
      </c>
    </row>
    <row r="17" spans="2:15" ht="9" customHeight="1">
      <c r="B17" s="108" t="s">
        <v>123</v>
      </c>
      <c r="C17" s="855"/>
      <c r="D17" s="111">
        <f>INDEX(cockpit!$J$6:$Y$16,MATCH($D6,cockpit!$J$6:$J$16,0),MATCH($B17,cockpit!$J$6:$Y$6,0))</f>
        <v>11</v>
      </c>
      <c r="E17" s="113">
        <f t="shared" ref="E17:O17" si="21">-IF($D17&gt;1,E10*($D17*((1+Inflation)^(E$2-1))),E15*(1-$D17))</f>
        <v>0</v>
      </c>
      <c r="F17" s="113">
        <f t="shared" si="21"/>
        <v>0</v>
      </c>
      <c r="G17" s="113">
        <f t="shared" si="21"/>
        <v>0</v>
      </c>
      <c r="H17" s="113">
        <f t="shared" si="21"/>
        <v>0</v>
      </c>
      <c r="I17" s="113">
        <f t="shared" si="21"/>
        <v>-1779482.3694866856</v>
      </c>
      <c r="J17" s="113">
        <f t="shared" si="21"/>
        <v>-1815072.0168764193</v>
      </c>
      <c r="K17" s="113">
        <f t="shared" si="21"/>
        <v>-1851373.4572139478</v>
      </c>
      <c r="L17" s="113">
        <f t="shared" si="21"/>
        <v>-1888400.9263582269</v>
      </c>
      <c r="M17" s="113">
        <f t="shared" si="21"/>
        <v>-1926168.944885391</v>
      </c>
      <c r="N17" s="113">
        <f t="shared" si="21"/>
        <v>-1964692.323783099</v>
      </c>
      <c r="O17" s="113">
        <f t="shared" si="21"/>
        <v>-2003986.1702587609</v>
      </c>
    </row>
    <row r="18" spans="2:15" ht="9" customHeight="1">
      <c r="B18" s="114" t="s">
        <v>167</v>
      </c>
      <c r="C18" s="855"/>
      <c r="D18" s="106"/>
      <c r="E18" s="112">
        <f>SUM(E15:E17)</f>
        <v>0</v>
      </c>
      <c r="F18" s="112">
        <f t="shared" ref="F18:O18" si="22">SUM(F15:F17)</f>
        <v>0</v>
      </c>
      <c r="G18" s="112">
        <f t="shared" si="22"/>
        <v>0</v>
      </c>
      <c r="H18" s="112">
        <f t="shared" si="22"/>
        <v>0</v>
      </c>
      <c r="I18" s="112">
        <f t="shared" si="22"/>
        <v>2065052.0497417592</v>
      </c>
      <c r="J18" s="112">
        <f t="shared" si="22"/>
        <v>6027778.198349609</v>
      </c>
      <c r="K18" s="112">
        <f t="shared" si="22"/>
        <v>6148333.7623166014</v>
      </c>
      <c r="L18" s="112">
        <f t="shared" si="22"/>
        <v>6271300.4375629332</v>
      </c>
      <c r="M18" s="112">
        <f t="shared" si="22"/>
        <v>6396726.4463141896</v>
      </c>
      <c r="N18" s="112">
        <f t="shared" si="22"/>
        <v>6524660.9752404736</v>
      </c>
      <c r="O18" s="112">
        <f t="shared" si="22"/>
        <v>6655154.1947452854</v>
      </c>
    </row>
    <row r="19" spans="2:15" ht="9" customHeight="1">
      <c r="B19" s="106"/>
      <c r="C19" s="855"/>
      <c r="D19" s="106"/>
      <c r="E19" s="187">
        <f>IFERROR(E18/SUM(E15:E16),0)</f>
        <v>0</v>
      </c>
      <c r="F19" s="187">
        <f t="shared" ref="F19:O19" si="23">IFERROR(F18/SUM(F15:F16),0)</f>
        <v>0</v>
      </c>
      <c r="G19" s="187">
        <f t="shared" si="23"/>
        <v>0</v>
      </c>
      <c r="H19" s="187">
        <f t="shared" si="23"/>
        <v>0</v>
      </c>
      <c r="I19" s="187">
        <f t="shared" si="23"/>
        <v>0.53713969613938117</v>
      </c>
      <c r="J19" s="187">
        <f t="shared" si="23"/>
        <v>0.76856984806969064</v>
      </c>
      <c r="K19" s="187">
        <f t="shared" si="23"/>
        <v>0.76856984806969064</v>
      </c>
      <c r="L19" s="187">
        <f t="shared" si="23"/>
        <v>0.76856984806969064</v>
      </c>
      <c r="M19" s="187">
        <f t="shared" si="23"/>
        <v>0.76856984806969064</v>
      </c>
      <c r="N19" s="187">
        <f t="shared" si="23"/>
        <v>0.76856984806969064</v>
      </c>
      <c r="O19" s="187">
        <f t="shared" si="23"/>
        <v>0.76856984806969064</v>
      </c>
    </row>
    <row r="20" spans="2:15" ht="9" customHeight="1">
      <c r="B20" s="108" t="s">
        <v>168</v>
      </c>
      <c r="C20" s="855"/>
      <c r="D20" s="115">
        <f>INDEX(cockpit!$J$6:$Y$16,MATCH($D6,cockpit!$J$6:$J$16,0),MATCH($B20,cockpit!$J$6:$Y$6,0))</f>
        <v>0.05</v>
      </c>
      <c r="E20" s="112">
        <f>-E11*$D20</f>
        <v>0</v>
      </c>
      <c r="F20" s="112">
        <f t="shared" ref="F20:O20" si="24">-F11*$D20</f>
        <v>0</v>
      </c>
      <c r="G20" s="112">
        <f t="shared" si="24"/>
        <v>0</v>
      </c>
      <c r="H20" s="112">
        <f t="shared" si="24"/>
        <v>0</v>
      </c>
      <c r="I20" s="112">
        <f t="shared" si="24"/>
        <v>-8522.3771850000012</v>
      </c>
      <c r="J20" s="112">
        <f t="shared" si="24"/>
        <v>-8522.3771850000012</v>
      </c>
      <c r="K20" s="112">
        <f t="shared" si="24"/>
        <v>-8522.3771850000012</v>
      </c>
      <c r="L20" s="112">
        <f t="shared" si="24"/>
        <v>-8522.3771850000012</v>
      </c>
      <c r="M20" s="112">
        <f t="shared" si="24"/>
        <v>-8522.3771850000012</v>
      </c>
      <c r="N20" s="112">
        <f t="shared" si="24"/>
        <v>-8522.3771850000012</v>
      </c>
      <c r="O20" s="112">
        <f t="shared" si="24"/>
        <v>-8522.3771850000012</v>
      </c>
    </row>
    <row r="21" spans="2:15" ht="9" customHeight="1">
      <c r="B21" s="108" t="s">
        <v>162</v>
      </c>
      <c r="C21" s="855"/>
      <c r="D21" s="115">
        <f>INDEX(cockpit!$J$6:$Y$16,MATCH($D6,cockpit!$J$6:$J$16,0),MATCH($B21,cockpit!$J$6:$Y$6,0))</f>
        <v>1</v>
      </c>
      <c r="E21" s="113">
        <f>-E13*$D21</f>
        <v>0</v>
      </c>
      <c r="F21" s="113">
        <f t="shared" ref="F21:O21" si="25">-F13*$D21</f>
        <v>0</v>
      </c>
      <c r="G21" s="113">
        <f t="shared" si="25"/>
        <v>0</v>
      </c>
      <c r="H21" s="113">
        <f t="shared" si="25"/>
        <v>0</v>
      </c>
      <c r="I21" s="113">
        <f t="shared" si="25"/>
        <v>-80962.583257499995</v>
      </c>
      <c r="J21" s="113">
        <f t="shared" si="25"/>
        <v>-161925.16651499999</v>
      </c>
      <c r="K21" s="113">
        <f t="shared" si="25"/>
        <v>-161925.16651499999</v>
      </c>
      <c r="L21" s="113">
        <f t="shared" si="25"/>
        <v>-161925.16651499999</v>
      </c>
      <c r="M21" s="113">
        <f t="shared" si="25"/>
        <v>-161925.16651499999</v>
      </c>
      <c r="N21" s="113">
        <f t="shared" si="25"/>
        <v>-161925.16651499999</v>
      </c>
      <c r="O21" s="113">
        <f t="shared" si="25"/>
        <v>-161925.16651499999</v>
      </c>
    </row>
    <row r="22" spans="2:15" ht="9" customHeight="1">
      <c r="B22" s="114" t="s">
        <v>195</v>
      </c>
      <c r="C22" s="855"/>
      <c r="D22" s="115"/>
      <c r="E22" s="112">
        <f>SUM(E20:E21)</f>
        <v>0</v>
      </c>
      <c r="F22" s="112">
        <f t="shared" ref="F22:O22" si="26">SUM(F20:F21)</f>
        <v>0</v>
      </c>
      <c r="G22" s="112">
        <f t="shared" si="26"/>
        <v>0</v>
      </c>
      <c r="H22" s="112">
        <f t="shared" si="26"/>
        <v>0</v>
      </c>
      <c r="I22" s="112">
        <f t="shared" si="26"/>
        <v>-89484.9604425</v>
      </c>
      <c r="J22" s="112">
        <f t="shared" si="26"/>
        <v>-170447.54369999998</v>
      </c>
      <c r="K22" s="112">
        <f t="shared" si="26"/>
        <v>-170447.54369999998</v>
      </c>
      <c r="L22" s="112">
        <f t="shared" si="26"/>
        <v>-170447.54369999998</v>
      </c>
      <c r="M22" s="112">
        <f t="shared" si="26"/>
        <v>-170447.54369999998</v>
      </c>
      <c r="N22" s="112">
        <f t="shared" si="26"/>
        <v>-170447.54369999998</v>
      </c>
      <c r="O22" s="112">
        <f t="shared" si="26"/>
        <v>-170447.54369999998</v>
      </c>
    </row>
    <row r="23" spans="2:15" ht="9" customHeight="1">
      <c r="B23" s="108"/>
      <c r="C23" s="855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</row>
    <row r="24" spans="2:15" ht="9" customHeight="1">
      <c r="B24" s="108" t="s">
        <v>274</v>
      </c>
      <c r="C24" s="855"/>
      <c r="D24" s="106"/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</row>
    <row r="25" spans="2:15" ht="9" customHeight="1">
      <c r="B25" s="108" t="s">
        <v>277</v>
      </c>
      <c r="C25" s="855"/>
      <c r="D25" s="106"/>
      <c r="E25" s="205">
        <v>0</v>
      </c>
      <c r="F25" s="205">
        <v>0</v>
      </c>
      <c r="G25" s="377">
        <v>0</v>
      </c>
      <c r="H25" s="216">
        <f>-'acq-demo-repur'!U9</f>
        <v>-630245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</row>
    <row r="26" spans="2:15" ht="9" customHeight="1">
      <c r="B26" s="108" t="s">
        <v>688</v>
      </c>
      <c r="C26" s="855"/>
      <c r="D26" s="111">
        <f>INDEX(cockpit!$J$6:$Y$16,MATCH($D6,cockpit!$J$6:$J$16,0),MATCH($B26,cockpit!$J$6:$Y$6,0))</f>
        <v>60</v>
      </c>
      <c r="E26" s="112">
        <f t="shared" ref="E26:O26" si="27">-(IF(E27&lt;0,SUM($E12:$O12)*$D26*(1+Inflation)^(E$2-1)*(1+Developerfee)))/constructiontimephase2</f>
        <v>0</v>
      </c>
      <c r="F26" s="112">
        <f t="shared" si="27"/>
        <v>-5003487.6453134995</v>
      </c>
      <c r="G26" s="112">
        <f t="shared" si="27"/>
        <v>-5103557.3982197698</v>
      </c>
      <c r="H26" s="112">
        <f t="shared" si="27"/>
        <v>-5205628.5461841654</v>
      </c>
      <c r="I26" s="112">
        <f t="shared" si="27"/>
        <v>0</v>
      </c>
      <c r="J26" s="112">
        <f t="shared" si="27"/>
        <v>0</v>
      </c>
      <c r="K26" s="112">
        <f t="shared" si="27"/>
        <v>0</v>
      </c>
      <c r="L26" s="112">
        <f t="shared" si="27"/>
        <v>0</v>
      </c>
      <c r="M26" s="112">
        <f t="shared" si="27"/>
        <v>0</v>
      </c>
      <c r="N26" s="112">
        <f t="shared" si="27"/>
        <v>0</v>
      </c>
      <c r="O26" s="112">
        <f t="shared" si="27"/>
        <v>0</v>
      </c>
    </row>
    <row r="27" spans="2:15" ht="9" customHeight="1">
      <c r="B27" s="108" t="s">
        <v>170</v>
      </c>
      <c r="C27" s="855"/>
      <c r="D27" s="111">
        <f>(RetailconstructioncostPSF*(1-$K5))+((RetailconstructioncostPSF*(1+premiumprices)*$K5))</f>
        <v>158.88151578076534</v>
      </c>
      <c r="E27" s="112">
        <f>-IF(OR(E$2=$H5,E$2=$H6,AND(E$2&gt;$H5,E$2&lt;$H6)),(INDEX(summary!$A$2:$D$24,MATCH($D6,summary!$A$2:$A$24,0),MATCH($D5,summary!$A$2:$D$2,0)))/constructiontimephase1)*($D27*((1+Inflation)^(E$2-1)))*(1+Developerfee)</f>
        <v>0</v>
      </c>
      <c r="F27" s="112">
        <f>-IF(OR(F$2=$H5,F$2=$H6,AND(F$2&gt;$H5,F$2&lt;$H6)),(INDEX(summary!$A$2:$D$24,MATCH($D6,summary!$A$2:$A$24,0),MATCH($D5,summary!$A$2:$D$2,0)))/constructiontimephase1)*($D27*((1+Inflation)^(F$2-1)))*(1+Developerfee)</f>
        <v>-8315528.0629950007</v>
      </c>
      <c r="G27" s="112">
        <f>-IF(OR(G$2=$H5,G$2=$H6,AND(G$2&gt;$H5,G$2&lt;$H6)),(INDEX(summary!$A$2:$D$24,MATCH($D6,summary!$A$2:$A$24,0),MATCH($D5,summary!$A$2:$D$2,0)))/constructiontimephase1)*($D27*((1+Inflation)^(G$2-1)))*(1+Developerfee)</f>
        <v>-8481838.624254901</v>
      </c>
      <c r="H27" s="112">
        <f>-IF(OR(H$2=$H5,H$2=$H6,AND(H$2&gt;$H5,H$2&lt;$H6)),(INDEX(summary!$A$2:$D$24,MATCH($D6,summary!$A$2:$A$24,0),MATCH($D5,summary!$A$2:$D$2,0)))/constructiontimephase1)*($D27*((1+Inflation)^(H$2-1)))*(1+Developerfee)</f>
        <v>-8651475.3967399988</v>
      </c>
      <c r="I27" s="112">
        <f>-IF(OR(I$2=$H5,I$2=$H6,AND(I$2&gt;$H5,I$2&lt;$H6)),(INDEX(summary!$A$2:$D$24,MATCH($D6,summary!$A$2:$A$24,0),MATCH($D5,summary!$A$2:$D$2,0)))/constructiontimephase1)*($D27*((1+Inflation)^(I$2-1)))*(1+Developerfee)</f>
        <v>0</v>
      </c>
      <c r="J27" s="112">
        <f>-IF(OR(J$2=$H5,J$2=$H6,AND(J$2&gt;$H5,J$2&lt;$H6)),(INDEX(summary!$A$2:$D$24,MATCH($D6,summary!$A$2:$A$24,0),MATCH($D5,summary!$A$2:$D$2,0)))/constructiontimephase1)*($D27*((1+Inflation)^(J$2-1)))*(1+Developerfee)</f>
        <v>0</v>
      </c>
      <c r="K27" s="112">
        <f>-IF(OR(K$2=$H5,K$2=$H6,AND(K$2&gt;$H5,K$2&lt;$H6)),(INDEX(summary!$A$2:$D$24,MATCH($D6,summary!$A$2:$A$24,0),MATCH($D5,summary!$A$2:$D$2,0)))/constructiontimephase1)*($D27*((1+Inflation)^(K$2-1)))*(1+Developerfee)</f>
        <v>0</v>
      </c>
      <c r="L27" s="112">
        <f>-IF(OR(L$2=$H5,L$2=$H6,AND(L$2&gt;$H5,L$2&lt;$H6)),(INDEX(summary!$A$2:$D$24,MATCH($D6,summary!$A$2:$A$24,0),MATCH($D5,summary!$A$2:$D$2,0)))/constructiontimephase1)*($D27*((1+Inflation)^(L$2-1)))*(1+Developerfee)</f>
        <v>0</v>
      </c>
      <c r="M27" s="112">
        <f>-IF(OR(M$2=$H5,M$2=$H6,AND(M$2&gt;$H5,M$2&lt;$H6)),(INDEX(summary!$A$2:$D$24,MATCH($D6,summary!$A$2:$A$24,0),MATCH($D5,summary!$A$2:$D$2,0)))/constructiontimephase1)*($D27*((1+Inflation)^(M$2-1)))*(1+Developerfee)</f>
        <v>0</v>
      </c>
      <c r="N27" s="112">
        <f>-IF(OR(N$2=$H5,N$2=$H6,AND(N$2&gt;$H5,N$2&lt;$H6)),(INDEX(summary!$A$2:$D$24,MATCH($D6,summary!$A$2:$A$24,0),MATCH($D5,summary!$A$2:$D$2,0)))/constructiontimephase1)*($D27*((1+Inflation)^(N$2-1)))*(1+Developerfee)</f>
        <v>0</v>
      </c>
      <c r="O27" s="112">
        <f>-IF(OR(O$2=$H5,O$2=$H6,AND(O$2&gt;$H5,O$2&lt;$H6)),(INDEX(summary!$A$2:$D$24,MATCH($D6,summary!$A$2:$A$24,0),MATCH($D5,summary!$A$2:$D$2,0)))/constructiontimephase1)*($D27*((1+Inflation)^(O$2-1)))*(1+Developerfee)</f>
        <v>0</v>
      </c>
    </row>
    <row r="28" spans="2:15" ht="9" customHeight="1">
      <c r="B28" s="108" t="s">
        <v>197</v>
      </c>
      <c r="C28" s="855" t="s">
        <v>189</v>
      </c>
      <c r="D28" s="122">
        <f>(INDEX(cockpit!$J$6:$Y$16,MATCH($D6,cockpit!$J$6:$J$16,0),MATCH($C28,cockpit!$J$6:$Y$6,0))*(1-$K5))+((INDEX(cockpit!$J$6:$Y$16,MATCH($D6,cockpit!$J$6:$J$16,0),MATCH($C28,cockpit!$J$6:$Y$6,0))-(Premiumexitcaprate))*$K5)</f>
        <v>6.9692996493163253E-2</v>
      </c>
      <c r="E28" s="113">
        <f t="shared" ref="E28:O28" si="28">IF(E$2=dispositionyear,E18/$D28,0)*(1-Closingcosts)</f>
        <v>0</v>
      </c>
      <c r="F28" s="113">
        <f t="shared" si="28"/>
        <v>0</v>
      </c>
      <c r="G28" s="113">
        <f t="shared" si="28"/>
        <v>0</v>
      </c>
      <c r="H28" s="113">
        <f t="shared" si="28"/>
        <v>0</v>
      </c>
      <c r="I28" s="113">
        <f t="shared" si="28"/>
        <v>0</v>
      </c>
      <c r="J28" s="113">
        <f t="shared" si="28"/>
        <v>0</v>
      </c>
      <c r="K28" s="113">
        <f t="shared" si="28"/>
        <v>0</v>
      </c>
      <c r="L28" s="113">
        <f t="shared" si="28"/>
        <v>0</v>
      </c>
      <c r="M28" s="113">
        <f t="shared" si="28"/>
        <v>0</v>
      </c>
      <c r="N28" s="113">
        <f t="shared" si="28"/>
        <v>0</v>
      </c>
      <c r="O28" s="113">
        <f t="shared" si="28"/>
        <v>93105127.722743124</v>
      </c>
    </row>
    <row r="29" spans="2:15" ht="9" customHeight="1">
      <c r="B29" s="114" t="s">
        <v>196</v>
      </c>
      <c r="C29" s="855"/>
      <c r="D29" s="110"/>
      <c r="E29" s="112">
        <f>SUM(E24:E28)</f>
        <v>0</v>
      </c>
      <c r="F29" s="112">
        <f t="shared" ref="F29:O29" si="29">SUM(F24:F28)</f>
        <v>-13319015.708308499</v>
      </c>
      <c r="G29" s="112">
        <f t="shared" si="29"/>
        <v>-13585396.022474671</v>
      </c>
      <c r="H29" s="112">
        <f t="shared" si="29"/>
        <v>-14487348.942924164</v>
      </c>
      <c r="I29" s="112">
        <f t="shared" si="29"/>
        <v>0</v>
      </c>
      <c r="J29" s="112">
        <f t="shared" si="29"/>
        <v>0</v>
      </c>
      <c r="K29" s="112">
        <f t="shared" si="29"/>
        <v>0</v>
      </c>
      <c r="L29" s="112">
        <f t="shared" si="29"/>
        <v>0</v>
      </c>
      <c r="M29" s="112">
        <f t="shared" si="29"/>
        <v>0</v>
      </c>
      <c r="N29" s="112">
        <f t="shared" si="29"/>
        <v>0</v>
      </c>
      <c r="O29" s="112">
        <f t="shared" si="29"/>
        <v>93105127.722743124</v>
      </c>
    </row>
    <row r="30" spans="2:15" ht="9" customHeight="1">
      <c r="B30" s="108"/>
      <c r="C30" s="855"/>
      <c r="D30" s="110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</row>
    <row r="31" spans="2:15" ht="9" customHeight="1">
      <c r="B31" s="114" t="s">
        <v>169</v>
      </c>
      <c r="C31" s="856"/>
      <c r="D31" s="116">
        <f ca="1">IRR(OFFSET(E31,0,0,1,Investmenthorizon+1))</f>
        <v>0.1797930791040272</v>
      </c>
      <c r="E31" s="117">
        <f>SUM(E18,E22,E29)</f>
        <v>0</v>
      </c>
      <c r="F31" s="117">
        <f t="shared" ref="F31:O31" si="30">SUM(F18,F22,F29)</f>
        <v>-13319015.708308499</v>
      </c>
      <c r="G31" s="117">
        <f t="shared" si="30"/>
        <v>-13585396.022474671</v>
      </c>
      <c r="H31" s="117">
        <f t="shared" si="30"/>
        <v>-14487348.942924164</v>
      </c>
      <c r="I31" s="117">
        <f t="shared" si="30"/>
        <v>1975567.0892992592</v>
      </c>
      <c r="J31" s="117">
        <f t="shared" si="30"/>
        <v>5857330.6546496088</v>
      </c>
      <c r="K31" s="117">
        <f t="shared" si="30"/>
        <v>5977886.2186166011</v>
      </c>
      <c r="L31" s="117">
        <f t="shared" si="30"/>
        <v>6100852.8938629329</v>
      </c>
      <c r="M31" s="117">
        <f t="shared" si="30"/>
        <v>6226278.9026141893</v>
      </c>
      <c r="N31" s="117">
        <f t="shared" si="30"/>
        <v>6354213.4315404734</v>
      </c>
      <c r="O31" s="117">
        <f t="shared" si="30"/>
        <v>99589834.373788416</v>
      </c>
    </row>
    <row r="32" spans="2:15" ht="9" customHeight="1" thickBot="1"/>
    <row r="33" spans="2:15" ht="9" customHeight="1">
      <c r="B33" s="123" t="s">
        <v>198</v>
      </c>
      <c r="C33" s="124"/>
      <c r="D33" s="124"/>
      <c r="E33" s="134"/>
      <c r="F33" s="135"/>
      <c r="G33" s="135"/>
      <c r="H33" s="135"/>
      <c r="I33" s="135"/>
      <c r="J33" s="135"/>
      <c r="K33" s="125"/>
      <c r="L33" s="107"/>
      <c r="M33" s="107"/>
      <c r="N33" s="107"/>
      <c r="O33" s="107"/>
    </row>
    <row r="34" spans="2:15" ht="9" customHeight="1">
      <c r="B34" s="126" t="s">
        <v>89</v>
      </c>
      <c r="C34" s="851"/>
      <c r="D34" s="133">
        <v>2</v>
      </c>
      <c r="E34" s="106"/>
      <c r="F34" s="106"/>
      <c r="G34" s="107" t="s">
        <v>204</v>
      </c>
      <c r="H34" s="133">
        <f>Phase2begin</f>
        <v>4</v>
      </c>
      <c r="I34" s="106"/>
      <c r="J34" s="107" t="s">
        <v>201</v>
      </c>
      <c r="K34" s="136">
        <f>summary!AH15</f>
        <v>0</v>
      </c>
      <c r="L34" s="106"/>
      <c r="M34" s="106"/>
      <c r="N34" s="106"/>
      <c r="O34" s="106"/>
    </row>
    <row r="35" spans="2:15" ht="9" customHeight="1">
      <c r="B35" s="126" t="s">
        <v>93</v>
      </c>
      <c r="C35" s="851"/>
      <c r="D35" s="130" t="s">
        <v>141</v>
      </c>
      <c r="E35" s="106"/>
      <c r="F35" s="106"/>
      <c r="G35" s="107" t="s">
        <v>205</v>
      </c>
      <c r="H35" s="133">
        <f>Phase2end</f>
        <v>5</v>
      </c>
      <c r="I35" s="106"/>
      <c r="J35" s="106"/>
      <c r="K35" s="127"/>
      <c r="L35" s="106"/>
      <c r="M35" s="106"/>
      <c r="N35" s="106"/>
      <c r="O35" s="106"/>
    </row>
    <row r="36" spans="2:15" ht="9" customHeight="1" thickBot="1">
      <c r="B36" s="137"/>
      <c r="C36" s="852"/>
      <c r="D36" s="138"/>
      <c r="E36" s="138"/>
      <c r="F36" s="138"/>
      <c r="G36" s="129" t="s">
        <v>199</v>
      </c>
      <c r="H36" s="131">
        <f>Phase2open</f>
        <v>6</v>
      </c>
      <c r="I36" s="138"/>
      <c r="J36" s="138"/>
      <c r="K36" s="128"/>
      <c r="L36" s="106"/>
      <c r="M36" s="106"/>
      <c r="N36" s="106"/>
      <c r="O36" s="106"/>
    </row>
    <row r="37" spans="2:15" ht="9" customHeight="1">
      <c r="B37" s="106"/>
      <c r="C37" s="853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</row>
    <row r="38" spans="2:15" ht="9" customHeight="1">
      <c r="B38" s="108" t="s">
        <v>182</v>
      </c>
      <c r="C38" s="854"/>
      <c r="D38" s="106"/>
      <c r="E38" s="109">
        <f>IF(OR(E$2=$H36,E$2&gt;$H36),INDEX(summary!$A$2:$D$24,MATCH($D35,summary!$A$2:$A$24,0),MATCH($D34,summary!$A$2:$D$2,0)),0)</f>
        <v>0</v>
      </c>
      <c r="F38" s="109">
        <f>IF(OR(F$2=$H36,F$2&gt;$H36),INDEX(summary!$A$2:$D$24,MATCH($D35,summary!$A$2:$A$24,0),MATCH($D34,summary!$A$2:$D$2,0)),0)</f>
        <v>0</v>
      </c>
      <c r="G38" s="109">
        <f>IF(OR(G$2=$H36,G$2&gt;$H36),INDEX(summary!$A$2:$D$24,MATCH($D35,summary!$A$2:$A$24,0),MATCH($D34,summary!$A$2:$D$2,0)),0)</f>
        <v>0</v>
      </c>
      <c r="H38" s="109">
        <f>IF(OR(H$2=$H36,H$2&gt;$H36),INDEX(summary!$A$2:$D$24,MATCH($D35,summary!$A$2:$A$24,0),MATCH($D34,summary!$A$2:$D$2,0)),0)</f>
        <v>0</v>
      </c>
      <c r="I38" s="109">
        <f>IF(OR(I$2=$H36,I$2&gt;$H36),INDEX(summary!$A$2:$D$24,MATCH($D35,summary!$A$2:$A$24,0),MATCH($D34,summary!$A$2:$D$2,0)),0)</f>
        <v>0</v>
      </c>
      <c r="J38" s="109">
        <f>IF(OR(J$2=$H36,J$2&gt;$H36),INDEX(summary!$A$2:$D$24,MATCH($D35,summary!$A$2:$A$24,0),MATCH($D34,summary!$A$2:$D$2,0)),0)</f>
        <v>0</v>
      </c>
      <c r="K38" s="109">
        <f>IF(OR(K$2=$H36,K$2&gt;$H36),INDEX(summary!$A$2:$D$24,MATCH($D35,summary!$A$2:$A$24,0),MATCH($D34,summary!$A$2:$D$2,0)),0)</f>
        <v>94018.188399999999</v>
      </c>
      <c r="L38" s="109">
        <f>IF(OR(L$2=$H36,L$2&gt;$H36),INDEX(summary!$A$2:$D$24,MATCH($D35,summary!$A$2:$A$24,0),MATCH($D34,summary!$A$2:$D$2,0)),0)</f>
        <v>94018.188399999999</v>
      </c>
      <c r="M38" s="109">
        <f>IF(OR(M$2=$H36,M$2&gt;$H36),INDEX(summary!$A$2:$D$24,MATCH($D35,summary!$A$2:$A$24,0),MATCH($D34,summary!$A$2:$D$2,0)),0)</f>
        <v>94018.188399999999</v>
      </c>
      <c r="N38" s="109">
        <f>IF(OR(N$2=$H36,N$2&gt;$H36),INDEX(summary!$A$2:$D$24,MATCH($D35,summary!$A$2:$A$24,0),MATCH($D34,summary!$A$2:$D$2,0)),0)</f>
        <v>94018.188399999999</v>
      </c>
      <c r="O38" s="109">
        <f>IF(OR(O$2=$H36,O$2&gt;$H36),INDEX(summary!$A$2:$D$24,MATCH($D35,summary!$A$2:$A$24,0),MATCH($D34,summary!$A$2:$D$2,0)),0)</f>
        <v>94018.188399999999</v>
      </c>
    </row>
    <row r="39" spans="2:15" ht="9" customHeight="1">
      <c r="B39" s="108" t="s">
        <v>194</v>
      </c>
      <c r="C39" s="855" t="s">
        <v>191</v>
      </c>
      <c r="D39" s="110">
        <f>INDEX(cockpit!$J$6:$Y$16,MATCH($D35,cockpit!$J$6:$J$16,0),MATCH($C$11,cockpit!$J$6:$Y$6,0))</f>
        <v>0</v>
      </c>
      <c r="E39" s="109">
        <f>E38*(1-$D39)</f>
        <v>0</v>
      </c>
      <c r="F39" s="109">
        <f t="shared" ref="F39:O39" si="31">F38*(1-$D39)</f>
        <v>0</v>
      </c>
      <c r="G39" s="109">
        <f t="shared" si="31"/>
        <v>0</v>
      </c>
      <c r="H39" s="109">
        <f t="shared" si="31"/>
        <v>0</v>
      </c>
      <c r="I39" s="109">
        <f t="shared" si="31"/>
        <v>0</v>
      </c>
      <c r="J39" s="109">
        <f t="shared" si="31"/>
        <v>0</v>
      </c>
      <c r="K39" s="109">
        <f t="shared" si="31"/>
        <v>94018.188399999999</v>
      </c>
      <c r="L39" s="109">
        <f t="shared" si="31"/>
        <v>94018.188399999999</v>
      </c>
      <c r="M39" s="109">
        <f t="shared" si="31"/>
        <v>94018.188399999999</v>
      </c>
      <c r="N39" s="109">
        <f t="shared" si="31"/>
        <v>94018.188399999999</v>
      </c>
      <c r="O39" s="109">
        <f t="shared" si="31"/>
        <v>94018.188399999999</v>
      </c>
    </row>
    <row r="40" spans="2:15" ht="9" customHeight="1">
      <c r="B40" s="108" t="s">
        <v>180</v>
      </c>
      <c r="C40" s="855" t="s">
        <v>152</v>
      </c>
      <c r="D40" s="122">
        <f>Retailrampup</f>
        <v>0.47499999999999998</v>
      </c>
      <c r="E40" s="109">
        <f>IF(OR(E$2=$H36,AND(E$2&gt;$H36,E$2&lt;(SUM($H36,INDEX(cockpit!$J$6:$Y$16,MATCH($D35,cockpit!$J$6:$J$16,0),MATCH($C$12,cockpit!$J$6:$Y$6,0)))))),E39*$D40,0)</f>
        <v>0</v>
      </c>
      <c r="F40" s="109">
        <f>IF(OR(F$2=$H36,AND(F$2&gt;$H36,F$2&lt;(SUM($H36,INDEX(cockpit!$J$6:$Y$16,MATCH($D35,cockpit!$J$6:$J$16,0),MATCH($C$12,cockpit!$J$6:$Y$6,0)))))),F39*$D40,0)</f>
        <v>0</v>
      </c>
      <c r="G40" s="109">
        <f>IF(OR(G$2=$H36,AND(G$2&gt;$H36,G$2&lt;(SUM($H36,INDEX(cockpit!$J$6:$Y$16,MATCH($D35,cockpit!$J$6:$J$16,0),MATCH($C$12,cockpit!$J$6:$Y$6,0)))))),G39*$D40,0)</f>
        <v>0</v>
      </c>
      <c r="H40" s="109">
        <f>IF(OR(H$2=$H36,AND(H$2&gt;$H36,H$2&lt;(SUM($H36,INDEX(cockpit!$J$6:$Y$16,MATCH($D35,cockpit!$J$6:$J$16,0),MATCH($C$12,cockpit!$J$6:$Y$6,0)))))),H39*$D40,0)</f>
        <v>0</v>
      </c>
      <c r="I40" s="109">
        <f>IF(OR(I$2=$H36,AND(I$2&gt;$H36,I$2&lt;(SUM($H36,INDEX(cockpit!$J$6:$Y$16,MATCH($D35,cockpit!$J$6:$J$16,0),MATCH($C$12,cockpit!$J$6:$Y$6,0)))))),I39*$D40,0)</f>
        <v>0</v>
      </c>
      <c r="J40" s="109">
        <f>IF(OR(J$2=$H36,AND(J$2&gt;$H36,J$2&lt;(SUM($H36,INDEX(cockpit!$J$6:$Y$16,MATCH($D35,cockpit!$J$6:$J$16,0),MATCH($C$12,cockpit!$J$6:$Y$6,0)))))),J39*$D40,0)</f>
        <v>0</v>
      </c>
      <c r="K40" s="109">
        <f>IF(OR(K$2=$H36,AND(K$2&gt;$H36,K$2&lt;(SUM($H36,INDEX(cockpit!$J$6:$Y$16,MATCH($D35,cockpit!$J$6:$J$16,0),MATCH($C$12,cockpit!$J$6:$Y$6,0)))))),K39*$D40,0)</f>
        <v>44658.639489999994</v>
      </c>
      <c r="L40" s="109">
        <f>IF(OR(L$2=$H36,AND(L$2&gt;$H36,L$2&lt;(SUM($H36,INDEX(cockpit!$J$6:$Y$16,MATCH($D35,cockpit!$J$6:$J$16,0),MATCH($C$12,cockpit!$J$6:$Y$6,0)))))),L39*$D40,0)</f>
        <v>44658.639489999994</v>
      </c>
      <c r="M40" s="109">
        <f>IF(OR(M$2=$H36,AND(M$2&gt;$H36,M$2&lt;(SUM($H36,INDEX(cockpit!$J$6:$Y$16,MATCH($D35,cockpit!$J$6:$J$16,0),MATCH($C$12,cockpit!$J$6:$Y$6,0)))))),M39*$D40,0)</f>
        <v>0</v>
      </c>
      <c r="N40" s="109">
        <f>IF(OR(N$2=$H36,AND(N$2&gt;$H36,N$2&lt;(SUM($H36,INDEX(cockpit!$J$6:$Y$16,MATCH($D35,cockpit!$J$6:$J$16,0),MATCH($C$12,cockpit!$J$6:$Y$6,0)))))),N39*$D40,0)</f>
        <v>0</v>
      </c>
      <c r="O40" s="109">
        <f>IF(OR(O$2=$H36,AND(O$2&gt;$H36,O$2&lt;(SUM($H36,INDEX(cockpit!$J$6:$Y$16,MATCH($D35,cockpit!$J$6:$J$16,0),MATCH($C$12,cockpit!$J$6:$Y$6,0)))))),O39*$D40,0)</f>
        <v>0</v>
      </c>
    </row>
    <row r="41" spans="2:15" ht="9" customHeight="1">
      <c r="B41" s="108" t="s">
        <v>181</v>
      </c>
      <c r="C41" s="855"/>
      <c r="D41" s="106"/>
      <c r="E41" s="109">
        <f>SUM($E40:E40)</f>
        <v>0</v>
      </c>
      <c r="F41" s="109">
        <f>SUM($E40:F40)</f>
        <v>0</v>
      </c>
      <c r="G41" s="109">
        <f>SUM($E40:G40)</f>
        <v>0</v>
      </c>
      <c r="H41" s="109">
        <f>SUM($E40:H40)</f>
        <v>0</v>
      </c>
      <c r="I41" s="109">
        <f>SUM($E40:I40)</f>
        <v>0</v>
      </c>
      <c r="J41" s="109">
        <f>SUM($E40:J40)</f>
        <v>0</v>
      </c>
      <c r="K41" s="109">
        <f>SUM($E40:K40)</f>
        <v>44658.639489999994</v>
      </c>
      <c r="L41" s="109">
        <f>SUM($E40:L40)</f>
        <v>89317.278979999988</v>
      </c>
      <c r="M41" s="109">
        <f>SUM($E40:M40)</f>
        <v>89317.278979999988</v>
      </c>
      <c r="N41" s="109">
        <f>SUM($E40:N40)</f>
        <v>89317.278979999988</v>
      </c>
      <c r="O41" s="109">
        <f>SUM($E40:O40)</f>
        <v>89317.278979999988</v>
      </c>
    </row>
    <row r="42" spans="2:15" ht="9" customHeight="1">
      <c r="B42" s="106"/>
      <c r="C42" s="855"/>
      <c r="D42" s="106"/>
      <c r="E42" s="362">
        <f t="shared" ref="E42" si="32">IFERROR(1-(E41/E39),0)</f>
        <v>0</v>
      </c>
      <c r="F42" s="362">
        <f t="shared" ref="F42" si="33">IFERROR(1-(F41/F39),0)</f>
        <v>0</v>
      </c>
      <c r="G42" s="362">
        <f t="shared" ref="G42" si="34">IFERROR(1-(G41/G39),0)</f>
        <v>0</v>
      </c>
      <c r="H42" s="362">
        <f>IFERROR(1-(H41/H39),0)</f>
        <v>0</v>
      </c>
      <c r="I42" s="362">
        <f t="shared" ref="I42" si="35">IFERROR(1-(I41/I39),0)</f>
        <v>0</v>
      </c>
      <c r="J42" s="362">
        <f t="shared" ref="J42" si="36">IFERROR(1-(J41/J39),0)</f>
        <v>0</v>
      </c>
      <c r="K42" s="362">
        <f t="shared" ref="K42" si="37">IFERROR(1-(K41/K39),0)</f>
        <v>0.52500000000000013</v>
      </c>
      <c r="L42" s="362">
        <f t="shared" ref="L42" si="38">IFERROR(1-(L41/L39),0)</f>
        <v>5.0000000000000155E-2</v>
      </c>
      <c r="M42" s="362">
        <f t="shared" ref="M42" si="39">IFERROR(1-(M41/M39),0)</f>
        <v>5.0000000000000155E-2</v>
      </c>
      <c r="N42" s="362">
        <f t="shared" ref="N42" si="40">IFERROR(1-(N41/N39),0)</f>
        <v>5.0000000000000155E-2</v>
      </c>
      <c r="O42" s="362">
        <f t="shared" ref="O42" si="41">IFERROR(1-(O41/O39),0)</f>
        <v>5.0000000000000155E-2</v>
      </c>
    </row>
    <row r="43" spans="2:15" ht="9" customHeight="1">
      <c r="B43" s="108" t="s">
        <v>166</v>
      </c>
      <c r="C43" s="855"/>
      <c r="D43" s="111">
        <f>(OfficemarketratePSF*(1-$K34))+((OfficemarketratePSF*(1+premiumprices)*$K34))</f>
        <v>25</v>
      </c>
      <c r="E43" s="112">
        <f t="shared" ref="E43:O43" si="42">E41*($D43*((1+Inflation)^(E$2-1)))</f>
        <v>0</v>
      </c>
      <c r="F43" s="112">
        <f t="shared" si="42"/>
        <v>0</v>
      </c>
      <c r="G43" s="112">
        <f t="shared" si="42"/>
        <v>0</v>
      </c>
      <c r="H43" s="112">
        <f t="shared" si="42"/>
        <v>0</v>
      </c>
      <c r="I43" s="112">
        <f t="shared" si="42"/>
        <v>0</v>
      </c>
      <c r="J43" s="112">
        <f t="shared" si="42"/>
        <v>0</v>
      </c>
      <c r="K43" s="112">
        <f t="shared" si="42"/>
        <v>1232668.6639484607</v>
      </c>
      <c r="L43" s="112">
        <f t="shared" si="42"/>
        <v>2514644.0744548603</v>
      </c>
      <c r="M43" s="112">
        <f t="shared" si="42"/>
        <v>2564936.9559439565</v>
      </c>
      <c r="N43" s="112">
        <f t="shared" si="42"/>
        <v>2616235.6950628362</v>
      </c>
      <c r="O43" s="112">
        <f t="shared" si="42"/>
        <v>2668560.4089640928</v>
      </c>
    </row>
    <row r="44" spans="2:15" ht="9" customHeight="1">
      <c r="B44" s="108" t="s">
        <v>216</v>
      </c>
      <c r="C44" s="855"/>
      <c r="D44" s="111">
        <f>IF(INDEX(cockpit!$J$6:$Y$16,MATCH($D35,cockpit!$J$6:$J$16,0),MATCH($B44,cockpit!$J$6:$Y$6,0))="Y",D45,0)</f>
        <v>11</v>
      </c>
      <c r="E44" s="112">
        <f t="shared" ref="E44" si="43">-IF($D44&gt;0,E45,0)*(1-E42)</f>
        <v>0</v>
      </c>
      <c r="F44" s="112">
        <f t="shared" ref="F44" si="44">-IF($D44&gt;0,F45,0)*(1-F42)</f>
        <v>0</v>
      </c>
      <c r="G44" s="112">
        <f t="shared" ref="G44" si="45">-IF($D44&gt;0,G45,0)*(1-G42)</f>
        <v>0</v>
      </c>
      <c r="H44" s="112">
        <f t="shared" ref="H44" si="46">-IF($D44&gt;0,H45,0)*(1-H42)</f>
        <v>0</v>
      </c>
      <c r="I44" s="112">
        <f t="shared" ref="I44" si="47">-IF($D44&gt;0,I45,0)*(1-I42)</f>
        <v>0</v>
      </c>
      <c r="J44" s="112">
        <f t="shared" ref="J44" si="48">-IF($D44&gt;0,J45,0)*(1-J42)</f>
        <v>0</v>
      </c>
      <c r="K44" s="112">
        <f t="shared" ref="K44" si="49">-IF($D44&gt;0,K45,0)*(1-K42)</f>
        <v>542374.21213732264</v>
      </c>
      <c r="L44" s="112">
        <f t="shared" ref="L44" si="50">-IF($D44&gt;0,L45,0)*(1-L42)</f>
        <v>1106443.3927601385</v>
      </c>
      <c r="M44" s="112">
        <f t="shared" ref="M44" si="51">-IF($D44&gt;0,M45,0)*(1-M42)</f>
        <v>1128572.2606153409</v>
      </c>
      <c r="N44" s="112">
        <f t="shared" ref="N44" si="52">-IF($D44&gt;0,N45,0)*(1-N42)</f>
        <v>1151143.7058276478</v>
      </c>
      <c r="O44" s="112">
        <f t="shared" ref="O44" si="53">-IF($D44&gt;0,O45,0)*(1-O42)</f>
        <v>1174166.5799442008</v>
      </c>
    </row>
    <row r="45" spans="2:15" ht="9" customHeight="1">
      <c r="B45" s="108" t="s">
        <v>123</v>
      </c>
      <c r="C45" s="855"/>
      <c r="D45" s="111">
        <f>INDEX(cockpit!$J$6:$Y$16,MATCH($D35,cockpit!$J$6:$J$16,0),MATCH($B45,cockpit!$J$6:$Y$6,0))</f>
        <v>11</v>
      </c>
      <c r="E45" s="113">
        <f t="shared" ref="E45:O45" si="54">-IF($D45&gt;1,E38*($D45*((1+Inflation)^(E$2-1))),E43*(1-$D45))</f>
        <v>0</v>
      </c>
      <c r="F45" s="113">
        <f t="shared" si="54"/>
        <v>0</v>
      </c>
      <c r="G45" s="113">
        <f t="shared" si="54"/>
        <v>0</v>
      </c>
      <c r="H45" s="113">
        <f t="shared" si="54"/>
        <v>0</v>
      </c>
      <c r="I45" s="113">
        <f t="shared" si="54"/>
        <v>0</v>
      </c>
      <c r="J45" s="113">
        <f t="shared" si="54"/>
        <v>0</v>
      </c>
      <c r="K45" s="113">
        <f t="shared" si="54"/>
        <v>-1141840.4466048901</v>
      </c>
      <c r="L45" s="113">
        <f t="shared" si="54"/>
        <v>-1164677.2555369881</v>
      </c>
      <c r="M45" s="113">
        <f t="shared" si="54"/>
        <v>-1187970.8006477274</v>
      </c>
      <c r="N45" s="113">
        <f t="shared" si="54"/>
        <v>-1211730.2166606821</v>
      </c>
      <c r="O45" s="113">
        <f t="shared" si="54"/>
        <v>-1235964.8209938959</v>
      </c>
    </row>
    <row r="46" spans="2:15" ht="9" customHeight="1">
      <c r="B46" s="114" t="s">
        <v>167</v>
      </c>
      <c r="C46" s="855"/>
      <c r="D46" s="106"/>
      <c r="E46" s="112">
        <f>SUM(E43:E45)</f>
        <v>0</v>
      </c>
      <c r="F46" s="112">
        <f t="shared" ref="F46:O46" si="55">SUM(F43:F45)</f>
        <v>0</v>
      </c>
      <c r="G46" s="112">
        <f t="shared" si="55"/>
        <v>0</v>
      </c>
      <c r="H46" s="112">
        <f t="shared" si="55"/>
        <v>0</v>
      </c>
      <c r="I46" s="112">
        <f t="shared" si="55"/>
        <v>0</v>
      </c>
      <c r="J46" s="112">
        <f t="shared" si="55"/>
        <v>0</v>
      </c>
      <c r="K46" s="112">
        <f t="shared" si="55"/>
        <v>633202.4294808933</v>
      </c>
      <c r="L46" s="112">
        <f t="shared" si="55"/>
        <v>2456410.2116780104</v>
      </c>
      <c r="M46" s="112">
        <f t="shared" si="55"/>
        <v>2505538.4159115702</v>
      </c>
      <c r="N46" s="112">
        <f t="shared" si="55"/>
        <v>2555649.1842298019</v>
      </c>
      <c r="O46" s="112">
        <f t="shared" si="55"/>
        <v>2606762.167914398</v>
      </c>
    </row>
    <row r="47" spans="2:15" ht="9" customHeight="1">
      <c r="B47" s="106"/>
      <c r="C47" s="855"/>
      <c r="D47" s="106"/>
      <c r="E47" s="187">
        <f t="shared" ref="E47:O47" si="56">IFERROR(E46/SUM(E43:E44),0)</f>
        <v>0</v>
      </c>
      <c r="F47" s="187">
        <f t="shared" si="56"/>
        <v>0</v>
      </c>
      <c r="G47" s="187">
        <f t="shared" si="56"/>
        <v>0</v>
      </c>
      <c r="H47" s="187">
        <f t="shared" si="56"/>
        <v>0</v>
      </c>
      <c r="I47" s="187">
        <f t="shared" si="56"/>
        <v>0</v>
      </c>
      <c r="J47" s="187">
        <f t="shared" si="56"/>
        <v>0</v>
      </c>
      <c r="K47" s="187">
        <f t="shared" si="56"/>
        <v>0.35672514619883033</v>
      </c>
      <c r="L47" s="187">
        <f t="shared" si="56"/>
        <v>0.67836257309941506</v>
      </c>
      <c r="M47" s="187">
        <f t="shared" si="56"/>
        <v>0.67836257309941517</v>
      </c>
      <c r="N47" s="187">
        <f t="shared" si="56"/>
        <v>0.67836257309941517</v>
      </c>
      <c r="O47" s="187">
        <f t="shared" si="56"/>
        <v>0.67836257309941517</v>
      </c>
    </row>
    <row r="48" spans="2:15" ht="9" customHeight="1">
      <c r="B48" s="108" t="s">
        <v>168</v>
      </c>
      <c r="C48" s="855"/>
      <c r="D48" s="115">
        <f>INDEX(cockpit!$J$6:$Y$16,MATCH($D35,cockpit!$J$6:$J$16,0),MATCH($B48,cockpit!$J$6:$Y$6,0))</f>
        <v>0.05</v>
      </c>
      <c r="E48" s="112">
        <f>-E39*$D48</f>
        <v>0</v>
      </c>
      <c r="F48" s="112">
        <f t="shared" ref="F48:O48" si="57">-F39*$D48</f>
        <v>0</v>
      </c>
      <c r="G48" s="112">
        <f t="shared" si="57"/>
        <v>0</v>
      </c>
      <c r="H48" s="112">
        <f t="shared" si="57"/>
        <v>0</v>
      </c>
      <c r="I48" s="112">
        <f t="shared" si="57"/>
        <v>0</v>
      </c>
      <c r="J48" s="112">
        <f t="shared" si="57"/>
        <v>0</v>
      </c>
      <c r="K48" s="112">
        <f t="shared" si="57"/>
        <v>-4700.90942</v>
      </c>
      <c r="L48" s="112">
        <f t="shared" si="57"/>
        <v>-4700.90942</v>
      </c>
      <c r="M48" s="112">
        <f t="shared" si="57"/>
        <v>-4700.90942</v>
      </c>
      <c r="N48" s="112">
        <f t="shared" si="57"/>
        <v>-4700.90942</v>
      </c>
      <c r="O48" s="112">
        <f t="shared" si="57"/>
        <v>-4700.90942</v>
      </c>
    </row>
    <row r="49" spans="2:15" ht="9" customHeight="1">
      <c r="B49" s="108" t="s">
        <v>162</v>
      </c>
      <c r="C49" s="855"/>
      <c r="D49" s="115">
        <f>INDEX(cockpit!$J$6:$Y$16,MATCH($D35,cockpit!$J$6:$J$16,0),MATCH($B49,cockpit!$J$6:$Y$6,0))</f>
        <v>1</v>
      </c>
      <c r="E49" s="113">
        <f>-E41*$D49</f>
        <v>0</v>
      </c>
      <c r="F49" s="113">
        <f t="shared" ref="F49:O49" si="58">-F41*$D49</f>
        <v>0</v>
      </c>
      <c r="G49" s="113">
        <f t="shared" si="58"/>
        <v>0</v>
      </c>
      <c r="H49" s="113">
        <f t="shared" si="58"/>
        <v>0</v>
      </c>
      <c r="I49" s="113">
        <f t="shared" si="58"/>
        <v>0</v>
      </c>
      <c r="J49" s="113">
        <f t="shared" si="58"/>
        <v>0</v>
      </c>
      <c r="K49" s="113">
        <f t="shared" si="58"/>
        <v>-44658.639489999994</v>
      </c>
      <c r="L49" s="113">
        <f t="shared" si="58"/>
        <v>-89317.278979999988</v>
      </c>
      <c r="M49" s="113">
        <f t="shared" si="58"/>
        <v>-89317.278979999988</v>
      </c>
      <c r="N49" s="113">
        <f t="shared" si="58"/>
        <v>-89317.278979999988</v>
      </c>
      <c r="O49" s="113">
        <f t="shared" si="58"/>
        <v>-89317.278979999988</v>
      </c>
    </row>
    <row r="50" spans="2:15" ht="9" customHeight="1">
      <c r="B50" s="114" t="s">
        <v>195</v>
      </c>
      <c r="C50" s="855"/>
      <c r="D50" s="115"/>
      <c r="E50" s="112">
        <f>SUM(E48:E49)</f>
        <v>0</v>
      </c>
      <c r="F50" s="112">
        <f t="shared" ref="F50:O50" si="59">SUM(F48:F49)</f>
        <v>0</v>
      </c>
      <c r="G50" s="112">
        <f t="shared" si="59"/>
        <v>0</v>
      </c>
      <c r="H50" s="112">
        <f t="shared" si="59"/>
        <v>0</v>
      </c>
      <c r="I50" s="112">
        <f t="shared" si="59"/>
        <v>0</v>
      </c>
      <c r="J50" s="112">
        <f t="shared" si="59"/>
        <v>0</v>
      </c>
      <c r="K50" s="112">
        <f t="shared" si="59"/>
        <v>-49359.548909999998</v>
      </c>
      <c r="L50" s="112">
        <f t="shared" si="59"/>
        <v>-94018.188399999985</v>
      </c>
      <c r="M50" s="112">
        <f t="shared" si="59"/>
        <v>-94018.188399999985</v>
      </c>
      <c r="N50" s="112">
        <f t="shared" si="59"/>
        <v>-94018.188399999985</v>
      </c>
      <c r="O50" s="112">
        <f t="shared" si="59"/>
        <v>-94018.188399999985</v>
      </c>
    </row>
    <row r="51" spans="2:15" ht="9" customHeight="1">
      <c r="B51" s="108"/>
      <c r="C51" s="855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ht="9" customHeight="1">
      <c r="B52" s="108" t="s">
        <v>688</v>
      </c>
      <c r="C52" s="855"/>
      <c r="D52" s="111">
        <f>INDEX(cockpit!$J$6:$Y$16,MATCH($D35,cockpit!$J$6:$J$16,0),MATCH($B52,cockpit!$J$6:$Y$6,0))</f>
        <v>60</v>
      </c>
      <c r="E52" s="112">
        <f t="shared" ref="E52:O52" si="60">-(IF(E53&lt;0,SUM($E40:$O40)*$D52*(1+Inflation)^(E$2-1)*(1+Developerfee)))/constructiontimephase2</f>
        <v>0</v>
      </c>
      <c r="F52" s="112">
        <f t="shared" si="60"/>
        <v>0</v>
      </c>
      <c r="G52" s="112">
        <f t="shared" si="60"/>
        <v>0</v>
      </c>
      <c r="H52" s="112">
        <f t="shared" si="60"/>
        <v>0</v>
      </c>
      <c r="I52" s="112">
        <f t="shared" si="60"/>
        <v>-2928832.1196468617</v>
      </c>
      <c r="J52" s="112">
        <f t="shared" si="60"/>
        <v>-2987408.7620397992</v>
      </c>
      <c r="K52" s="112">
        <f t="shared" si="60"/>
        <v>0</v>
      </c>
      <c r="L52" s="112">
        <f t="shared" si="60"/>
        <v>0</v>
      </c>
      <c r="M52" s="112">
        <f t="shared" si="60"/>
        <v>0</v>
      </c>
      <c r="N52" s="112">
        <f t="shared" si="60"/>
        <v>0</v>
      </c>
      <c r="O52" s="112">
        <f t="shared" si="60"/>
        <v>0</v>
      </c>
    </row>
    <row r="53" spans="2:15" ht="9" customHeight="1">
      <c r="B53" s="108" t="s">
        <v>170</v>
      </c>
      <c r="C53" s="855"/>
      <c r="D53" s="111">
        <f>(RetailconstructioncostPSF*(1-$K34))+((RetailconstructioncostPSF*(1+premiumprices)*$K34))</f>
        <v>135</v>
      </c>
      <c r="E53" s="112">
        <f>-IF(OR(E$2=$H34,E$2=$H35,AND(E$2&gt;$H34,E$2&lt;$H35)),(INDEX(summary!$A$2:$D$24,MATCH($D35,summary!$A$2:$A$24,0),MATCH($D34,summary!$A$2:$D$2,0)))/constructiontimephase2)*($D53*((1+Inflation)^(E$2-1)))*(1+Developerfee)</f>
        <v>0</v>
      </c>
      <c r="F53" s="112">
        <f>-IF(OR(F$2=$H34,F$2=$H35,AND(F$2&gt;$H34,F$2&lt;$H35)),(INDEX(summary!$A$2:$D$24,MATCH($D35,summary!$A$2:$A$24,0),MATCH($D34,summary!$A$2:$D$2,0)))/constructiontimephase2)*($D53*((1+Inflation)^(F$2-1)))*(1+Developerfee)</f>
        <v>0</v>
      </c>
      <c r="G53" s="112">
        <f>-IF(OR(G$2=$H34,G$2=$H35,AND(G$2&gt;$H34,G$2&lt;$H35)),(INDEX(summary!$A$2:$D$24,MATCH($D35,summary!$A$2:$A$24,0),MATCH($D34,summary!$A$2:$D$2,0)))/constructiontimephase2)*($D53*((1+Inflation)^(G$2-1)))*(1+Developerfee)</f>
        <v>0</v>
      </c>
      <c r="H53" s="112">
        <f>-IF(OR(H$2=$H34,H$2=$H35,AND(H$2&gt;$H34,H$2&lt;$H35)),(INDEX(summary!$A$2:$D$24,MATCH($D35,summary!$A$2:$A$24,0),MATCH($D34,summary!$A$2:$D$2,0)))/constructiontimephase2)*($D53*((1+Inflation)^(H$2-1)))*(1+Developerfee)</f>
        <v>0</v>
      </c>
      <c r="I53" s="112">
        <f>-IF(OR(I$2=$H34,I$2=$H35,AND(I$2&gt;$H34,I$2&lt;$H35)),(INDEX(summary!$A$2:$D$24,MATCH($D35,summary!$A$2:$A$24,0),MATCH($D34,summary!$A$2:$D$2,0)))/constructiontimephase2)*($D53*((1+Inflation)^(I$2-1)))*(1+Developerfee)</f>
        <v>-6936707.6517952001</v>
      </c>
      <c r="J53" s="112">
        <f>-IF(OR(J$2=$H34,J$2=$H35,AND(J$2&gt;$H34,J$2&lt;$H35)),(INDEX(summary!$A$2:$D$24,MATCH($D35,summary!$A$2:$A$24,0),MATCH($D34,summary!$A$2:$D$2,0)))/constructiontimephase2)*($D53*((1+Inflation)^(J$2-1)))*(1+Developerfee)</f>
        <v>-7075441.8048311044</v>
      </c>
      <c r="K53" s="112">
        <f>-IF(OR(K$2=$H34,K$2=$H35,AND(K$2&gt;$H34,K$2&lt;$H35)),(INDEX(summary!$A$2:$D$24,MATCH($D35,summary!$A$2:$A$24,0),MATCH($D34,summary!$A$2:$D$2,0)))/constructiontimephase2)*($D53*((1+Inflation)^(K$2-1)))*(1+Developerfee)</f>
        <v>0</v>
      </c>
      <c r="L53" s="112">
        <f>-IF(OR(L$2=$H34,L$2=$H35,AND(L$2&gt;$H34,L$2&lt;$H35)),(INDEX(summary!$A$2:$D$24,MATCH($D35,summary!$A$2:$A$24,0),MATCH($D34,summary!$A$2:$D$2,0)))/constructiontimephase2)*($D53*((1+Inflation)^(L$2-1)))*(1+Developerfee)</f>
        <v>0</v>
      </c>
      <c r="M53" s="112">
        <f>-IF(OR(M$2=$H34,M$2=$H35,AND(M$2&gt;$H34,M$2&lt;$H35)),(INDEX(summary!$A$2:$D$24,MATCH($D35,summary!$A$2:$A$24,0),MATCH($D34,summary!$A$2:$D$2,0)))/constructiontimephase2)*($D53*((1+Inflation)^(M$2-1)))*(1+Developerfee)</f>
        <v>0</v>
      </c>
      <c r="N53" s="112">
        <f>-IF(OR(N$2=$H34,N$2=$H35,AND(N$2&gt;$H34,N$2&lt;$H35)),(INDEX(summary!$A$2:$D$24,MATCH($D35,summary!$A$2:$A$24,0),MATCH($D34,summary!$A$2:$D$2,0)))/constructiontimephase2)*($D53*((1+Inflation)^(N$2-1)))*(1+Developerfee)</f>
        <v>0</v>
      </c>
      <c r="O53" s="112">
        <f>-IF(OR(O$2=$H34,O$2=$H35,AND(O$2&gt;$H34,O$2&lt;$H35)),(INDEX(summary!$A$2:$D$24,MATCH($D35,summary!$A$2:$A$24,0),MATCH($D34,summary!$A$2:$D$2,0)))/constructiontimephase2)*($D53*((1+Inflation)^(O$2-1)))*(1+Developerfee)</f>
        <v>0</v>
      </c>
    </row>
    <row r="54" spans="2:15" ht="9" customHeight="1">
      <c r="B54" s="108" t="s">
        <v>197</v>
      </c>
      <c r="C54" s="855" t="s">
        <v>189</v>
      </c>
      <c r="D54" s="122">
        <f>(INDEX(cockpit!$J$6:$Y$16,MATCH($D35,cockpit!$J$6:$J$16,0),MATCH($C54,cockpit!$J$6:$Y$6,0))*(1-$K34))+((INDEX(cockpit!$J$6:$Y$16,MATCH($D35,cockpit!$J$6:$J$16,0),MATCH($C54,cockpit!$J$6:$Y$6,0))-(Premiumexitcaprate))*$K34)</f>
        <v>7.4999999999999997E-2</v>
      </c>
      <c r="E54" s="113">
        <f t="shared" ref="E54:O54" si="61">IF(E$2=dispositionyear,E46/$D54,0)*(1-Closingcosts)</f>
        <v>0</v>
      </c>
      <c r="F54" s="113">
        <f t="shared" si="61"/>
        <v>0</v>
      </c>
      <c r="G54" s="113">
        <f t="shared" si="61"/>
        <v>0</v>
      </c>
      <c r="H54" s="113">
        <f t="shared" si="61"/>
        <v>0</v>
      </c>
      <c r="I54" s="113">
        <f t="shared" si="61"/>
        <v>0</v>
      </c>
      <c r="J54" s="113">
        <f t="shared" si="61"/>
        <v>0</v>
      </c>
      <c r="K54" s="113">
        <f t="shared" si="61"/>
        <v>0</v>
      </c>
      <c r="L54" s="113">
        <f t="shared" si="61"/>
        <v>0</v>
      </c>
      <c r="M54" s="113">
        <f t="shared" si="61"/>
        <v>0</v>
      </c>
      <c r="N54" s="113">
        <f t="shared" si="61"/>
        <v>0</v>
      </c>
      <c r="O54" s="113">
        <f t="shared" si="61"/>
        <v>33887908.182887182</v>
      </c>
    </row>
    <row r="55" spans="2:15" ht="9" customHeight="1">
      <c r="B55" s="114" t="s">
        <v>196</v>
      </c>
      <c r="C55" s="855"/>
      <c r="D55" s="110"/>
      <c r="E55" s="112">
        <f>SUM(E52:E54)</f>
        <v>0</v>
      </c>
      <c r="F55" s="112">
        <f t="shared" ref="F55:O55" si="62">SUM(F52:F54)</f>
        <v>0</v>
      </c>
      <c r="G55" s="112">
        <f t="shared" si="62"/>
        <v>0</v>
      </c>
      <c r="H55" s="112">
        <f t="shared" si="62"/>
        <v>0</v>
      </c>
      <c r="I55" s="112">
        <f t="shared" si="62"/>
        <v>-9865539.7714420613</v>
      </c>
      <c r="J55" s="112">
        <f t="shared" si="62"/>
        <v>-10062850.566870904</v>
      </c>
      <c r="K55" s="112">
        <f t="shared" si="62"/>
        <v>0</v>
      </c>
      <c r="L55" s="112">
        <f t="shared" si="62"/>
        <v>0</v>
      </c>
      <c r="M55" s="112">
        <f t="shared" si="62"/>
        <v>0</v>
      </c>
      <c r="N55" s="112">
        <f t="shared" si="62"/>
        <v>0</v>
      </c>
      <c r="O55" s="112">
        <f t="shared" si="62"/>
        <v>33887908.182887182</v>
      </c>
    </row>
    <row r="56" spans="2:15" ht="9" customHeight="1">
      <c r="B56" s="108"/>
      <c r="C56" s="855"/>
      <c r="D56" s="110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</row>
    <row r="57" spans="2:15" ht="9" customHeight="1">
      <c r="B57" s="114" t="s">
        <v>169</v>
      </c>
      <c r="C57" s="856"/>
      <c r="D57" s="116">
        <f ca="1">IRR(OFFSET(E57,0,0,1,Investmenthorizon+1))</f>
        <v>0.17044684667039167</v>
      </c>
      <c r="E57" s="117">
        <f>SUM(E46,E50,E55)</f>
        <v>0</v>
      </c>
      <c r="F57" s="117">
        <f t="shared" ref="F57:O57" si="63">SUM(F46,F50,F55)</f>
        <v>0</v>
      </c>
      <c r="G57" s="117">
        <f t="shared" si="63"/>
        <v>0</v>
      </c>
      <c r="H57" s="117">
        <f t="shared" si="63"/>
        <v>0</v>
      </c>
      <c r="I57" s="117">
        <f t="shared" si="63"/>
        <v>-9865539.7714420613</v>
      </c>
      <c r="J57" s="117">
        <f t="shared" si="63"/>
        <v>-10062850.566870904</v>
      </c>
      <c r="K57" s="117">
        <f t="shared" si="63"/>
        <v>583842.88057089329</v>
      </c>
      <c r="L57" s="117">
        <f t="shared" si="63"/>
        <v>2362392.0232780105</v>
      </c>
      <c r="M57" s="117">
        <f t="shared" si="63"/>
        <v>2411520.2275115703</v>
      </c>
      <c r="N57" s="117">
        <f t="shared" si="63"/>
        <v>2461630.995829802</v>
      </c>
      <c r="O57" s="117">
        <f t="shared" si="63"/>
        <v>36400652.162401579</v>
      </c>
    </row>
    <row r="58" spans="2:15" ht="9" customHeight="1" thickBot="1"/>
    <row r="59" spans="2:15" ht="9" customHeight="1">
      <c r="B59" s="123" t="s">
        <v>198</v>
      </c>
      <c r="C59" s="124"/>
      <c r="D59" s="124"/>
      <c r="E59" s="134"/>
      <c r="F59" s="135"/>
      <c r="G59" s="135"/>
      <c r="H59" s="135"/>
      <c r="I59" s="135"/>
      <c r="J59" s="135"/>
      <c r="K59" s="125"/>
      <c r="L59" s="107"/>
      <c r="M59" s="107"/>
      <c r="N59" s="107"/>
      <c r="O59" s="107"/>
    </row>
    <row r="60" spans="2:15" ht="9" customHeight="1">
      <c r="B60" s="126" t="s">
        <v>89</v>
      </c>
      <c r="C60" s="851"/>
      <c r="D60" s="133">
        <v>3</v>
      </c>
      <c r="E60" s="106"/>
      <c r="F60" s="106"/>
      <c r="G60" s="107" t="s">
        <v>204</v>
      </c>
      <c r="H60" s="133">
        <f>Phase3begin</f>
        <v>6</v>
      </c>
      <c r="I60" s="106"/>
      <c r="J60" s="107" t="s">
        <v>201</v>
      </c>
      <c r="K60" s="136">
        <f>summary!AJ16</f>
        <v>0</v>
      </c>
      <c r="L60" s="106"/>
      <c r="M60" s="106"/>
      <c r="N60" s="106"/>
      <c r="O60" s="106"/>
    </row>
    <row r="61" spans="2:15" ht="9" customHeight="1">
      <c r="B61" s="126" t="s">
        <v>93</v>
      </c>
      <c r="C61" s="851"/>
      <c r="D61" s="130" t="s">
        <v>141</v>
      </c>
      <c r="E61" s="106"/>
      <c r="F61" s="106"/>
      <c r="G61" s="107" t="s">
        <v>205</v>
      </c>
      <c r="H61" s="133">
        <f>Phase3end</f>
        <v>7</v>
      </c>
      <c r="I61" s="106"/>
      <c r="J61" s="106"/>
      <c r="K61" s="127"/>
      <c r="L61" s="106"/>
      <c r="M61" s="106"/>
      <c r="N61" s="106"/>
      <c r="O61" s="106"/>
    </row>
    <row r="62" spans="2:15" ht="9" customHeight="1" thickBot="1">
      <c r="B62" s="137"/>
      <c r="C62" s="852"/>
      <c r="D62" s="138"/>
      <c r="E62" s="138"/>
      <c r="F62" s="138"/>
      <c r="G62" s="129" t="s">
        <v>199</v>
      </c>
      <c r="H62" s="131">
        <f>Phase3open</f>
        <v>8</v>
      </c>
      <c r="I62" s="138"/>
      <c r="J62" s="138"/>
      <c r="K62" s="128"/>
      <c r="L62" s="106"/>
      <c r="M62" s="106"/>
      <c r="N62" s="106"/>
      <c r="O62" s="106"/>
    </row>
    <row r="63" spans="2:15" ht="9" customHeight="1">
      <c r="B63" s="106"/>
      <c r="C63" s="853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</row>
    <row r="64" spans="2:15" ht="9" customHeight="1">
      <c r="B64" s="108" t="s">
        <v>182</v>
      </c>
      <c r="C64" s="854"/>
      <c r="D64" s="106"/>
      <c r="E64" s="109">
        <f>IF(OR(E$2=$H62,E$2&gt;$H62),INDEX(summary!$A$2:$D$24,MATCH($D61,summary!$A$2:$A$24,0),MATCH($D60,summary!$A$2:$D$2,0)),0)</f>
        <v>0</v>
      </c>
      <c r="F64" s="109">
        <f>IF(OR(F$2=$H62,F$2&gt;$H62),INDEX(summary!$A$2:$D$24,MATCH($D61,summary!$A$2:$A$24,0),MATCH($D60,summary!$A$2:$D$2,0)),0)</f>
        <v>0</v>
      </c>
      <c r="G64" s="109">
        <f>IF(OR(G$2=$H62,G$2&gt;$H62),INDEX(summary!$A$2:$D$24,MATCH($D61,summary!$A$2:$A$24,0),MATCH($D60,summary!$A$2:$D$2,0)),0)</f>
        <v>0</v>
      </c>
      <c r="H64" s="109">
        <f>IF(OR(H$2=$H62,H$2&gt;$H62),INDEX(summary!$A$2:$D$24,MATCH($D61,summary!$A$2:$A$24,0),MATCH($D60,summary!$A$2:$D$2,0)),0)</f>
        <v>0</v>
      </c>
      <c r="I64" s="109">
        <f>IF(OR(I$2=$H62,I$2&gt;$H62),INDEX(summary!$A$2:$D$24,MATCH($D61,summary!$A$2:$A$24,0),MATCH($D60,summary!$A$2:$D$2,0)),0)</f>
        <v>0</v>
      </c>
      <c r="J64" s="109">
        <f>IF(OR(J$2=$H62,J$2&gt;$H62),INDEX(summary!$A$2:$D$24,MATCH($D61,summary!$A$2:$A$24,0),MATCH($D60,summary!$A$2:$D$2,0)),0)</f>
        <v>0</v>
      </c>
      <c r="K64" s="109">
        <f>IF(OR(K$2=$H62,K$2&gt;$H62),INDEX(summary!$A$2:$D$24,MATCH($D61,summary!$A$2:$A$24,0),MATCH($D60,summary!$A$2:$D$2,0)),0)</f>
        <v>0</v>
      </c>
      <c r="L64" s="109">
        <f>IF(OR(L$2=$H62,L$2&gt;$H62),INDEX(summary!$A$2:$D$24,MATCH($D61,summary!$A$2:$A$24,0),MATCH($D60,summary!$A$2:$D$2,0)),0)</f>
        <v>0</v>
      </c>
      <c r="M64" s="109">
        <f>IF(OR(M$2=$H62,M$2&gt;$H62),INDEX(summary!$A$2:$D$24,MATCH($D61,summary!$A$2:$A$24,0),MATCH($D60,summary!$A$2:$D$2,0)),0)</f>
        <v>15462.809574999999</v>
      </c>
      <c r="N64" s="109">
        <f>IF(OR(N$2=$H62,N$2&gt;$H62),INDEX(summary!$A$2:$D$24,MATCH($D61,summary!$A$2:$A$24,0),MATCH($D60,summary!$A$2:$D$2,0)),0)</f>
        <v>15462.809574999999</v>
      </c>
      <c r="O64" s="109">
        <f>IF(OR(O$2=$H62,O$2&gt;$H62),INDEX(summary!$A$2:$D$24,MATCH($D61,summary!$A$2:$A$24,0),MATCH($D60,summary!$A$2:$D$2,0)),0)</f>
        <v>15462.809574999999</v>
      </c>
    </row>
    <row r="65" spans="2:15" ht="9" customHeight="1">
      <c r="B65" s="108" t="s">
        <v>194</v>
      </c>
      <c r="C65" s="855" t="s">
        <v>191</v>
      </c>
      <c r="D65" s="110">
        <f>INDEX(cockpit!$J$6:$Y$16,MATCH($D61,cockpit!$J$6:$J$16,0),MATCH($C$11,cockpit!$J$6:$Y$6,0))</f>
        <v>0</v>
      </c>
      <c r="E65" s="109">
        <f>E64*(1-$D65)</f>
        <v>0</v>
      </c>
      <c r="F65" s="109">
        <f t="shared" ref="F65:O65" si="64">F64*(1-$D65)</f>
        <v>0</v>
      </c>
      <c r="G65" s="109">
        <f t="shared" si="64"/>
        <v>0</v>
      </c>
      <c r="H65" s="109">
        <f t="shared" si="64"/>
        <v>0</v>
      </c>
      <c r="I65" s="109">
        <f t="shared" si="64"/>
        <v>0</v>
      </c>
      <c r="J65" s="109">
        <f t="shared" si="64"/>
        <v>0</v>
      </c>
      <c r="K65" s="109">
        <f t="shared" si="64"/>
        <v>0</v>
      </c>
      <c r="L65" s="109">
        <f t="shared" si="64"/>
        <v>0</v>
      </c>
      <c r="M65" s="109">
        <f t="shared" si="64"/>
        <v>15462.809574999999</v>
      </c>
      <c r="N65" s="109">
        <f t="shared" si="64"/>
        <v>15462.809574999999</v>
      </c>
      <c r="O65" s="109">
        <f t="shared" si="64"/>
        <v>15462.809574999999</v>
      </c>
    </row>
    <row r="66" spans="2:15" ht="9" customHeight="1">
      <c r="B66" s="108" t="s">
        <v>180</v>
      </c>
      <c r="C66" s="855" t="s">
        <v>152</v>
      </c>
      <c r="D66" s="122">
        <f>Retailrampup</f>
        <v>0.47499999999999998</v>
      </c>
      <c r="E66" s="109">
        <f>IF(OR(E$2=$H62,AND(E$2&gt;$H62,E$2&lt;(SUM($H62,INDEX(cockpit!$J$6:$Y$16,MATCH($D61,cockpit!$J$6:$J$16,0),MATCH($C$12,cockpit!$J$6:$Y$6,0)))))),E65*$D66,0)</f>
        <v>0</v>
      </c>
      <c r="F66" s="109">
        <f>IF(OR(F$2=$H62,AND(F$2&gt;$H62,F$2&lt;(SUM($H62,INDEX(cockpit!$J$6:$Y$16,MATCH($D61,cockpit!$J$6:$J$16,0),MATCH($C$12,cockpit!$J$6:$Y$6,0)))))),F65*$D66,0)</f>
        <v>0</v>
      </c>
      <c r="G66" s="109">
        <f>IF(OR(G$2=$H62,AND(G$2&gt;$H62,G$2&lt;(SUM($H62,INDEX(cockpit!$J$6:$Y$16,MATCH($D61,cockpit!$J$6:$J$16,0),MATCH($C$12,cockpit!$J$6:$Y$6,0)))))),G65*$D66,0)</f>
        <v>0</v>
      </c>
      <c r="H66" s="109">
        <f>IF(OR(H$2=$H62,AND(H$2&gt;$H62,H$2&lt;(SUM($H62,INDEX(cockpit!$J$6:$Y$16,MATCH($D61,cockpit!$J$6:$J$16,0),MATCH($C$12,cockpit!$J$6:$Y$6,0)))))),H65*$D66,0)</f>
        <v>0</v>
      </c>
      <c r="I66" s="109">
        <f>IF(OR(I$2=$H62,AND(I$2&gt;$H62,I$2&lt;(SUM($H62,INDEX(cockpit!$J$6:$Y$16,MATCH($D61,cockpit!$J$6:$J$16,0),MATCH($C$12,cockpit!$J$6:$Y$6,0)))))),I65*$D66,0)</f>
        <v>0</v>
      </c>
      <c r="J66" s="109">
        <f>IF(OR(J$2=$H62,AND(J$2&gt;$H62,J$2&lt;(SUM($H62,INDEX(cockpit!$J$6:$Y$16,MATCH($D61,cockpit!$J$6:$J$16,0),MATCH($C$12,cockpit!$J$6:$Y$6,0)))))),J65*$D66,0)</f>
        <v>0</v>
      </c>
      <c r="K66" s="109">
        <f>IF(OR(K$2=$H62,AND(K$2&gt;$H62,K$2&lt;(SUM($H62,INDEX(cockpit!$J$6:$Y$16,MATCH($D61,cockpit!$J$6:$J$16,0),MATCH($C$12,cockpit!$J$6:$Y$6,0)))))),K65*$D66,0)</f>
        <v>0</v>
      </c>
      <c r="L66" s="109">
        <f>IF(OR(L$2=$H62,AND(L$2&gt;$H62,L$2&lt;(SUM($H62,INDEX(cockpit!$J$6:$Y$16,MATCH($D61,cockpit!$J$6:$J$16,0),MATCH($C$12,cockpit!$J$6:$Y$6,0)))))),L65*$D66,0)</f>
        <v>0</v>
      </c>
      <c r="M66" s="109">
        <f>IF(OR(M$2=$H62,AND(M$2&gt;$H62,M$2&lt;(SUM($H62,INDEX(cockpit!$J$6:$Y$16,MATCH($D61,cockpit!$J$6:$J$16,0),MATCH($C$12,cockpit!$J$6:$Y$6,0)))))),M65*$D66,0)</f>
        <v>7344.8345481249989</v>
      </c>
      <c r="N66" s="109">
        <f>IF(OR(N$2=$H62,AND(N$2&gt;$H62,N$2&lt;(SUM($H62,INDEX(cockpit!$J$6:$Y$16,MATCH($D61,cockpit!$J$6:$J$16,0),MATCH($C$12,cockpit!$J$6:$Y$6,0)))))),N65*$D66,0)</f>
        <v>7344.8345481249989</v>
      </c>
      <c r="O66" s="109">
        <f>IF(OR(O$2=$H62,AND(O$2&gt;$H62,O$2&lt;(SUM($H62,INDEX(cockpit!$J$6:$Y$16,MATCH($D61,cockpit!$J$6:$J$16,0),MATCH($C$12,cockpit!$J$6:$Y$6,0)))))),O65*$D66,0)</f>
        <v>0</v>
      </c>
    </row>
    <row r="67" spans="2:15" ht="9" customHeight="1">
      <c r="B67" s="108" t="s">
        <v>181</v>
      </c>
      <c r="C67" s="855"/>
      <c r="D67" s="106"/>
      <c r="E67" s="109">
        <f>SUM($E66:E66)</f>
        <v>0</v>
      </c>
      <c r="F67" s="109">
        <f>SUM($E66:F66)</f>
        <v>0</v>
      </c>
      <c r="G67" s="109">
        <f>SUM($E66:G66)</f>
        <v>0</v>
      </c>
      <c r="H67" s="109">
        <f>SUM($E66:H66)</f>
        <v>0</v>
      </c>
      <c r="I67" s="109">
        <f>SUM($E66:I66)</f>
        <v>0</v>
      </c>
      <c r="J67" s="109">
        <f>SUM($E66:J66)</f>
        <v>0</v>
      </c>
      <c r="K67" s="109">
        <f>SUM($E66:K66)</f>
        <v>0</v>
      </c>
      <c r="L67" s="109">
        <f>SUM($E66:L66)</f>
        <v>0</v>
      </c>
      <c r="M67" s="109">
        <f>SUM($E66:M66)</f>
        <v>7344.8345481249989</v>
      </c>
      <c r="N67" s="109">
        <f>SUM($E66:N66)</f>
        <v>14689.669096249998</v>
      </c>
      <c r="O67" s="109">
        <f>SUM($E66:O66)</f>
        <v>14689.669096249998</v>
      </c>
    </row>
    <row r="68" spans="2:15" ht="9" customHeight="1">
      <c r="B68" s="106"/>
      <c r="C68" s="855"/>
      <c r="D68" s="106"/>
      <c r="E68" s="362">
        <f t="shared" ref="E68" si="65">IFERROR(1-(E67/E65),0)</f>
        <v>0</v>
      </c>
      <c r="F68" s="362">
        <f t="shared" ref="F68" si="66">IFERROR(1-(F67/F65),0)</f>
        <v>0</v>
      </c>
      <c r="G68" s="362">
        <f t="shared" ref="G68" si="67">IFERROR(1-(G67/G65),0)</f>
        <v>0</v>
      </c>
      <c r="H68" s="362">
        <f>IFERROR(1-(H67/H65),0)</f>
        <v>0</v>
      </c>
      <c r="I68" s="362">
        <f t="shared" ref="I68" si="68">IFERROR(1-(I67/I65),0)</f>
        <v>0</v>
      </c>
      <c r="J68" s="362">
        <f t="shared" ref="J68" si="69">IFERROR(1-(J67/J65),0)</f>
        <v>0</v>
      </c>
      <c r="K68" s="362">
        <f t="shared" ref="K68" si="70">IFERROR(1-(K67/K65),0)</f>
        <v>0</v>
      </c>
      <c r="L68" s="362">
        <f t="shared" ref="L68" si="71">IFERROR(1-(L67/L65),0)</f>
        <v>0</v>
      </c>
      <c r="M68" s="362">
        <f t="shared" ref="M68" si="72">IFERROR(1-(M67/M65),0)</f>
        <v>0.52500000000000002</v>
      </c>
      <c r="N68" s="362">
        <f t="shared" ref="N68" si="73">IFERROR(1-(N67/N65),0)</f>
        <v>5.0000000000000044E-2</v>
      </c>
      <c r="O68" s="362">
        <f t="shared" ref="O68" si="74">IFERROR(1-(O67/O65),0)</f>
        <v>5.0000000000000044E-2</v>
      </c>
    </row>
    <row r="69" spans="2:15" ht="9" customHeight="1">
      <c r="B69" s="108" t="s">
        <v>166</v>
      </c>
      <c r="C69" s="855"/>
      <c r="D69" s="111">
        <f>(OfficemarketratePSF*(1-$K60))+((OfficemarketratePSF*(1+premiumprices)*$K60))</f>
        <v>25</v>
      </c>
      <c r="E69" s="112">
        <f t="shared" ref="E69:O69" si="75">E67*($D69*((1+Inflation)^(E$2-1)))</f>
        <v>0</v>
      </c>
      <c r="F69" s="112">
        <f t="shared" si="75"/>
        <v>0</v>
      </c>
      <c r="G69" s="112">
        <f t="shared" si="75"/>
        <v>0</v>
      </c>
      <c r="H69" s="112">
        <f t="shared" si="75"/>
        <v>0</v>
      </c>
      <c r="I69" s="112">
        <f t="shared" si="75"/>
        <v>0</v>
      </c>
      <c r="J69" s="112">
        <f t="shared" si="75"/>
        <v>0</v>
      </c>
      <c r="K69" s="112">
        <f t="shared" si="75"/>
        <v>0</v>
      </c>
      <c r="L69" s="112">
        <f t="shared" si="75"/>
        <v>0</v>
      </c>
      <c r="M69" s="112">
        <f t="shared" si="75"/>
        <v>210922.65441716151</v>
      </c>
      <c r="N69" s="112">
        <f t="shared" si="75"/>
        <v>430282.21501100954</v>
      </c>
      <c r="O69" s="112">
        <f t="shared" si="75"/>
        <v>438887.85931122972</v>
      </c>
    </row>
    <row r="70" spans="2:15" ht="9" customHeight="1">
      <c r="B70" s="108" t="s">
        <v>216</v>
      </c>
      <c r="C70" s="855"/>
      <c r="D70" s="111">
        <f>IF(INDEX(cockpit!$J$6:$Y$16,MATCH($D61,cockpit!$J$6:$J$16,0),MATCH($B70,cockpit!$J$6:$Y$6,0))="Y",D71,0)</f>
        <v>11</v>
      </c>
      <c r="E70" s="112">
        <f t="shared" ref="E70" si="76">-IF($D70&gt;0,E71,0)*(1-E68)</f>
        <v>0</v>
      </c>
      <c r="F70" s="112">
        <f t="shared" ref="F70" si="77">-IF($D70&gt;0,F71,0)*(1-F68)</f>
        <v>0</v>
      </c>
      <c r="G70" s="112">
        <f t="shared" ref="G70" si="78">-IF($D70&gt;0,G71,0)*(1-G68)</f>
        <v>0</v>
      </c>
      <c r="H70" s="112">
        <f t="shared" ref="H70" si="79">-IF($D70&gt;0,H71,0)*(1-H68)</f>
        <v>0</v>
      </c>
      <c r="I70" s="112">
        <f t="shared" ref="I70" si="80">-IF($D70&gt;0,I71,0)*(1-I68)</f>
        <v>0</v>
      </c>
      <c r="J70" s="112">
        <f t="shared" ref="J70" si="81">-IF($D70&gt;0,J71,0)*(1-J68)</f>
        <v>0</v>
      </c>
      <c r="K70" s="112">
        <f t="shared" ref="K70" si="82">-IF($D70&gt;0,K71,0)*(1-K68)</f>
        <v>0</v>
      </c>
      <c r="L70" s="112">
        <f t="shared" ref="L70" si="83">-IF($D70&gt;0,L71,0)*(1-L68)</f>
        <v>0</v>
      </c>
      <c r="M70" s="112">
        <f t="shared" ref="M70" si="84">-IF($D70&gt;0,M71,0)*(1-M68)</f>
        <v>92805.967943551077</v>
      </c>
      <c r="N70" s="112">
        <f t="shared" ref="N70" si="85">-IF($D70&gt;0,N71,0)*(1-N68)</f>
        <v>189324.17460484421</v>
      </c>
      <c r="O70" s="112">
        <f t="shared" ref="O70" si="86">-IF($D70&gt;0,O71,0)*(1-O68)</f>
        <v>193110.6580969411</v>
      </c>
    </row>
    <row r="71" spans="2:15" ht="9" customHeight="1">
      <c r="B71" s="108" t="s">
        <v>123</v>
      </c>
      <c r="C71" s="855"/>
      <c r="D71" s="111">
        <f>INDEX(cockpit!$J$6:$Y$16,MATCH($D61,cockpit!$J$6:$J$16,0),MATCH($B71,cockpit!$J$6:$Y$6,0))</f>
        <v>11</v>
      </c>
      <c r="E71" s="113">
        <f t="shared" ref="E71:O71" si="87">-IF($D71&gt;1,E64*($D71*((1+Inflation)^(E$2-1))),E69*(1-$D71))</f>
        <v>0</v>
      </c>
      <c r="F71" s="113">
        <f t="shared" si="87"/>
        <v>0</v>
      </c>
      <c r="G71" s="113">
        <f t="shared" si="87"/>
        <v>0</v>
      </c>
      <c r="H71" s="113">
        <f t="shared" si="87"/>
        <v>0</v>
      </c>
      <c r="I71" s="113">
        <f t="shared" si="87"/>
        <v>0</v>
      </c>
      <c r="J71" s="113">
        <f t="shared" si="87"/>
        <v>0</v>
      </c>
      <c r="K71" s="113">
        <f t="shared" si="87"/>
        <v>0</v>
      </c>
      <c r="L71" s="113">
        <f t="shared" si="87"/>
        <v>0</v>
      </c>
      <c r="M71" s="113">
        <f t="shared" si="87"/>
        <v>-195380.98514431805</v>
      </c>
      <c r="N71" s="113">
        <f t="shared" si="87"/>
        <v>-199288.60484720443</v>
      </c>
      <c r="O71" s="113">
        <f t="shared" si="87"/>
        <v>-203274.37694414853</v>
      </c>
    </row>
    <row r="72" spans="2:15" ht="9" customHeight="1">
      <c r="B72" s="114" t="s">
        <v>167</v>
      </c>
      <c r="C72" s="855"/>
      <c r="D72" s="106"/>
      <c r="E72" s="112">
        <f>SUM(E69:E71)</f>
        <v>0</v>
      </c>
      <c r="F72" s="112">
        <f t="shared" ref="F72:O72" si="88">SUM(F69:F71)</f>
        <v>0</v>
      </c>
      <c r="G72" s="112">
        <f t="shared" si="88"/>
        <v>0</v>
      </c>
      <c r="H72" s="112">
        <f t="shared" si="88"/>
        <v>0</v>
      </c>
      <c r="I72" s="112">
        <f t="shared" si="88"/>
        <v>0</v>
      </c>
      <c r="J72" s="112">
        <f t="shared" si="88"/>
        <v>0</v>
      </c>
      <c r="K72" s="112">
        <f t="shared" si="88"/>
        <v>0</v>
      </c>
      <c r="L72" s="112">
        <f t="shared" si="88"/>
        <v>0</v>
      </c>
      <c r="M72" s="112">
        <f t="shared" si="88"/>
        <v>108347.63721639456</v>
      </c>
      <c r="N72" s="112">
        <f t="shared" si="88"/>
        <v>420317.78476864938</v>
      </c>
      <c r="O72" s="112">
        <f t="shared" si="88"/>
        <v>428724.14046402229</v>
      </c>
    </row>
    <row r="73" spans="2:15" ht="9" customHeight="1">
      <c r="B73" s="106"/>
      <c r="C73" s="855"/>
      <c r="D73" s="106"/>
      <c r="E73" s="187">
        <f t="shared" ref="E73:O73" si="89">IFERROR(E72/SUM(E69:E70),0)</f>
        <v>0</v>
      </c>
      <c r="F73" s="187">
        <f t="shared" si="89"/>
        <v>0</v>
      </c>
      <c r="G73" s="187">
        <f t="shared" si="89"/>
        <v>0</v>
      </c>
      <c r="H73" s="187">
        <f t="shared" si="89"/>
        <v>0</v>
      </c>
      <c r="I73" s="187">
        <f t="shared" si="89"/>
        <v>0</v>
      </c>
      <c r="J73" s="187">
        <f t="shared" si="89"/>
        <v>0</v>
      </c>
      <c r="K73" s="187">
        <f t="shared" si="89"/>
        <v>0</v>
      </c>
      <c r="L73" s="187">
        <f t="shared" si="89"/>
        <v>0</v>
      </c>
      <c r="M73" s="187">
        <f t="shared" si="89"/>
        <v>0.35672514619883045</v>
      </c>
      <c r="N73" s="187">
        <f t="shared" si="89"/>
        <v>0.67836257309941528</v>
      </c>
      <c r="O73" s="187">
        <f t="shared" si="89"/>
        <v>0.67836257309941517</v>
      </c>
    </row>
    <row r="74" spans="2:15" ht="9" customHeight="1">
      <c r="B74" s="108" t="s">
        <v>168</v>
      </c>
      <c r="C74" s="855"/>
      <c r="D74" s="115">
        <f>INDEX(cockpit!$J$6:$Y$16,MATCH($D61,cockpit!$J$6:$J$16,0),MATCH($B74,cockpit!$J$6:$Y$6,0))</f>
        <v>0.05</v>
      </c>
      <c r="E74" s="112">
        <f>-E65*$D74</f>
        <v>0</v>
      </c>
      <c r="F74" s="112">
        <f t="shared" ref="F74:O74" si="90">-F65*$D74</f>
        <v>0</v>
      </c>
      <c r="G74" s="112">
        <f t="shared" si="90"/>
        <v>0</v>
      </c>
      <c r="H74" s="112">
        <f t="shared" si="90"/>
        <v>0</v>
      </c>
      <c r="I74" s="112">
        <f t="shared" si="90"/>
        <v>0</v>
      </c>
      <c r="J74" s="112">
        <f t="shared" si="90"/>
        <v>0</v>
      </c>
      <c r="K74" s="112">
        <f t="shared" si="90"/>
        <v>0</v>
      </c>
      <c r="L74" s="112">
        <f t="shared" si="90"/>
        <v>0</v>
      </c>
      <c r="M74" s="112">
        <f t="shared" si="90"/>
        <v>-773.14047875000006</v>
      </c>
      <c r="N74" s="112">
        <f t="shared" si="90"/>
        <v>-773.14047875000006</v>
      </c>
      <c r="O74" s="112">
        <f t="shared" si="90"/>
        <v>-773.14047875000006</v>
      </c>
    </row>
    <row r="75" spans="2:15" ht="9" customHeight="1">
      <c r="B75" s="108" t="s">
        <v>162</v>
      </c>
      <c r="C75" s="855"/>
      <c r="D75" s="115">
        <f>INDEX(cockpit!$J$6:$Y$16,MATCH($D61,cockpit!$J$6:$J$16,0),MATCH($B75,cockpit!$J$6:$Y$6,0))</f>
        <v>1</v>
      </c>
      <c r="E75" s="113">
        <f>-E67*$D75</f>
        <v>0</v>
      </c>
      <c r="F75" s="113">
        <f t="shared" ref="F75:O75" si="91">-F67*$D75</f>
        <v>0</v>
      </c>
      <c r="G75" s="113">
        <f t="shared" si="91"/>
        <v>0</v>
      </c>
      <c r="H75" s="113">
        <f t="shared" si="91"/>
        <v>0</v>
      </c>
      <c r="I75" s="113">
        <f t="shared" si="91"/>
        <v>0</v>
      </c>
      <c r="J75" s="113">
        <f t="shared" si="91"/>
        <v>0</v>
      </c>
      <c r="K75" s="113">
        <f t="shared" si="91"/>
        <v>0</v>
      </c>
      <c r="L75" s="113">
        <f t="shared" si="91"/>
        <v>0</v>
      </c>
      <c r="M75" s="113">
        <f t="shared" si="91"/>
        <v>-7344.8345481249989</v>
      </c>
      <c r="N75" s="113">
        <f t="shared" si="91"/>
        <v>-14689.669096249998</v>
      </c>
      <c r="O75" s="113">
        <f t="shared" si="91"/>
        <v>-14689.669096249998</v>
      </c>
    </row>
    <row r="76" spans="2:15" ht="9" customHeight="1">
      <c r="B76" s="114" t="s">
        <v>195</v>
      </c>
      <c r="C76" s="855"/>
      <c r="D76" s="115"/>
      <c r="E76" s="112">
        <f>SUM(E74:E75)</f>
        <v>0</v>
      </c>
      <c r="F76" s="112">
        <f t="shared" ref="F76:O76" si="92">SUM(F74:F75)</f>
        <v>0</v>
      </c>
      <c r="G76" s="112">
        <f t="shared" si="92"/>
        <v>0</v>
      </c>
      <c r="H76" s="112">
        <f t="shared" si="92"/>
        <v>0</v>
      </c>
      <c r="I76" s="112">
        <f t="shared" si="92"/>
        <v>0</v>
      </c>
      <c r="J76" s="112">
        <f t="shared" si="92"/>
        <v>0</v>
      </c>
      <c r="K76" s="112">
        <f t="shared" si="92"/>
        <v>0</v>
      </c>
      <c r="L76" s="112">
        <f t="shared" si="92"/>
        <v>0</v>
      </c>
      <c r="M76" s="112">
        <f t="shared" si="92"/>
        <v>-8117.9750268749995</v>
      </c>
      <c r="N76" s="112">
        <f t="shared" si="92"/>
        <v>-15462.809574999997</v>
      </c>
      <c r="O76" s="112">
        <f t="shared" si="92"/>
        <v>-15462.809574999997</v>
      </c>
    </row>
    <row r="77" spans="2:15" ht="9" customHeight="1">
      <c r="B77" s="108"/>
      <c r="C77" s="855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</row>
    <row r="78" spans="2:15" ht="9" customHeight="1">
      <c r="B78" s="108" t="s">
        <v>688</v>
      </c>
      <c r="C78" s="855"/>
      <c r="D78" s="111">
        <f>INDEX(cockpit!$J$6:$Y$16,MATCH($D61,cockpit!$J$6:$J$16,0),MATCH($B78,cockpit!$J$6:$Y$6,0))</f>
        <v>60</v>
      </c>
      <c r="E78" s="112">
        <f t="shared" ref="E78:O78" si="93">-(IF(E79&lt;0,SUM($E66:$O66)*$D78*(1+Inflation)^(E$2-1)*(1+Developerfee)))/constructiontimephase3</f>
        <v>0</v>
      </c>
      <c r="F78" s="112">
        <f t="shared" si="93"/>
        <v>0</v>
      </c>
      <c r="G78" s="112">
        <f t="shared" si="93"/>
        <v>0</v>
      </c>
      <c r="H78" s="112">
        <f t="shared" si="93"/>
        <v>0</v>
      </c>
      <c r="I78" s="112">
        <f t="shared" si="93"/>
        <v>0</v>
      </c>
      <c r="J78" s="112">
        <f t="shared" si="93"/>
        <v>0</v>
      </c>
      <c r="K78" s="112">
        <f t="shared" si="93"/>
        <v>-501154.17312497442</v>
      </c>
      <c r="L78" s="112">
        <f t="shared" si="93"/>
        <v>-511177.25658747391</v>
      </c>
      <c r="M78" s="112">
        <f t="shared" si="93"/>
        <v>0</v>
      </c>
      <c r="N78" s="112">
        <f t="shared" si="93"/>
        <v>0</v>
      </c>
      <c r="O78" s="112">
        <f t="shared" si="93"/>
        <v>0</v>
      </c>
    </row>
    <row r="79" spans="2:15" ht="9" customHeight="1">
      <c r="B79" s="108" t="s">
        <v>170</v>
      </c>
      <c r="C79" s="855"/>
      <c r="D79" s="111">
        <f>(RetailconstructioncostPSF*(1-$K60))+((RetailconstructioncostPSF*(1+premiumprices)*$K60))</f>
        <v>135</v>
      </c>
      <c r="E79" s="112">
        <f>-IF(OR(E$2=$H60,E$2=$H61,AND(E$2&gt;$H60,E$2&lt;$H61)),(INDEX(summary!$A$2:$D$24,MATCH($D61,summary!$A$2:$A$24,0),MATCH($D60,summary!$A$2:$D$2,0)))/constructiontimephase3)*($D79*((1+Inflation)^(E$2-1)))*(1+Developerfee)</f>
        <v>0</v>
      </c>
      <c r="F79" s="112">
        <f>-IF(OR(F$2=$H60,F$2=$H61,AND(F$2&gt;$H60,F$2&lt;$H61)),(INDEX(summary!$A$2:$D$24,MATCH($D61,summary!$A$2:$A$24,0),MATCH($D60,summary!$A$2:$D$2,0)))/constructiontimephase3)*($D79*((1+Inflation)^(F$2-1)))*(1+Developerfee)</f>
        <v>0</v>
      </c>
      <c r="G79" s="112">
        <f>-IF(OR(G$2=$H60,G$2=$H61,AND(G$2&gt;$H60,G$2&lt;$H61)),(INDEX(summary!$A$2:$D$24,MATCH($D61,summary!$A$2:$A$24,0),MATCH($D60,summary!$A$2:$D$2,0)))/constructiontimephase3)*($D79*((1+Inflation)^(G$2-1)))*(1+Developerfee)</f>
        <v>0</v>
      </c>
      <c r="H79" s="112">
        <f>-IF(OR(H$2=$H60,H$2=$H61,AND(H$2&gt;$H60,H$2&lt;$H61)),(INDEX(summary!$A$2:$D$24,MATCH($D61,summary!$A$2:$A$24,0),MATCH($D60,summary!$A$2:$D$2,0)))/constructiontimephase3)*($D79*((1+Inflation)^(H$2-1)))*(1+Developerfee)</f>
        <v>0</v>
      </c>
      <c r="I79" s="112">
        <f>-IF(OR(I$2=$H60,I$2=$H61,AND(I$2&gt;$H60,I$2&lt;$H61)),(INDEX(summary!$A$2:$D$24,MATCH($D61,summary!$A$2:$A$24,0),MATCH($D60,summary!$A$2:$D$2,0)))/constructiontimephase3)*($D79*((1+Inflation)^(I$2-1)))*(1+Developerfee)</f>
        <v>0</v>
      </c>
      <c r="J79" s="112">
        <f>-IF(OR(J$2=$H60,J$2=$H61,AND(J$2&gt;$H60,J$2&lt;$H61)),(INDEX(summary!$A$2:$D$24,MATCH($D61,summary!$A$2:$A$24,0),MATCH($D60,summary!$A$2:$D$2,0)))/constructiontimephase3)*($D79*((1+Inflation)^(J$2-1)))*(1+Developerfee)</f>
        <v>0</v>
      </c>
      <c r="K79" s="112">
        <f>-IF(OR(K$2=$H60,K$2=$H61,AND(K$2&gt;$H60,K$2&lt;$H61)),(INDEX(summary!$A$2:$D$24,MATCH($D61,summary!$A$2:$A$24,0),MATCH($D60,summary!$A$2:$D$2,0)))/constructiontimephase3)*($D79*((1+Inflation)^(K$2-1)))*(1+Developerfee)</f>
        <v>-1186944.0942433607</v>
      </c>
      <c r="L79" s="112">
        <f>-IF(OR(L$2=$H60,L$2=$H61,AND(L$2&gt;$H60,L$2&lt;$H61)),(INDEX(summary!$A$2:$D$24,MATCH($D61,summary!$A$2:$A$24,0),MATCH($D60,summary!$A$2:$D$2,0)))/constructiontimephase3)*($D79*((1+Inflation)^(L$2-1)))*(1+Developerfee)</f>
        <v>-1210682.9761282278</v>
      </c>
      <c r="M79" s="112">
        <f>-IF(OR(M$2=$H60,M$2=$H61,AND(M$2&gt;$H60,M$2&lt;$H61)),(INDEX(summary!$A$2:$D$24,MATCH($D61,summary!$A$2:$A$24,0),MATCH($D60,summary!$A$2:$D$2,0)))/constructiontimephase3)*($D79*((1+Inflation)^(M$2-1)))*(1+Developerfee)</f>
        <v>0</v>
      </c>
      <c r="N79" s="112">
        <f>-IF(OR(N$2=$H60,N$2=$H61,AND(N$2&gt;$H60,N$2&lt;$H61)),(INDEX(summary!$A$2:$D$24,MATCH($D61,summary!$A$2:$A$24,0),MATCH($D60,summary!$A$2:$D$2,0)))/constructiontimephase3)*($D79*((1+Inflation)^(N$2-1)))*(1+Developerfee)</f>
        <v>0</v>
      </c>
      <c r="O79" s="112">
        <f>-IF(OR(O$2=$H60,O$2=$H61,AND(O$2&gt;$H60,O$2&lt;$H61)),(INDEX(summary!$A$2:$D$24,MATCH($D61,summary!$A$2:$A$24,0),MATCH($D60,summary!$A$2:$D$2,0)))/constructiontimephase3)*($D79*((1+Inflation)^(O$2-1)))*(1+Developerfee)</f>
        <v>0</v>
      </c>
    </row>
    <row r="80" spans="2:15" ht="9" customHeight="1">
      <c r="B80" s="108" t="s">
        <v>197</v>
      </c>
      <c r="C80" s="855" t="s">
        <v>189</v>
      </c>
      <c r="D80" s="122">
        <f>(INDEX(cockpit!$J$6:$Y$16,MATCH($D61,cockpit!$J$6:$J$16,0),MATCH($C80,cockpit!$J$6:$Y$6,0))*(1-$K60))+((INDEX(cockpit!$J$6:$Y$16,MATCH($D61,cockpit!$J$6:$J$16,0),MATCH($C80,cockpit!$J$6:$Y$6,0))-(Premiumexitcaprate))*$K60)</f>
        <v>7.4999999999999997E-2</v>
      </c>
      <c r="E80" s="113">
        <f t="shared" ref="E80:O80" si="94">IF(E$2=dispositionyear,E72/$D80,0)*(1-Closingcosts)</f>
        <v>0</v>
      </c>
      <c r="F80" s="113">
        <f t="shared" si="94"/>
        <v>0</v>
      </c>
      <c r="G80" s="113">
        <f t="shared" si="94"/>
        <v>0</v>
      </c>
      <c r="H80" s="113">
        <f t="shared" si="94"/>
        <v>0</v>
      </c>
      <c r="I80" s="113">
        <f t="shared" si="94"/>
        <v>0</v>
      </c>
      <c r="J80" s="113">
        <f t="shared" si="94"/>
        <v>0</v>
      </c>
      <c r="K80" s="113">
        <f t="shared" si="94"/>
        <v>0</v>
      </c>
      <c r="L80" s="113">
        <f t="shared" si="94"/>
        <v>0</v>
      </c>
      <c r="M80" s="113">
        <f t="shared" si="94"/>
        <v>0</v>
      </c>
      <c r="N80" s="113">
        <f t="shared" si="94"/>
        <v>0</v>
      </c>
      <c r="O80" s="113">
        <f t="shared" si="94"/>
        <v>5573413.8260322902</v>
      </c>
    </row>
    <row r="81" spans="2:15" ht="9" customHeight="1">
      <c r="B81" s="114" t="s">
        <v>196</v>
      </c>
      <c r="C81" s="855"/>
      <c r="D81" s="110"/>
      <c r="E81" s="112">
        <f>SUM(E78:E80)</f>
        <v>0</v>
      </c>
      <c r="F81" s="112">
        <f t="shared" ref="F81:O81" si="95">SUM(F78:F80)</f>
        <v>0</v>
      </c>
      <c r="G81" s="112">
        <f t="shared" si="95"/>
        <v>0</v>
      </c>
      <c r="H81" s="112">
        <f t="shared" si="95"/>
        <v>0</v>
      </c>
      <c r="I81" s="112">
        <f t="shared" si="95"/>
        <v>0</v>
      </c>
      <c r="J81" s="112">
        <f t="shared" si="95"/>
        <v>0</v>
      </c>
      <c r="K81" s="112">
        <f t="shared" si="95"/>
        <v>-1688098.267368335</v>
      </c>
      <c r="L81" s="112">
        <f t="shared" si="95"/>
        <v>-1721860.2327157017</v>
      </c>
      <c r="M81" s="112">
        <f t="shared" si="95"/>
        <v>0</v>
      </c>
      <c r="N81" s="112">
        <f t="shared" si="95"/>
        <v>0</v>
      </c>
      <c r="O81" s="112">
        <f t="shared" si="95"/>
        <v>5573413.8260322902</v>
      </c>
    </row>
    <row r="82" spans="2:15" ht="9" customHeight="1">
      <c r="B82" s="108"/>
      <c r="C82" s="855"/>
      <c r="D82" s="110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2:15" ht="9" customHeight="1">
      <c r="B83" s="114" t="s">
        <v>169</v>
      </c>
      <c r="C83" s="856"/>
      <c r="D83" s="116">
        <f ca="1">IRR(OFFSET(E83,0,0,1,Investmenthorizon+1))</f>
        <v>0.20757405990256728</v>
      </c>
      <c r="E83" s="117">
        <f>SUM(E72,E76,E81)</f>
        <v>0</v>
      </c>
      <c r="F83" s="117">
        <f t="shared" ref="F83:O83" si="96">SUM(F72,F76,F81)</f>
        <v>0</v>
      </c>
      <c r="G83" s="117">
        <f t="shared" si="96"/>
        <v>0</v>
      </c>
      <c r="H83" s="117">
        <f t="shared" si="96"/>
        <v>0</v>
      </c>
      <c r="I83" s="117">
        <f t="shared" si="96"/>
        <v>0</v>
      </c>
      <c r="J83" s="117">
        <f t="shared" si="96"/>
        <v>0</v>
      </c>
      <c r="K83" s="117">
        <f t="shared" si="96"/>
        <v>-1688098.267368335</v>
      </c>
      <c r="L83" s="117">
        <f t="shared" si="96"/>
        <v>-1721860.2327157017</v>
      </c>
      <c r="M83" s="117">
        <f t="shared" si="96"/>
        <v>100229.66218951956</v>
      </c>
      <c r="N83" s="117">
        <f t="shared" si="96"/>
        <v>404854.97519364936</v>
      </c>
      <c r="O83" s="117">
        <f t="shared" si="96"/>
        <v>5986675.1569213122</v>
      </c>
    </row>
    <row r="84" spans="2:15" ht="9" customHeight="1">
      <c r="B84" s="114"/>
      <c r="C84" s="856"/>
      <c r="D84" s="118"/>
      <c r="E84" s="106"/>
      <c r="F84" s="106"/>
      <c r="G84" s="106"/>
      <c r="H84" s="119"/>
      <c r="I84" s="106"/>
      <c r="J84" s="106"/>
      <c r="K84" s="106"/>
      <c r="L84" s="106"/>
      <c r="M84" s="106"/>
      <c r="N84" s="106"/>
      <c r="O84" s="106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BDD03-997A-4C92-8079-D457698623F5}">
  <sheetPr>
    <tabColor theme="9" tint="0.59999389629810485"/>
  </sheetPr>
  <dimension ref="B2:R87"/>
  <sheetViews>
    <sheetView showGridLines="0" zoomScale="80" zoomScaleNormal="80" workbookViewId="0">
      <selection activeCell="D41" sqref="D41"/>
    </sheetView>
  </sheetViews>
  <sheetFormatPr defaultRowHeight="9" customHeight="1"/>
  <cols>
    <col min="1" max="1" width="8.7265625" style="531"/>
    <col min="2" max="2" width="24.1796875" style="531" bestFit="1" customWidth="1"/>
    <col min="3" max="3" width="1.1796875" style="531" customWidth="1"/>
    <col min="4" max="4" width="8.7265625" style="531"/>
    <col min="5" max="5" width="9" style="531" bestFit="1" customWidth="1"/>
    <col min="6" max="7" width="11.453125" style="531" bestFit="1" customWidth="1"/>
    <col min="8" max="8" width="10.36328125" style="531" bestFit="1" customWidth="1"/>
    <col min="9" max="9" width="10.26953125" style="531" customWidth="1"/>
    <col min="10" max="14" width="11.08984375" style="531" bestFit="1" customWidth="1"/>
    <col min="15" max="15" width="11.7265625" style="531" bestFit="1" customWidth="1"/>
    <col min="16" max="16" width="14.90625" style="531" bestFit="1" customWidth="1"/>
    <col min="17" max="17" width="13.90625" style="531" bestFit="1" customWidth="1"/>
    <col min="18" max="16384" width="8.7265625" style="531"/>
  </cols>
  <sheetData>
    <row r="2" spans="2:18" ht="9" customHeight="1" thickBot="1">
      <c r="B2" s="625" t="s">
        <v>175</v>
      </c>
      <c r="C2" s="625"/>
      <c r="D2" s="625"/>
      <c r="E2" s="625">
        <v>0</v>
      </c>
      <c r="F2" s="625">
        <v>1</v>
      </c>
      <c r="G2" s="625">
        <v>2</v>
      </c>
      <c r="H2" s="625">
        <v>3</v>
      </c>
      <c r="I2" s="625">
        <v>4</v>
      </c>
      <c r="J2" s="625">
        <v>5</v>
      </c>
      <c r="K2" s="625">
        <v>6</v>
      </c>
      <c r="L2" s="625">
        <v>7</v>
      </c>
      <c r="M2" s="625">
        <v>8</v>
      </c>
      <c r="N2" s="625">
        <v>9</v>
      </c>
      <c r="O2" s="625">
        <v>10</v>
      </c>
    </row>
    <row r="3" spans="2:18" ht="9" customHeight="1" thickBot="1"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</row>
    <row r="4" spans="2:18" ht="9" customHeight="1">
      <c r="B4" s="627" t="s">
        <v>198</v>
      </c>
      <c r="C4" s="628"/>
      <c r="D4" s="628"/>
      <c r="E4" s="629"/>
      <c r="F4" s="630"/>
      <c r="G4" s="630"/>
      <c r="H4" s="630"/>
      <c r="I4" s="630"/>
      <c r="J4" s="630"/>
      <c r="K4" s="631"/>
      <c r="L4" s="626"/>
      <c r="M4" s="626"/>
      <c r="N4" s="626"/>
      <c r="O4" s="626"/>
    </row>
    <row r="5" spans="2:18" ht="9" customHeight="1">
      <c r="B5" s="632" t="s">
        <v>89</v>
      </c>
      <c r="C5" s="633"/>
      <c r="D5" s="634">
        <f>Phase1</f>
        <v>1</v>
      </c>
      <c r="E5" s="633"/>
      <c r="F5" s="633"/>
      <c r="G5" s="626" t="s">
        <v>204</v>
      </c>
      <c r="H5" s="634">
        <f>Phase1begin</f>
        <v>1</v>
      </c>
      <c r="I5" s="633"/>
      <c r="J5" s="626" t="s">
        <v>201</v>
      </c>
      <c r="K5" s="635">
        <f>summary!AF20</f>
        <v>0</v>
      </c>
      <c r="L5" s="633"/>
      <c r="M5" s="633"/>
      <c r="N5" s="633"/>
      <c r="O5" s="633"/>
    </row>
    <row r="6" spans="2:18" ht="9" customHeight="1">
      <c r="B6" s="632" t="s">
        <v>93</v>
      </c>
      <c r="C6" s="633"/>
      <c r="D6" s="636" t="s">
        <v>221</v>
      </c>
      <c r="E6" s="633"/>
      <c r="F6" s="633"/>
      <c r="G6" s="626" t="s">
        <v>205</v>
      </c>
      <c r="H6" s="634">
        <f>Phase1end</f>
        <v>3</v>
      </c>
      <c r="I6" s="633"/>
      <c r="J6" s="633"/>
      <c r="K6" s="637"/>
      <c r="L6" s="633"/>
      <c r="M6" s="633"/>
      <c r="N6" s="633"/>
      <c r="O6" s="633"/>
    </row>
    <row r="7" spans="2:18" ht="9" customHeight="1" thickBot="1">
      <c r="B7" s="638"/>
      <c r="C7" s="639"/>
      <c r="D7" s="639"/>
      <c r="E7" s="639"/>
      <c r="F7" s="639"/>
      <c r="G7" s="625" t="s">
        <v>199</v>
      </c>
      <c r="H7" s="640">
        <f>Phase1open</f>
        <v>4</v>
      </c>
      <c r="I7" s="639"/>
      <c r="J7" s="639"/>
      <c r="K7" s="641"/>
      <c r="L7" s="633"/>
      <c r="M7" s="633"/>
      <c r="N7" s="633"/>
      <c r="O7" s="633"/>
    </row>
    <row r="8" spans="2:18" ht="9" customHeight="1">
      <c r="B8" s="633"/>
      <c r="C8" s="642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</row>
    <row r="9" spans="2:18" ht="9" customHeight="1">
      <c r="B9" s="643" t="s">
        <v>182</v>
      </c>
      <c r="C9" s="643"/>
      <c r="D9" s="633"/>
      <c r="E9" s="644">
        <f>IF(OR(E$2=$H7,E$2&gt;$H7),INDEX(summary!$A$2:$D$24,MATCH($D6,summary!$A$2:$A$24,0),MATCH($D5,summary!$A$2:$D$2,0)),0)</f>
        <v>0</v>
      </c>
      <c r="F9" s="644">
        <f>IF(OR(F$2=$H7,F$2&gt;$H7),INDEX(summary!$A$2:$D$24,MATCH($D6,summary!$A$2:$A$24,0),MATCH($D5,summary!$A$2:$D$2,0)),0)</f>
        <v>0</v>
      </c>
      <c r="G9" s="644">
        <f>IF(OR(G$2=$H7,G$2&gt;$H7),INDEX(summary!$A$2:$D$24,MATCH($D6,summary!$A$2:$A$24,0),MATCH($D5,summary!$A$2:$D$2,0)),0)</f>
        <v>0</v>
      </c>
      <c r="H9" s="644">
        <f>IF(OR(H$2=$H7,H$2&gt;$H7),INDEX(summary!$A$2:$D$24,MATCH($D6,summary!$A$2:$A$24,0),MATCH($D5,summary!$A$2:$D$2,0)),0)</f>
        <v>0</v>
      </c>
      <c r="I9" s="644">
        <f>IF(OR(I$2=$H7,I$2&gt;$H7),INDEX(summary!$A$2:$D$24,MATCH($D6,summary!$A$2:$A$24,0),MATCH($D5,summary!$A$2:$D$2,0)),0)</f>
        <v>129012.52439999999</v>
      </c>
      <c r="J9" s="644">
        <f>IF(OR(J$2=$H7,J$2&gt;$H7),INDEX(summary!$A$2:$D$24,MATCH($D6,summary!$A$2:$A$24,0),MATCH($D5,summary!$A$2:$D$2,0)),0)</f>
        <v>129012.52439999999</v>
      </c>
      <c r="K9" s="644">
        <f>IF(OR(K$2=$H7,K$2&gt;$H7),INDEX(summary!$A$2:$D$24,MATCH($D6,summary!$A$2:$A$24,0),MATCH($D5,summary!$A$2:$D$2,0)),0)</f>
        <v>129012.52439999999</v>
      </c>
      <c r="L9" s="644">
        <f>IF(OR(L$2=$H7,L$2&gt;$H7),INDEX(summary!$A$2:$D$24,MATCH($D6,summary!$A$2:$A$24,0),MATCH($D5,summary!$A$2:$D$2,0)),0)</f>
        <v>129012.52439999999</v>
      </c>
      <c r="M9" s="644">
        <f>IF(OR(M$2=$H7,M$2&gt;$H7),INDEX(summary!$A$2:$D$24,MATCH($D6,summary!$A$2:$A$24,0),MATCH($D5,summary!$A$2:$D$2,0)),0)</f>
        <v>129012.52439999999</v>
      </c>
      <c r="N9" s="644">
        <f>IF(OR(N$2=$H7,N$2&gt;$H7),INDEX(summary!$A$2:$D$24,MATCH($D6,summary!$A$2:$A$24,0),MATCH($D5,summary!$A$2:$D$2,0)),0)</f>
        <v>129012.52439999999</v>
      </c>
      <c r="O9" s="644">
        <f>IF(OR(O$2=$H7,O$2&gt;$H7),INDEX(summary!$A$2:$D$24,MATCH($D6,summary!$A$2:$A$24,0),MATCH($D5,summary!$A$2:$D$2,0)),0)</f>
        <v>129012.52439999999</v>
      </c>
      <c r="R9" s="531" t="s">
        <v>946</v>
      </c>
    </row>
    <row r="10" spans="2:18" ht="9" customHeight="1">
      <c r="B10" s="643" t="s">
        <v>194</v>
      </c>
      <c r="C10" s="645" t="s">
        <v>191</v>
      </c>
      <c r="D10" s="646">
        <f>INDEX(cockpit!$J$6:$Y$16,MATCH($D6,cockpit!$J$6:$J$16,0),MATCH($C$10,cockpit!$J$6:$Y$6,0))</f>
        <v>0.25</v>
      </c>
      <c r="E10" s="644">
        <f>E9*(1-$D10)</f>
        <v>0</v>
      </c>
      <c r="F10" s="644">
        <f t="shared" ref="F10:O10" si="0">F9*(1-$D10)</f>
        <v>0</v>
      </c>
      <c r="G10" s="644">
        <f t="shared" si="0"/>
        <v>0</v>
      </c>
      <c r="H10" s="644">
        <f t="shared" si="0"/>
        <v>0</v>
      </c>
      <c r="I10" s="644">
        <f t="shared" si="0"/>
        <v>96759.393299999996</v>
      </c>
      <c r="J10" s="644">
        <f t="shared" si="0"/>
        <v>96759.393299999996</v>
      </c>
      <c r="K10" s="644">
        <f t="shared" si="0"/>
        <v>96759.393299999996</v>
      </c>
      <c r="L10" s="644">
        <f t="shared" si="0"/>
        <v>96759.393299999996</v>
      </c>
      <c r="M10" s="644">
        <f t="shared" si="0"/>
        <v>96759.393299999996</v>
      </c>
      <c r="N10" s="644">
        <f t="shared" si="0"/>
        <v>96759.393299999996</v>
      </c>
      <c r="O10" s="644">
        <f t="shared" si="0"/>
        <v>96759.393299999996</v>
      </c>
      <c r="P10" s="644"/>
      <c r="Q10" s="531" t="s">
        <v>219</v>
      </c>
      <c r="R10" s="663">
        <f>O11</f>
        <v>297.72121015384613</v>
      </c>
    </row>
    <row r="11" spans="2:18" ht="9" customHeight="1">
      <c r="B11" s="643" t="s">
        <v>684</v>
      </c>
      <c r="C11" s="645"/>
      <c r="D11" s="646"/>
      <c r="E11" s="644">
        <f t="shared" ref="E11:O11" si="1">E10/Hotelaverageroomsize</f>
        <v>0</v>
      </c>
      <c r="F11" s="644">
        <f t="shared" si="1"/>
        <v>0</v>
      </c>
      <c r="G11" s="644">
        <f t="shared" si="1"/>
        <v>0</v>
      </c>
      <c r="H11" s="644">
        <f t="shared" si="1"/>
        <v>0</v>
      </c>
      <c r="I11" s="644">
        <f t="shared" si="1"/>
        <v>297.72121015384613</v>
      </c>
      <c r="J11" s="644">
        <f t="shared" si="1"/>
        <v>297.72121015384613</v>
      </c>
      <c r="K11" s="644">
        <f t="shared" si="1"/>
        <v>297.72121015384613</v>
      </c>
      <c r="L11" s="644">
        <f t="shared" si="1"/>
        <v>297.72121015384613</v>
      </c>
      <c r="M11" s="644">
        <f t="shared" si="1"/>
        <v>297.72121015384613</v>
      </c>
      <c r="N11" s="644">
        <f t="shared" si="1"/>
        <v>297.72121015384613</v>
      </c>
      <c r="O11" s="644">
        <f t="shared" si="1"/>
        <v>297.72121015384613</v>
      </c>
      <c r="P11" s="644"/>
      <c r="Q11" s="531" t="s">
        <v>220</v>
      </c>
      <c r="R11" s="663">
        <f>O39</f>
        <v>483.21720230769233</v>
      </c>
    </row>
    <row r="12" spans="2:18" ht="9" customHeight="1">
      <c r="B12" s="643" t="s">
        <v>180</v>
      </c>
      <c r="C12" s="645" t="s">
        <v>152</v>
      </c>
      <c r="D12" s="647">
        <f>Hotelrampup</f>
        <v>0.65</v>
      </c>
      <c r="E12" s="644">
        <f>IF(OR(E$2=$H7,AND(E$2&gt;$H7,E$2&lt;(SUM($H7,INDEX(cockpit!$J$6:$Y$16,MATCH($D6,cockpit!$J$6:$J$16,0),MATCH($C$12,cockpit!$J$6:$Y$6,0)))))),E10*$D12,0)</f>
        <v>0</v>
      </c>
      <c r="F12" s="644">
        <f>IF(OR(F$2=$H7,AND(F$2&gt;$H7,F$2&lt;(SUM($H7,INDEX(cockpit!$J$6:$Y$16,MATCH($D6,cockpit!$J$6:$J$16,0),MATCH($C$12,cockpit!$J$6:$Y$6,0)))))),F10*$D12,0)</f>
        <v>0</v>
      </c>
      <c r="G12" s="644">
        <f>IF(OR(G$2=$H7,AND(G$2&gt;$H7,G$2&lt;(SUM($H7,INDEX(cockpit!$J$6:$Y$16,MATCH($D6,cockpit!$J$6:$J$16,0),MATCH($C$12,cockpit!$J$6:$Y$6,0)))))),G10*$D12,0)</f>
        <v>0</v>
      </c>
      <c r="H12" s="644">
        <f>IF(OR(H$2=$H7,AND(H$2&gt;$H7,H$2&lt;(SUM($H7,INDEX(cockpit!$J$6:$Y$16,MATCH($D6,cockpit!$J$6:$J$16,0),MATCH($C$12,cockpit!$J$6:$Y$6,0)))))),H10*$D12,0)</f>
        <v>0</v>
      </c>
      <c r="I12" s="644">
        <f>IF(OR(I$2=$H7,AND(I$2&gt;$H7,I$2&lt;(SUM($H7,INDEX(cockpit!$J$6:$Y$16,MATCH($D6,cockpit!$J$6:$J$16,0),MATCH($C$12,cockpit!$J$6:$Y$6,0)))))),I10*$D12,0)</f>
        <v>62893.605644999996</v>
      </c>
      <c r="J12" s="644">
        <f>IF(OR(J$2=$H7,AND(J$2&gt;$H7,J$2&lt;(SUM($H7,INDEX(cockpit!$J$6:$Y$16,MATCH($D6,cockpit!$J$6:$J$16,0),MATCH($C$12,cockpit!$J$6:$Y$6,0)))))),J10*$D12,0)</f>
        <v>0</v>
      </c>
      <c r="K12" s="644">
        <f>IF(OR(K$2=$H7,AND(K$2&gt;$H7,K$2&lt;(SUM($H7,INDEX(cockpit!$J$6:$Y$16,MATCH($D6,cockpit!$J$6:$J$16,0),MATCH($C$12,cockpit!$J$6:$Y$6,0)))))),K10*$D12,0)</f>
        <v>0</v>
      </c>
      <c r="L12" s="644">
        <f>IF(OR(L$2=$H7,AND(L$2&gt;$H7,L$2&lt;(SUM($H7,INDEX(cockpit!$J$6:$Y$16,MATCH($D6,cockpit!$J$6:$J$16,0),MATCH($C$12,cockpit!$J$6:$Y$6,0)))))),L10*$D12,0)</f>
        <v>0</v>
      </c>
      <c r="M12" s="644">
        <f>IF(OR(M$2=$H7,AND(M$2&gt;$H7,M$2&lt;(SUM($H7,INDEX(cockpit!$J$6:$Y$16,MATCH($D6,cockpit!$J$6:$J$16,0),MATCH($C$12,cockpit!$J$6:$Y$6,0)))))),M10*$D12,0)</f>
        <v>0</v>
      </c>
      <c r="N12" s="644">
        <f>IF(OR(N$2=$H7,AND(N$2&gt;$H7,N$2&lt;(SUM($H7,INDEX(cockpit!$J$6:$Y$16,MATCH($D6,cockpit!$J$6:$J$16,0),MATCH($C$12,cockpit!$J$6:$Y$6,0)))))),N10*$D12,0)</f>
        <v>0</v>
      </c>
      <c r="O12" s="644">
        <f>IF(OR(O$2=$H7,AND(O$2&gt;$H7,O$2&lt;(SUM($H7,INDEX(cockpit!$J$6:$Y$16,MATCH($D6,cockpit!$J$6:$J$16,0),MATCH($C$12,cockpit!$J$6:$Y$6,0)))))),O10*$D12,0)</f>
        <v>0</v>
      </c>
      <c r="Q12" s="531" t="s">
        <v>321</v>
      </c>
      <c r="R12" s="531">
        <f>0</f>
        <v>0</v>
      </c>
    </row>
    <row r="13" spans="2:18" ht="9" customHeight="1">
      <c r="B13" s="643" t="s">
        <v>181</v>
      </c>
      <c r="C13" s="645"/>
      <c r="D13" s="633"/>
      <c r="E13" s="644">
        <f>SUM($E12:E12)</f>
        <v>0</v>
      </c>
      <c r="F13" s="644">
        <f>SUM($E12:F12)</f>
        <v>0</v>
      </c>
      <c r="G13" s="644">
        <f>SUM($E12:G12)</f>
        <v>0</v>
      </c>
      <c r="H13" s="644">
        <f>SUM($E12:H12)</f>
        <v>0</v>
      </c>
      <c r="I13" s="644">
        <f>SUM($E12:I12)</f>
        <v>62893.605644999996</v>
      </c>
      <c r="J13" s="644">
        <f>SUM($E12:J12)</f>
        <v>62893.605644999996</v>
      </c>
      <c r="K13" s="644">
        <f>SUM($E12:K12)</f>
        <v>62893.605644999996</v>
      </c>
      <c r="L13" s="644">
        <f>SUM($E12:L12)</f>
        <v>62893.605644999996</v>
      </c>
      <c r="M13" s="644">
        <f>SUM($E12:M12)</f>
        <v>62893.605644999996</v>
      </c>
      <c r="N13" s="644">
        <f>SUM($E12:N12)</f>
        <v>62893.605644999996</v>
      </c>
      <c r="O13" s="644">
        <f>SUM($E12:O12)</f>
        <v>62893.605644999996</v>
      </c>
    </row>
    <row r="14" spans="2:18" ht="9" customHeight="1">
      <c r="B14" s="643" t="s">
        <v>685</v>
      </c>
      <c r="C14" s="645"/>
      <c r="D14" s="633"/>
      <c r="E14" s="644">
        <f t="shared" ref="E14:O14" si="2">E13/Hotelaverageroomsize</f>
        <v>0</v>
      </c>
      <c r="F14" s="644">
        <f t="shared" si="2"/>
        <v>0</v>
      </c>
      <c r="G14" s="644">
        <f t="shared" si="2"/>
        <v>0</v>
      </c>
      <c r="H14" s="644">
        <f t="shared" si="2"/>
        <v>0</v>
      </c>
      <c r="I14" s="644">
        <f t="shared" si="2"/>
        <v>193.5187866</v>
      </c>
      <c r="J14" s="644">
        <f t="shared" si="2"/>
        <v>193.5187866</v>
      </c>
      <c r="K14" s="644">
        <f t="shared" si="2"/>
        <v>193.5187866</v>
      </c>
      <c r="L14" s="644">
        <f t="shared" si="2"/>
        <v>193.5187866</v>
      </c>
      <c r="M14" s="644">
        <f t="shared" si="2"/>
        <v>193.5187866</v>
      </c>
      <c r="N14" s="644">
        <f t="shared" si="2"/>
        <v>193.5187866</v>
      </c>
      <c r="O14" s="644">
        <f t="shared" si="2"/>
        <v>193.5187866</v>
      </c>
      <c r="P14" s="648"/>
    </row>
    <row r="15" spans="2:18" ht="9" customHeight="1">
      <c r="B15" s="633"/>
      <c r="C15" s="645"/>
      <c r="D15" s="633"/>
      <c r="E15" s="633"/>
      <c r="F15" s="633"/>
      <c r="G15" s="633"/>
      <c r="H15" s="633"/>
      <c r="I15" s="633"/>
      <c r="J15" s="633"/>
      <c r="K15" s="633"/>
      <c r="L15" s="633"/>
      <c r="M15" s="633"/>
      <c r="N15" s="633"/>
      <c r="O15" s="633"/>
      <c r="P15" s="648"/>
    </row>
    <row r="16" spans="2:18" ht="9" customHeight="1">
      <c r="B16" s="643" t="s">
        <v>233</v>
      </c>
      <c r="C16" s="645"/>
      <c r="D16" s="649">
        <f>(hoteladr*(1-$K5))+((hoteladr*(1+premiumprices)*$K5))</f>
        <v>165</v>
      </c>
      <c r="E16" s="650">
        <f t="shared" ref="E16:O16" si="3">(E14*(($D16)*((1+Inflation)^(E$2-1))))*365</f>
        <v>0</v>
      </c>
      <c r="F16" s="650">
        <f t="shared" si="3"/>
        <v>0</v>
      </c>
      <c r="G16" s="650">
        <f t="shared" si="3"/>
        <v>0</v>
      </c>
      <c r="H16" s="650">
        <f t="shared" si="3"/>
        <v>0</v>
      </c>
      <c r="I16" s="650">
        <f t="shared" si="3"/>
        <v>12368027.898423065</v>
      </c>
      <c r="J16" s="650">
        <f t="shared" si="3"/>
        <v>12615388.456391528</v>
      </c>
      <c r="K16" s="650">
        <f t="shared" si="3"/>
        <v>12867696.225519357</v>
      </c>
      <c r="L16" s="650">
        <f t="shared" si="3"/>
        <v>13125050.150029747</v>
      </c>
      <c r="M16" s="650">
        <f t="shared" si="3"/>
        <v>13387551.153030338</v>
      </c>
      <c r="N16" s="650">
        <f t="shared" si="3"/>
        <v>13655302.176090946</v>
      </c>
      <c r="O16" s="650">
        <f t="shared" si="3"/>
        <v>13928408.219612766</v>
      </c>
      <c r="P16" s="651"/>
      <c r="Q16" s="553"/>
    </row>
    <row r="17" spans="2:17" ht="9" customHeight="1">
      <c r="B17" s="643" t="s">
        <v>123</v>
      </c>
      <c r="C17" s="645"/>
      <c r="D17" s="646">
        <f>INDEX(cockpit!$J$6:$Y$16,MATCH($D6,cockpit!$J$6:$J$16,0),MATCH($B17,cockpit!$J$6:$Y$6,0))</f>
        <v>0.35</v>
      </c>
      <c r="E17" s="650">
        <f t="shared" ref="E17:O17" si="4">-IF($D17&gt;1,E9*($D17*((1+Inflation)^(E$2-1))),E16*(1-$D17))</f>
        <v>0</v>
      </c>
      <c r="F17" s="650">
        <f t="shared" si="4"/>
        <v>0</v>
      </c>
      <c r="G17" s="650">
        <f t="shared" si="4"/>
        <v>0</v>
      </c>
      <c r="H17" s="650">
        <f t="shared" si="4"/>
        <v>0</v>
      </c>
      <c r="I17" s="650">
        <f t="shared" si="4"/>
        <v>-8039218.1339749917</v>
      </c>
      <c r="J17" s="650">
        <f t="shared" si="4"/>
        <v>-8200002.4966544937</v>
      </c>
      <c r="K17" s="650">
        <f t="shared" si="4"/>
        <v>-8364002.5465875827</v>
      </c>
      <c r="L17" s="650">
        <f t="shared" si="4"/>
        <v>-8531282.5975193363</v>
      </c>
      <c r="M17" s="650">
        <f t="shared" si="4"/>
        <v>-8701908.2494697198</v>
      </c>
      <c r="N17" s="650">
        <f t="shared" si="4"/>
        <v>-8875946.4144591149</v>
      </c>
      <c r="O17" s="650">
        <f t="shared" si="4"/>
        <v>-9053465.3427482974</v>
      </c>
      <c r="P17" s="651"/>
      <c r="Q17" s="652"/>
    </row>
    <row r="18" spans="2:17" ht="9" customHeight="1">
      <c r="B18" s="643" t="s">
        <v>231</v>
      </c>
      <c r="C18" s="645"/>
      <c r="D18" s="646">
        <f>hotelfoodandbeverageincome</f>
        <v>0.1</v>
      </c>
      <c r="E18" s="650">
        <f t="shared" ref="E18:O18" si="5">E16*$D18*hotelfoodandbeveragemargin</f>
        <v>0</v>
      </c>
      <c r="F18" s="650">
        <f t="shared" si="5"/>
        <v>0</v>
      </c>
      <c r="G18" s="650">
        <f t="shared" si="5"/>
        <v>0</v>
      </c>
      <c r="H18" s="650">
        <f t="shared" si="5"/>
        <v>0</v>
      </c>
      <c r="I18" s="650">
        <f t="shared" si="5"/>
        <v>123680.27898423065</v>
      </c>
      <c r="J18" s="650">
        <f t="shared" si="5"/>
        <v>126153.8845639153</v>
      </c>
      <c r="K18" s="650">
        <f t="shared" si="5"/>
        <v>128676.96225519358</v>
      </c>
      <c r="L18" s="650">
        <f t="shared" si="5"/>
        <v>131250.50150029748</v>
      </c>
      <c r="M18" s="650">
        <f t="shared" si="5"/>
        <v>133875.5115303034</v>
      </c>
      <c r="N18" s="650">
        <f t="shared" si="5"/>
        <v>136553.02176090947</v>
      </c>
      <c r="O18" s="650">
        <f t="shared" si="5"/>
        <v>139284.08219612768</v>
      </c>
      <c r="P18" s="651"/>
      <c r="Q18" s="653"/>
    </row>
    <row r="19" spans="2:17" ht="9" customHeight="1">
      <c r="B19" s="643" t="s">
        <v>232</v>
      </c>
      <c r="C19" s="645"/>
      <c r="D19" s="646">
        <f>hotelotherincome</f>
        <v>0.05</v>
      </c>
      <c r="E19" s="654">
        <f t="shared" ref="E19:O19" si="6">E16*$D19*hotelotherincomemargin</f>
        <v>0</v>
      </c>
      <c r="F19" s="654">
        <f t="shared" si="6"/>
        <v>0</v>
      </c>
      <c r="G19" s="654">
        <f t="shared" si="6"/>
        <v>0</v>
      </c>
      <c r="H19" s="654">
        <f t="shared" si="6"/>
        <v>0</v>
      </c>
      <c r="I19" s="654">
        <f t="shared" si="6"/>
        <v>61840.139492115326</v>
      </c>
      <c r="J19" s="654">
        <f t="shared" si="6"/>
        <v>63076.94228195765</v>
      </c>
      <c r="K19" s="654">
        <f t="shared" si="6"/>
        <v>64338.481127596788</v>
      </c>
      <c r="L19" s="654">
        <f t="shared" si="6"/>
        <v>65625.250750148742</v>
      </c>
      <c r="M19" s="654">
        <f t="shared" si="6"/>
        <v>66937.755765151698</v>
      </c>
      <c r="N19" s="654">
        <f t="shared" si="6"/>
        <v>68276.510880454734</v>
      </c>
      <c r="O19" s="654">
        <f t="shared" si="6"/>
        <v>69642.041098063841</v>
      </c>
      <c r="P19" s="651"/>
      <c r="Q19" s="554"/>
    </row>
    <row r="20" spans="2:17" ht="9" customHeight="1">
      <c r="B20" s="655" t="s">
        <v>167</v>
      </c>
      <c r="C20" s="645"/>
      <c r="D20" s="633"/>
      <c r="E20" s="650">
        <f t="shared" ref="E20:O20" si="7">SUM(E16:E19)</f>
        <v>0</v>
      </c>
      <c r="F20" s="650">
        <f t="shared" si="7"/>
        <v>0</v>
      </c>
      <c r="G20" s="650">
        <f t="shared" si="7"/>
        <v>0</v>
      </c>
      <c r="H20" s="650">
        <f t="shared" si="7"/>
        <v>0</v>
      </c>
      <c r="I20" s="650">
        <f t="shared" si="7"/>
        <v>4514330.1829244187</v>
      </c>
      <c r="J20" s="650">
        <f t="shared" si="7"/>
        <v>4604616.7865829077</v>
      </c>
      <c r="K20" s="650">
        <f t="shared" si="7"/>
        <v>4696709.1223145649</v>
      </c>
      <c r="L20" s="650">
        <f t="shared" si="7"/>
        <v>4790643.3047608566</v>
      </c>
      <c r="M20" s="650">
        <f t="shared" si="7"/>
        <v>4886456.1708560735</v>
      </c>
      <c r="N20" s="650">
        <f t="shared" si="7"/>
        <v>4984185.2942731958</v>
      </c>
      <c r="O20" s="650">
        <f t="shared" si="7"/>
        <v>5083869.0001586601</v>
      </c>
      <c r="P20" s="651"/>
      <c r="Q20" s="553"/>
    </row>
    <row r="21" spans="2:17" ht="9" customHeight="1">
      <c r="B21" s="633"/>
      <c r="C21" s="645"/>
      <c r="D21" s="633"/>
      <c r="E21" s="656">
        <f t="shared" ref="E21:O21" si="8">IFERROR(E20/SUM(E16:E16),0)</f>
        <v>0</v>
      </c>
      <c r="F21" s="656">
        <f t="shared" si="8"/>
        <v>0</v>
      </c>
      <c r="G21" s="656">
        <f t="shared" si="8"/>
        <v>0</v>
      </c>
      <c r="H21" s="656">
        <f t="shared" si="8"/>
        <v>0</v>
      </c>
      <c r="I21" s="656">
        <f t="shared" si="8"/>
        <v>0.36499999999999999</v>
      </c>
      <c r="J21" s="656">
        <f t="shared" si="8"/>
        <v>0.36499999999999999</v>
      </c>
      <c r="K21" s="656">
        <f t="shared" si="8"/>
        <v>0.36499999999999994</v>
      </c>
      <c r="L21" s="656">
        <f t="shared" si="8"/>
        <v>0.36499999999999994</v>
      </c>
      <c r="M21" s="656">
        <f t="shared" si="8"/>
        <v>0.36499999999999999</v>
      </c>
      <c r="N21" s="656">
        <f t="shared" si="8"/>
        <v>0.36500000000000005</v>
      </c>
      <c r="O21" s="656">
        <f t="shared" si="8"/>
        <v>0.36500000000000005</v>
      </c>
      <c r="P21" s="657"/>
      <c r="Q21" s="553"/>
    </row>
    <row r="22" spans="2:17" ht="9" customHeight="1">
      <c r="B22" s="643" t="s">
        <v>168</v>
      </c>
      <c r="C22" s="645"/>
      <c r="D22" s="658">
        <f>INDEX(cockpit!$J$6:$Y$16,MATCH($D6,cockpit!$J$6:$J$16,0),MATCH($B22,cockpit!$J$6:$Y$6,0))</f>
        <v>0.05</v>
      </c>
      <c r="E22" s="650">
        <f t="shared" ref="E22:O22" si="9">-E10*$D22</f>
        <v>0</v>
      </c>
      <c r="F22" s="650">
        <f t="shared" si="9"/>
        <v>0</v>
      </c>
      <c r="G22" s="650">
        <f t="shared" si="9"/>
        <v>0</v>
      </c>
      <c r="H22" s="650">
        <f t="shared" si="9"/>
        <v>0</v>
      </c>
      <c r="I22" s="650">
        <f t="shared" si="9"/>
        <v>-4837.9696649999996</v>
      </c>
      <c r="J22" s="650">
        <f t="shared" si="9"/>
        <v>-4837.9696649999996</v>
      </c>
      <c r="K22" s="650">
        <f t="shared" si="9"/>
        <v>-4837.9696649999996</v>
      </c>
      <c r="L22" s="650">
        <f t="shared" si="9"/>
        <v>-4837.9696649999996</v>
      </c>
      <c r="M22" s="650">
        <f t="shared" si="9"/>
        <v>-4837.9696649999996</v>
      </c>
      <c r="N22" s="650">
        <f t="shared" si="9"/>
        <v>-4837.9696649999996</v>
      </c>
      <c r="O22" s="650">
        <f t="shared" si="9"/>
        <v>-4837.9696649999996</v>
      </c>
      <c r="P22" s="553"/>
      <c r="Q22" s="553"/>
    </row>
    <row r="23" spans="2:17" ht="9" customHeight="1">
      <c r="B23" s="643" t="s">
        <v>162</v>
      </c>
      <c r="C23" s="645"/>
      <c r="D23" s="658">
        <f>INDEX(cockpit!$J$6:$Y$16,MATCH($D6,cockpit!$J$6:$J$16,0),MATCH($B23,cockpit!$J$6:$Y$6,0))</f>
        <v>0</v>
      </c>
      <c r="E23" s="654">
        <f t="shared" ref="E23:O23" si="10">-E13*$D23</f>
        <v>0</v>
      </c>
      <c r="F23" s="654">
        <f t="shared" si="10"/>
        <v>0</v>
      </c>
      <c r="G23" s="654">
        <f t="shared" si="10"/>
        <v>0</v>
      </c>
      <c r="H23" s="654">
        <f t="shared" si="10"/>
        <v>0</v>
      </c>
      <c r="I23" s="654">
        <f t="shared" si="10"/>
        <v>0</v>
      </c>
      <c r="J23" s="654">
        <f t="shared" si="10"/>
        <v>0</v>
      </c>
      <c r="K23" s="654">
        <f t="shared" si="10"/>
        <v>0</v>
      </c>
      <c r="L23" s="654">
        <f t="shared" si="10"/>
        <v>0</v>
      </c>
      <c r="M23" s="654">
        <f t="shared" si="10"/>
        <v>0</v>
      </c>
      <c r="N23" s="654">
        <f t="shared" si="10"/>
        <v>0</v>
      </c>
      <c r="O23" s="654">
        <f t="shared" si="10"/>
        <v>0</v>
      </c>
    </row>
    <row r="24" spans="2:17" ht="9" customHeight="1">
      <c r="B24" s="655" t="s">
        <v>195</v>
      </c>
      <c r="C24" s="645"/>
      <c r="D24" s="658"/>
      <c r="E24" s="650">
        <f>SUM(E22:E23)</f>
        <v>0</v>
      </c>
      <c r="F24" s="650">
        <f t="shared" ref="F24:O24" si="11">SUM(F22:F23)</f>
        <v>0</v>
      </c>
      <c r="G24" s="650">
        <f t="shared" si="11"/>
        <v>0</v>
      </c>
      <c r="H24" s="650">
        <f t="shared" si="11"/>
        <v>0</v>
      </c>
      <c r="I24" s="650">
        <f t="shared" si="11"/>
        <v>-4837.9696649999996</v>
      </c>
      <c r="J24" s="650">
        <f t="shared" si="11"/>
        <v>-4837.9696649999996</v>
      </c>
      <c r="K24" s="650">
        <f t="shared" si="11"/>
        <v>-4837.9696649999996</v>
      </c>
      <c r="L24" s="650">
        <f t="shared" si="11"/>
        <v>-4837.9696649999996</v>
      </c>
      <c r="M24" s="650">
        <f t="shared" si="11"/>
        <v>-4837.9696649999996</v>
      </c>
      <c r="N24" s="650">
        <f t="shared" si="11"/>
        <v>-4837.9696649999996</v>
      </c>
      <c r="O24" s="650">
        <f t="shared" si="11"/>
        <v>-4837.9696649999996</v>
      </c>
    </row>
    <row r="25" spans="2:17" ht="9" customHeight="1">
      <c r="B25" s="643"/>
      <c r="C25" s="645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</row>
    <row r="26" spans="2:17" ht="9" customHeight="1">
      <c r="B26" s="643" t="s">
        <v>170</v>
      </c>
      <c r="C26" s="645"/>
      <c r="D26" s="649">
        <f>(hotelconstructioncostPSF*(1-$K5))+((hotelconstructioncostPSF*(1+premiumprices)*$K5))</f>
        <v>225</v>
      </c>
      <c r="E26" s="650">
        <f>-IF(OR(E$2=$H5,E$2=$H6,AND(E$2&gt;$H5,E$2&lt;$H6)),(INDEX(summary!$A$2:$D$24,MATCH($D6,summary!$A$2:$A$24,0),MATCH($D5,summary!$A$2:$D$2,0)))/constructiontimephase1)*($D26*((1+Inflation)^(E$2-1)))*(1+Developerfee)</f>
        <v>0</v>
      </c>
      <c r="F26" s="650">
        <f>-IF(OR(F$2=$H5,F$2=$H6,AND(F$2&gt;$H5,F$2&lt;$H6)),(INDEX(summary!$A$2:$D$24,MATCH($D6,summary!$A$2:$A$24,0),MATCH($D5,summary!$A$2:$D$2,0)))/constructiontimephase1)*($D26*((1+Inflation)^(F$2-1)))*(1+Developerfee)</f>
        <v>-9966217.5098999999</v>
      </c>
      <c r="G26" s="650">
        <f>-IF(OR(G$2=$H5,G$2=$H6,AND(G$2&gt;$H5,G$2&lt;$H6)),(INDEX(summary!$A$2:$D$24,MATCH($D6,summary!$A$2:$A$24,0),MATCH($D5,summary!$A$2:$D$2,0)))/constructiontimephase1)*($D26*((1+Inflation)^(G$2-1)))*(1+Developerfee)</f>
        <v>-10165541.860097999</v>
      </c>
      <c r="H26" s="650">
        <f>-IF(OR(H$2=$H5,H$2=$H6,AND(H$2&gt;$H5,H$2&lt;$H6)),(INDEX(summary!$A$2:$D$24,MATCH($D6,summary!$A$2:$A$24,0),MATCH($D5,summary!$A$2:$D$2,0)))/constructiontimephase1)*($D26*((1+Inflation)^(H$2-1)))*(1+Developerfee)</f>
        <v>-10368852.697299959</v>
      </c>
      <c r="I26" s="650">
        <f>-IF(OR(I$2=$H5,I$2=$H6,AND(I$2&gt;$H5,I$2&lt;$H6)),(INDEX(summary!$A$2:$D$24,MATCH($D6,summary!$A$2:$A$24,0),MATCH($D5,summary!$A$2:$D$2,0)))/constructiontimephase1)*($D26*((1+Inflation)^(I$2-1)))*(1+Developerfee)</f>
        <v>0</v>
      </c>
      <c r="J26" s="650">
        <f>-IF(OR(J$2=$H5,J$2=$H6,AND(J$2&gt;$H5,J$2&lt;$H6)),(INDEX(summary!$A$2:$D$24,MATCH($D6,summary!$A$2:$A$24,0),MATCH($D5,summary!$A$2:$D$2,0)))/constructiontimephase1)*($D26*((1+Inflation)^(J$2-1)))*(1+Developerfee)</f>
        <v>0</v>
      </c>
      <c r="K26" s="650">
        <f>-IF(OR(K$2=$H5,K$2=$H6,AND(K$2&gt;$H5,K$2&lt;$H6)),(INDEX(summary!$A$2:$D$24,MATCH($D6,summary!$A$2:$A$24,0),MATCH($D5,summary!$A$2:$D$2,0)))/constructiontimephase1)*($D26*((1+Inflation)^(K$2-1)))*(1+Developerfee)</f>
        <v>0</v>
      </c>
      <c r="L26" s="650">
        <f>-IF(OR(L$2=$H5,L$2=$H6,AND(L$2&gt;$H5,L$2&lt;$H6)),(INDEX(summary!$A$2:$D$24,MATCH($D6,summary!$A$2:$A$24,0),MATCH($D5,summary!$A$2:$D$2,0)))/constructiontimephase1)*($D26*((1+Inflation)^(L$2-1)))*(1+Developerfee)</f>
        <v>0</v>
      </c>
      <c r="M26" s="650">
        <f>-IF(OR(M$2=$H5,M$2=$H6,AND(M$2&gt;$H5,M$2&lt;$H6)),(INDEX(summary!$A$2:$D$24,MATCH($D6,summary!$A$2:$A$24,0),MATCH($D5,summary!$A$2:$D$2,0)))/constructiontimephase1)*($D26*((1+Inflation)^(M$2-1)))*(1+Developerfee)</f>
        <v>0</v>
      </c>
      <c r="N26" s="650">
        <f>-IF(OR(N$2=$H5,N$2=$H6,AND(N$2&gt;$H5,N$2&lt;$H6)),(INDEX(summary!$A$2:$D$24,MATCH($D6,summary!$A$2:$A$24,0),MATCH($D5,summary!$A$2:$D$2,0)))/constructiontimephase1)*($D26*((1+Inflation)^(N$2-1)))*(1+Developerfee)</f>
        <v>0</v>
      </c>
      <c r="O26" s="650">
        <f>-IF(OR(O$2=$H5,O$2=$H6,AND(O$2&gt;$H5,O$2&lt;$H6)),(INDEX(summary!$A$2:$D$24,MATCH($D6,summary!$A$2:$A$24,0),MATCH($D5,summary!$A$2:$D$2,0)))/constructiontimephase1)*($D26*((1+Inflation)^(O$2-1)))*(1+Developerfee)</f>
        <v>0</v>
      </c>
    </row>
    <row r="27" spans="2:17" ht="9" customHeight="1">
      <c r="B27" s="643" t="s">
        <v>197</v>
      </c>
      <c r="C27" s="645" t="s">
        <v>189</v>
      </c>
      <c r="D27" s="647">
        <f>(INDEX(cockpit!$J$6:$Y$16,MATCH($D6,cockpit!$J$6:$J$16,0),MATCH($C27,cockpit!$J$6:$Y$6,0))*(1-$K5))+((INDEX(cockpit!$J$6:$Y$16,MATCH($D6,cockpit!$J$6:$J$16,0),MATCH($C27,cockpit!$J$6:$Y$6,0))-(Premiumexitcaprate))*$K5)</f>
        <v>0.08</v>
      </c>
      <c r="E27" s="654">
        <f t="shared" ref="E27:O27" si="12">IF(E$2=dispositionyear,E20/$D27,0)*(1-Closingcosts)</f>
        <v>0</v>
      </c>
      <c r="F27" s="654">
        <f t="shared" si="12"/>
        <v>0</v>
      </c>
      <c r="G27" s="654">
        <f t="shared" si="12"/>
        <v>0</v>
      </c>
      <c r="H27" s="654">
        <f t="shared" si="12"/>
        <v>0</v>
      </c>
      <c r="I27" s="654">
        <f t="shared" si="12"/>
        <v>0</v>
      </c>
      <c r="J27" s="654">
        <f t="shared" si="12"/>
        <v>0</v>
      </c>
      <c r="K27" s="654">
        <f t="shared" si="12"/>
        <v>0</v>
      </c>
      <c r="L27" s="654">
        <f t="shared" si="12"/>
        <v>0</v>
      </c>
      <c r="M27" s="654">
        <f t="shared" si="12"/>
        <v>0</v>
      </c>
      <c r="N27" s="654">
        <f t="shared" si="12"/>
        <v>0</v>
      </c>
      <c r="O27" s="654">
        <f t="shared" si="12"/>
        <v>61959653.439433664</v>
      </c>
    </row>
    <row r="28" spans="2:17" ht="9" customHeight="1">
      <c r="B28" s="655" t="s">
        <v>196</v>
      </c>
      <c r="C28" s="645"/>
      <c r="D28" s="646"/>
      <c r="E28" s="650">
        <f>SUM(E26:E27)</f>
        <v>0</v>
      </c>
      <c r="F28" s="650">
        <f t="shared" ref="F28:O28" si="13">SUM(F26:F27)</f>
        <v>-9966217.5098999999</v>
      </c>
      <c r="G28" s="650">
        <f t="shared" si="13"/>
        <v>-10165541.860097999</v>
      </c>
      <c r="H28" s="650">
        <f t="shared" si="13"/>
        <v>-10368852.697299959</v>
      </c>
      <c r="I28" s="650">
        <f t="shared" si="13"/>
        <v>0</v>
      </c>
      <c r="J28" s="650">
        <f t="shared" si="13"/>
        <v>0</v>
      </c>
      <c r="K28" s="650">
        <f t="shared" si="13"/>
        <v>0</v>
      </c>
      <c r="L28" s="650">
        <f t="shared" si="13"/>
        <v>0</v>
      </c>
      <c r="M28" s="650">
        <f t="shared" si="13"/>
        <v>0</v>
      </c>
      <c r="N28" s="650">
        <f t="shared" si="13"/>
        <v>0</v>
      </c>
      <c r="O28" s="650">
        <f t="shared" si="13"/>
        <v>61959653.439433664</v>
      </c>
    </row>
    <row r="29" spans="2:17" ht="9" customHeight="1">
      <c r="B29" s="643"/>
      <c r="C29" s="645"/>
      <c r="D29" s="646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</row>
    <row r="30" spans="2:17" ht="9" customHeight="1">
      <c r="B30" s="655" t="s">
        <v>169</v>
      </c>
      <c r="C30" s="655"/>
      <c r="D30" s="659">
        <f ca="1">IRR(OFFSET(E30,0,0,1,Investmenthorizon+1))</f>
        <v>0.18620897775713363</v>
      </c>
      <c r="E30" s="660">
        <f>SUM(E20,E24,E28)</f>
        <v>0</v>
      </c>
      <c r="F30" s="660">
        <f t="shared" ref="F30:O30" si="14">SUM(F20,F24,F28)</f>
        <v>-9966217.5098999999</v>
      </c>
      <c r="G30" s="660">
        <f t="shared" si="14"/>
        <v>-10165541.860097999</v>
      </c>
      <c r="H30" s="660">
        <f t="shared" si="14"/>
        <v>-10368852.697299959</v>
      </c>
      <c r="I30" s="660">
        <f t="shared" si="14"/>
        <v>4509492.2132594185</v>
      </c>
      <c r="J30" s="660">
        <f t="shared" si="14"/>
        <v>4599778.8169179074</v>
      </c>
      <c r="K30" s="660">
        <f t="shared" si="14"/>
        <v>4691871.1526495647</v>
      </c>
      <c r="L30" s="660">
        <f t="shared" si="14"/>
        <v>4785805.3350958563</v>
      </c>
      <c r="M30" s="660">
        <f t="shared" si="14"/>
        <v>4881618.2011910733</v>
      </c>
      <c r="N30" s="660">
        <f t="shared" si="14"/>
        <v>4979347.3246081956</v>
      </c>
      <c r="O30" s="660">
        <f t="shared" si="14"/>
        <v>67038684.469927326</v>
      </c>
    </row>
    <row r="31" spans="2:17" ht="9" customHeight="1" thickBot="1"/>
    <row r="32" spans="2:17" ht="9" customHeight="1">
      <c r="B32" s="627" t="s">
        <v>198</v>
      </c>
      <c r="C32" s="628"/>
      <c r="D32" s="628"/>
      <c r="E32" s="629"/>
      <c r="F32" s="630"/>
      <c r="G32" s="630"/>
      <c r="H32" s="630"/>
      <c r="I32" s="630"/>
      <c r="J32" s="630"/>
      <c r="K32" s="631"/>
      <c r="L32" s="626"/>
      <c r="M32" s="626"/>
      <c r="N32" s="626"/>
      <c r="O32" s="626"/>
    </row>
    <row r="33" spans="2:16" ht="9" customHeight="1">
      <c r="B33" s="632" t="s">
        <v>89</v>
      </c>
      <c r="C33" s="633"/>
      <c r="D33" s="634">
        <v>2</v>
      </c>
      <c r="E33" s="633"/>
      <c r="F33" s="633"/>
      <c r="G33" s="626" t="s">
        <v>204</v>
      </c>
      <c r="H33" s="634">
        <f>Phase2begin</f>
        <v>4</v>
      </c>
      <c r="I33" s="633"/>
      <c r="J33" s="626" t="s">
        <v>201</v>
      </c>
      <c r="K33" s="635">
        <f>summary!AH20</f>
        <v>1</v>
      </c>
      <c r="L33" s="633"/>
      <c r="M33" s="633"/>
      <c r="N33" s="633"/>
      <c r="O33" s="633"/>
    </row>
    <row r="34" spans="2:16" ht="9" customHeight="1">
      <c r="B34" s="632" t="s">
        <v>93</v>
      </c>
      <c r="C34" s="633"/>
      <c r="D34" s="636" t="s">
        <v>221</v>
      </c>
      <c r="E34" s="633"/>
      <c r="F34" s="633"/>
      <c r="G34" s="626" t="s">
        <v>205</v>
      </c>
      <c r="H34" s="634">
        <f>Phase2end</f>
        <v>5</v>
      </c>
      <c r="I34" s="633"/>
      <c r="J34" s="633"/>
      <c r="K34" s="637"/>
      <c r="L34" s="633"/>
      <c r="M34" s="633"/>
      <c r="N34" s="633"/>
      <c r="O34" s="633"/>
    </row>
    <row r="35" spans="2:16" ht="9" customHeight="1" thickBot="1">
      <c r="B35" s="638"/>
      <c r="C35" s="639"/>
      <c r="D35" s="639"/>
      <c r="E35" s="639"/>
      <c r="F35" s="639"/>
      <c r="G35" s="625" t="s">
        <v>199</v>
      </c>
      <c r="H35" s="640">
        <f>Phase2open</f>
        <v>6</v>
      </c>
      <c r="I35" s="639"/>
      <c r="J35" s="639"/>
      <c r="K35" s="641"/>
      <c r="L35" s="633"/>
      <c r="M35" s="633"/>
      <c r="N35" s="633"/>
      <c r="O35" s="633"/>
    </row>
    <row r="36" spans="2:16" ht="9" customHeight="1">
      <c r="B36" s="633"/>
      <c r="C36" s="642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</row>
    <row r="37" spans="2:16" ht="9" customHeight="1">
      <c r="B37" s="643" t="s">
        <v>182</v>
      </c>
      <c r="C37" s="643"/>
      <c r="D37" s="633"/>
      <c r="E37" s="644">
        <f>IF(OR(E$2=$H35,E$2&gt;$H35),INDEX(summary!$A$2:$D$24,MATCH($D34,summary!$A$2:$A$24,0),MATCH($D33,summary!$A$2:$D$2,0)),0)</f>
        <v>0</v>
      </c>
      <c r="F37" s="644">
        <f>IF(OR(F$2=$H35,F$2&gt;$H35),INDEX(summary!$A$2:$D$24,MATCH($D34,summary!$A$2:$A$24,0),MATCH($D33,summary!$A$2:$D$2,0)),0)</f>
        <v>0</v>
      </c>
      <c r="G37" s="644">
        <f>IF(OR(G$2=$H35,G$2&gt;$H35),INDEX(summary!$A$2:$D$24,MATCH($D34,summary!$A$2:$A$24,0),MATCH($D33,summary!$A$2:$D$2,0)),0)</f>
        <v>0</v>
      </c>
      <c r="H37" s="644">
        <f>IF(OR(H$2=$H35,H$2&gt;$H35),INDEX(summary!$A$2:$D$24,MATCH($D34,summary!$A$2:$A$24,0),MATCH($D33,summary!$A$2:$D$2,0)),0)</f>
        <v>0</v>
      </c>
      <c r="I37" s="644">
        <f>IF(OR(I$2=$H35,I$2&gt;$H35),INDEX(summary!$A$2:$D$24,MATCH($D34,summary!$A$2:$A$24,0),MATCH($D33,summary!$A$2:$D$2,0)),0)</f>
        <v>0</v>
      </c>
      <c r="J37" s="644">
        <f>IF(OR(J$2=$H35,J$2&gt;$H35),INDEX(summary!$A$2:$D$24,MATCH($D34,summary!$A$2:$A$24,0),MATCH($D33,summary!$A$2:$D$2,0)),0)</f>
        <v>0</v>
      </c>
      <c r="K37" s="644">
        <f>IF(OR(K$2=$H35,K$2&gt;$H35),INDEX(summary!$A$2:$D$24,MATCH($D34,summary!$A$2:$A$24,0),MATCH($D33,summary!$A$2:$D$2,0)),0)</f>
        <v>209394.12100000001</v>
      </c>
      <c r="L37" s="644">
        <f>IF(OR(L$2=$H35,L$2&gt;$H35),INDEX(summary!$A$2:$D$24,MATCH($D34,summary!$A$2:$A$24,0),MATCH($D33,summary!$A$2:$D$2,0)),0)</f>
        <v>209394.12100000001</v>
      </c>
      <c r="M37" s="644">
        <f>IF(OR(M$2=$H35,M$2&gt;$H35),INDEX(summary!$A$2:$D$24,MATCH($D34,summary!$A$2:$A$24,0),MATCH($D33,summary!$A$2:$D$2,0)),0)</f>
        <v>209394.12100000001</v>
      </c>
      <c r="N37" s="644">
        <f>IF(OR(N$2=$H35,N$2&gt;$H35),INDEX(summary!$A$2:$D$24,MATCH($D34,summary!$A$2:$A$24,0),MATCH($D33,summary!$A$2:$D$2,0)),0)</f>
        <v>209394.12100000001</v>
      </c>
      <c r="O37" s="644">
        <f>IF(OR(O$2=$H35,O$2&gt;$H35),INDEX(summary!$A$2:$D$24,MATCH($D34,summary!$A$2:$A$24,0),MATCH($D33,summary!$A$2:$D$2,0)),0)</f>
        <v>209394.12100000001</v>
      </c>
    </row>
    <row r="38" spans="2:16" ht="9" customHeight="1">
      <c r="B38" s="643" t="s">
        <v>194</v>
      </c>
      <c r="C38" s="645" t="s">
        <v>191</v>
      </c>
      <c r="D38" s="646">
        <f>INDEX(cockpit!$J$6:$Y$16,MATCH($D34,cockpit!$J$6:$J$16,0),MATCH($C$10,cockpit!$J$6:$Y$6,0))</f>
        <v>0.25</v>
      </c>
      <c r="E38" s="644">
        <f>E37*(1-$D38)</f>
        <v>0</v>
      </c>
      <c r="F38" s="644">
        <f t="shared" ref="F38:O38" si="15">F37*(1-$D38)</f>
        <v>0</v>
      </c>
      <c r="G38" s="644">
        <f t="shared" si="15"/>
        <v>0</v>
      </c>
      <c r="H38" s="644">
        <f t="shared" si="15"/>
        <v>0</v>
      </c>
      <c r="I38" s="644">
        <f t="shared" si="15"/>
        <v>0</v>
      </c>
      <c r="J38" s="644">
        <f t="shared" si="15"/>
        <v>0</v>
      </c>
      <c r="K38" s="644">
        <f t="shared" si="15"/>
        <v>157045.59075</v>
      </c>
      <c r="L38" s="644">
        <f t="shared" si="15"/>
        <v>157045.59075</v>
      </c>
      <c r="M38" s="644">
        <f t="shared" si="15"/>
        <v>157045.59075</v>
      </c>
      <c r="N38" s="644">
        <f t="shared" si="15"/>
        <v>157045.59075</v>
      </c>
      <c r="O38" s="644">
        <f t="shared" si="15"/>
        <v>157045.59075</v>
      </c>
    </row>
    <row r="39" spans="2:16" ht="9" customHeight="1">
      <c r="B39" s="643" t="s">
        <v>684</v>
      </c>
      <c r="C39" s="645"/>
      <c r="D39" s="646"/>
      <c r="E39" s="644">
        <f t="shared" ref="E39:O39" si="16">E38/Hotelaverageroomsize</f>
        <v>0</v>
      </c>
      <c r="F39" s="644">
        <f t="shared" si="16"/>
        <v>0</v>
      </c>
      <c r="G39" s="644">
        <f t="shared" si="16"/>
        <v>0</v>
      </c>
      <c r="H39" s="644">
        <f t="shared" si="16"/>
        <v>0</v>
      </c>
      <c r="I39" s="644">
        <f t="shared" si="16"/>
        <v>0</v>
      </c>
      <c r="J39" s="644">
        <f t="shared" si="16"/>
        <v>0</v>
      </c>
      <c r="K39" s="644">
        <f t="shared" si="16"/>
        <v>483.21720230769233</v>
      </c>
      <c r="L39" s="644">
        <f t="shared" si="16"/>
        <v>483.21720230769233</v>
      </c>
      <c r="M39" s="644">
        <f t="shared" si="16"/>
        <v>483.21720230769233</v>
      </c>
      <c r="N39" s="644">
        <f t="shared" si="16"/>
        <v>483.21720230769233</v>
      </c>
      <c r="O39" s="644">
        <f t="shared" si="16"/>
        <v>483.21720230769233</v>
      </c>
      <c r="P39" s="644"/>
    </row>
    <row r="40" spans="2:16" ht="9" customHeight="1">
      <c r="B40" s="643" t="s">
        <v>180</v>
      </c>
      <c r="C40" s="645" t="s">
        <v>152</v>
      </c>
      <c r="D40" s="647">
        <f>Hotelrampup</f>
        <v>0.65</v>
      </c>
      <c r="E40" s="644">
        <f>IF(OR(E$2=$H35,AND(E$2&gt;$H35,E$2&lt;(SUM($H35,INDEX(cockpit!$J$6:$Y$16,MATCH($D34,cockpit!$J$6:$J$16,0),MATCH($C$12,cockpit!$J$6:$Y$6,0)))))),E38*$D40,0)</f>
        <v>0</v>
      </c>
      <c r="F40" s="644">
        <f>IF(OR(F$2=$H35,AND(F$2&gt;$H35,F$2&lt;(SUM($H35,INDEX(cockpit!$J$6:$Y$16,MATCH($D34,cockpit!$J$6:$J$16,0),MATCH($C$12,cockpit!$J$6:$Y$6,0)))))),F38*$D40,0)</f>
        <v>0</v>
      </c>
      <c r="G40" s="644">
        <f>IF(OR(G$2=$H35,AND(G$2&gt;$H35,G$2&lt;(SUM($H35,INDEX(cockpit!$J$6:$Y$16,MATCH($D34,cockpit!$J$6:$J$16,0),MATCH($C$12,cockpit!$J$6:$Y$6,0)))))),G38*$D40,0)</f>
        <v>0</v>
      </c>
      <c r="H40" s="644">
        <f>IF(OR(H$2=$H35,AND(H$2&gt;$H35,H$2&lt;(SUM($H35,INDEX(cockpit!$J$6:$Y$16,MATCH($D34,cockpit!$J$6:$J$16,0),MATCH($C$12,cockpit!$J$6:$Y$6,0)))))),H38*$D40,0)</f>
        <v>0</v>
      </c>
      <c r="I40" s="644">
        <f>IF(OR(I$2=$H35,AND(I$2&gt;$H35,I$2&lt;(SUM($H35,INDEX(cockpit!$J$6:$Y$16,MATCH($D34,cockpit!$J$6:$J$16,0),MATCH($C$12,cockpit!$J$6:$Y$6,0)))))),I38*$D40,0)</f>
        <v>0</v>
      </c>
      <c r="J40" s="644">
        <f>IF(OR(J$2=$H35,AND(J$2&gt;$H35,J$2&lt;(SUM($H35,INDEX(cockpit!$J$6:$Y$16,MATCH($D34,cockpit!$J$6:$J$16,0),MATCH($C$12,cockpit!$J$6:$Y$6,0)))))),J38*$D40,0)</f>
        <v>0</v>
      </c>
      <c r="K40" s="644">
        <f>IF(OR(K$2=$H35,AND(K$2&gt;$H35,K$2&lt;(SUM($H35,INDEX(cockpit!$J$6:$Y$16,MATCH($D34,cockpit!$J$6:$J$16,0),MATCH($C$12,cockpit!$J$6:$Y$6,0)))))),K38*$D40,0)</f>
        <v>102079.63398750001</v>
      </c>
      <c r="L40" s="644">
        <f>IF(OR(L$2=$H35,AND(L$2&gt;$H35,L$2&lt;(SUM($H35,INDEX(cockpit!$J$6:$Y$16,MATCH($D34,cockpit!$J$6:$J$16,0),MATCH($C$12,cockpit!$J$6:$Y$6,0)))))),L38*$D40,0)</f>
        <v>0</v>
      </c>
      <c r="M40" s="644">
        <f>IF(OR(M$2=$H35,AND(M$2&gt;$H35,M$2&lt;(SUM($H35,INDEX(cockpit!$J$6:$Y$16,MATCH($D34,cockpit!$J$6:$J$16,0),MATCH($C$12,cockpit!$J$6:$Y$6,0)))))),M38*$D40,0)</f>
        <v>0</v>
      </c>
      <c r="N40" s="644">
        <f>IF(OR(N$2=$H35,AND(N$2&gt;$H35,N$2&lt;(SUM($H35,INDEX(cockpit!$J$6:$Y$16,MATCH($D34,cockpit!$J$6:$J$16,0),MATCH($C$12,cockpit!$J$6:$Y$6,0)))))),N38*$D40,0)</f>
        <v>0</v>
      </c>
      <c r="O40" s="644">
        <f>IF(OR(O$2=$H35,AND(O$2&gt;$H35,O$2&lt;(SUM($H35,INDEX(cockpit!$J$6:$Y$16,MATCH($D34,cockpit!$J$6:$J$16,0),MATCH($C$12,cockpit!$J$6:$Y$6,0)))))),O38*$D40,0)</f>
        <v>0</v>
      </c>
    </row>
    <row r="41" spans="2:16" ht="9" customHeight="1">
      <c r="B41" s="643" t="s">
        <v>181</v>
      </c>
      <c r="C41" s="645"/>
      <c r="D41" s="633"/>
      <c r="E41" s="644">
        <f>SUM($E40:E40)</f>
        <v>0</v>
      </c>
      <c r="F41" s="644">
        <f>SUM($E40:F40)</f>
        <v>0</v>
      </c>
      <c r="G41" s="644">
        <f>SUM($E40:G40)</f>
        <v>0</v>
      </c>
      <c r="H41" s="644">
        <f>SUM($E40:H40)</f>
        <v>0</v>
      </c>
      <c r="I41" s="644">
        <f>SUM($E40:I40)</f>
        <v>0</v>
      </c>
      <c r="J41" s="644">
        <f>SUM($E40:J40)</f>
        <v>0</v>
      </c>
      <c r="K41" s="644">
        <f>SUM($E40:K40)</f>
        <v>102079.63398750001</v>
      </c>
      <c r="L41" s="644">
        <f>SUM($E40:L40)</f>
        <v>102079.63398750001</v>
      </c>
      <c r="M41" s="644">
        <f>SUM($E40:M40)</f>
        <v>102079.63398750001</v>
      </c>
      <c r="N41" s="644">
        <f>SUM($E40:N40)</f>
        <v>102079.63398750001</v>
      </c>
      <c r="O41" s="644">
        <f>SUM($E40:O40)</f>
        <v>102079.63398750001</v>
      </c>
    </row>
    <row r="42" spans="2:16" ht="9" customHeight="1">
      <c r="B42" s="643" t="s">
        <v>685</v>
      </c>
      <c r="C42" s="645"/>
      <c r="D42" s="633"/>
      <c r="E42" s="644">
        <f t="shared" ref="E42:O42" si="17">E41/Hotelaverageroomsize</f>
        <v>0</v>
      </c>
      <c r="F42" s="644">
        <f t="shared" si="17"/>
        <v>0</v>
      </c>
      <c r="G42" s="644">
        <f t="shared" si="17"/>
        <v>0</v>
      </c>
      <c r="H42" s="644">
        <f t="shared" si="17"/>
        <v>0</v>
      </c>
      <c r="I42" s="644">
        <f t="shared" si="17"/>
        <v>0</v>
      </c>
      <c r="J42" s="644">
        <f t="shared" si="17"/>
        <v>0</v>
      </c>
      <c r="K42" s="644">
        <f t="shared" si="17"/>
        <v>314.09118150000006</v>
      </c>
      <c r="L42" s="644">
        <f t="shared" si="17"/>
        <v>314.09118150000006</v>
      </c>
      <c r="M42" s="644">
        <f t="shared" si="17"/>
        <v>314.09118150000006</v>
      </c>
      <c r="N42" s="644">
        <f t="shared" si="17"/>
        <v>314.09118150000006</v>
      </c>
      <c r="O42" s="644">
        <f t="shared" si="17"/>
        <v>314.09118150000006</v>
      </c>
    </row>
    <row r="43" spans="2:16" ht="9" customHeight="1">
      <c r="B43" s="633"/>
      <c r="C43" s="645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</row>
    <row r="44" spans="2:16" ht="9" customHeight="1">
      <c r="B44" s="643" t="s">
        <v>233</v>
      </c>
      <c r="C44" s="645"/>
      <c r="D44" s="649">
        <f>(hoteladr*(1-$K33))+((hoteladr*(1+premiumprices)*$K33))</f>
        <v>206.25</v>
      </c>
      <c r="E44" s="650">
        <f t="shared" ref="E44:O44" si="18">(E42*(($D44)*((1+Inflation)^(E$2-1))))*365</f>
        <v>0</v>
      </c>
      <c r="F44" s="650">
        <f t="shared" si="18"/>
        <v>0</v>
      </c>
      <c r="G44" s="650">
        <f t="shared" si="18"/>
        <v>0</v>
      </c>
      <c r="H44" s="650">
        <f t="shared" si="18"/>
        <v>0</v>
      </c>
      <c r="I44" s="650">
        <f t="shared" si="18"/>
        <v>0</v>
      </c>
      <c r="J44" s="650">
        <f t="shared" si="18"/>
        <v>0</v>
      </c>
      <c r="K44" s="650">
        <f t="shared" si="18"/>
        <v>26106185.746002313</v>
      </c>
      <c r="L44" s="650">
        <f t="shared" si="18"/>
        <v>26628309.46092236</v>
      </c>
      <c r="M44" s="650">
        <f t="shared" si="18"/>
        <v>27160875.650140803</v>
      </c>
      <c r="N44" s="650">
        <f t="shared" si="18"/>
        <v>27704093.16314362</v>
      </c>
      <c r="O44" s="650">
        <f t="shared" si="18"/>
        <v>28258175.026406493</v>
      </c>
    </row>
    <row r="45" spans="2:16" ht="9" customHeight="1">
      <c r="B45" s="643" t="s">
        <v>123</v>
      </c>
      <c r="C45" s="645"/>
      <c r="D45" s="646">
        <f>INDEX(cockpit!$J$6:$Y$16,MATCH($D34,cockpit!$J$6:$J$16,0),MATCH($B45,cockpit!$J$6:$Y$6,0))</f>
        <v>0.35</v>
      </c>
      <c r="E45" s="650">
        <f t="shared" ref="E45:O45" si="19">-IF($D45&gt;1,E37*($D45*((1+Inflation)^(E$2-1))),E44*(1-$D45))</f>
        <v>0</v>
      </c>
      <c r="F45" s="650">
        <f t="shared" si="19"/>
        <v>0</v>
      </c>
      <c r="G45" s="650">
        <f t="shared" si="19"/>
        <v>0</v>
      </c>
      <c r="H45" s="650">
        <f t="shared" si="19"/>
        <v>0</v>
      </c>
      <c r="I45" s="650">
        <f t="shared" si="19"/>
        <v>0</v>
      </c>
      <c r="J45" s="650">
        <f t="shared" si="19"/>
        <v>0</v>
      </c>
      <c r="K45" s="650">
        <f t="shared" si="19"/>
        <v>-16969020.734901503</v>
      </c>
      <c r="L45" s="650">
        <f t="shared" si="19"/>
        <v>-17308401.149599534</v>
      </c>
      <c r="M45" s="650">
        <f t="shared" si="19"/>
        <v>-17654569.172591522</v>
      </c>
      <c r="N45" s="650">
        <f t="shared" si="19"/>
        <v>-18007660.556043353</v>
      </c>
      <c r="O45" s="650">
        <f t="shared" si="19"/>
        <v>-18367813.767164223</v>
      </c>
    </row>
    <row r="46" spans="2:16" ht="9" customHeight="1">
      <c r="B46" s="643" t="s">
        <v>231</v>
      </c>
      <c r="C46" s="645"/>
      <c r="D46" s="646">
        <f>hotelfoodandbeverageincome</f>
        <v>0.1</v>
      </c>
      <c r="E46" s="650">
        <f t="shared" ref="E46:O46" si="20">E44*$D46*hotelfoodandbeveragemargin</f>
        <v>0</v>
      </c>
      <c r="F46" s="650">
        <f t="shared" si="20"/>
        <v>0</v>
      </c>
      <c r="G46" s="650">
        <f t="shared" si="20"/>
        <v>0</v>
      </c>
      <c r="H46" s="650">
        <f t="shared" si="20"/>
        <v>0</v>
      </c>
      <c r="I46" s="650">
        <f t="shared" si="20"/>
        <v>0</v>
      </c>
      <c r="J46" s="650">
        <f t="shared" si="20"/>
        <v>0</v>
      </c>
      <c r="K46" s="650">
        <f t="shared" si="20"/>
        <v>261061.85746002314</v>
      </c>
      <c r="L46" s="650">
        <f t="shared" si="20"/>
        <v>266283.09460922366</v>
      </c>
      <c r="M46" s="650">
        <f t="shared" si="20"/>
        <v>271608.75650140806</v>
      </c>
      <c r="N46" s="650">
        <f t="shared" si="20"/>
        <v>277040.93163143622</v>
      </c>
      <c r="O46" s="650">
        <f t="shared" si="20"/>
        <v>282581.75026406499</v>
      </c>
    </row>
    <row r="47" spans="2:16" ht="9" customHeight="1">
      <c r="B47" s="643" t="s">
        <v>232</v>
      </c>
      <c r="C47" s="645"/>
      <c r="D47" s="646">
        <f>hotelotherincome</f>
        <v>0.05</v>
      </c>
      <c r="E47" s="654">
        <f t="shared" ref="E47:O47" si="21">E44*$D47*hotelotherincomemargin</f>
        <v>0</v>
      </c>
      <c r="F47" s="654">
        <f t="shared" si="21"/>
        <v>0</v>
      </c>
      <c r="G47" s="654">
        <f t="shared" si="21"/>
        <v>0</v>
      </c>
      <c r="H47" s="654">
        <f t="shared" si="21"/>
        <v>0</v>
      </c>
      <c r="I47" s="654">
        <f t="shared" si="21"/>
        <v>0</v>
      </c>
      <c r="J47" s="654">
        <f t="shared" si="21"/>
        <v>0</v>
      </c>
      <c r="K47" s="654">
        <f t="shared" si="21"/>
        <v>130530.92873001157</v>
      </c>
      <c r="L47" s="654">
        <f t="shared" si="21"/>
        <v>133141.54730461183</v>
      </c>
      <c r="M47" s="654">
        <f t="shared" si="21"/>
        <v>135804.37825070403</v>
      </c>
      <c r="N47" s="654">
        <f t="shared" si="21"/>
        <v>138520.46581571811</v>
      </c>
      <c r="O47" s="654">
        <f t="shared" si="21"/>
        <v>141290.8751320325</v>
      </c>
    </row>
    <row r="48" spans="2:16" ht="9" customHeight="1">
      <c r="B48" s="655" t="s">
        <v>167</v>
      </c>
      <c r="C48" s="645"/>
      <c r="D48" s="633"/>
      <c r="E48" s="650">
        <f t="shared" ref="E48:O48" si="22">SUM(E44:E47)</f>
        <v>0</v>
      </c>
      <c r="F48" s="650">
        <f t="shared" si="22"/>
        <v>0</v>
      </c>
      <c r="G48" s="650">
        <f t="shared" si="22"/>
        <v>0</v>
      </c>
      <c r="H48" s="650">
        <f t="shared" si="22"/>
        <v>0</v>
      </c>
      <c r="I48" s="650">
        <f t="shared" si="22"/>
        <v>0</v>
      </c>
      <c r="J48" s="650">
        <f t="shared" si="22"/>
        <v>0</v>
      </c>
      <c r="K48" s="650">
        <f t="shared" si="22"/>
        <v>9528757.7972908448</v>
      </c>
      <c r="L48" s="650">
        <f t="shared" si="22"/>
        <v>9719332.9532366619</v>
      </c>
      <c r="M48" s="650">
        <f t="shared" si="22"/>
        <v>9913719.6123013925</v>
      </c>
      <c r="N48" s="650">
        <f t="shared" si="22"/>
        <v>10111994.004547421</v>
      </c>
      <c r="O48" s="650">
        <f t="shared" si="22"/>
        <v>10314233.884638367</v>
      </c>
    </row>
    <row r="49" spans="2:15" ht="9" customHeight="1">
      <c r="B49" s="633"/>
      <c r="C49" s="645"/>
      <c r="D49" s="633"/>
      <c r="E49" s="656">
        <f t="shared" ref="E49:O49" si="23">IFERROR(E48/SUM(E44:E44),0)</f>
        <v>0</v>
      </c>
      <c r="F49" s="656">
        <f t="shared" si="23"/>
        <v>0</v>
      </c>
      <c r="G49" s="656">
        <f t="shared" si="23"/>
        <v>0</v>
      </c>
      <c r="H49" s="656">
        <f t="shared" si="23"/>
        <v>0</v>
      </c>
      <c r="I49" s="656">
        <f t="shared" si="23"/>
        <v>0</v>
      </c>
      <c r="J49" s="656">
        <f t="shared" si="23"/>
        <v>0</v>
      </c>
      <c r="K49" s="656">
        <f t="shared" si="23"/>
        <v>0.36500000000000005</v>
      </c>
      <c r="L49" s="656">
        <f t="shared" si="23"/>
        <v>0.36499999999999999</v>
      </c>
      <c r="M49" s="656">
        <f t="shared" si="23"/>
        <v>0.36499999999999999</v>
      </c>
      <c r="N49" s="656">
        <f t="shared" si="23"/>
        <v>0.36499999999999999</v>
      </c>
      <c r="O49" s="656">
        <f t="shared" si="23"/>
        <v>0.36499999999999988</v>
      </c>
    </row>
    <row r="50" spans="2:15" ht="9" customHeight="1">
      <c r="B50" s="643" t="s">
        <v>168</v>
      </c>
      <c r="C50" s="645"/>
      <c r="D50" s="658">
        <f>INDEX(cockpit!$J$6:$Y$16,MATCH($D34,cockpit!$J$6:$J$16,0),MATCH($B50,cockpit!$J$6:$Y$6,0))</f>
        <v>0.05</v>
      </c>
      <c r="E50" s="650">
        <f t="shared" ref="E50:O50" si="24">-E38*$D50</f>
        <v>0</v>
      </c>
      <c r="F50" s="650">
        <f t="shared" si="24"/>
        <v>0</v>
      </c>
      <c r="G50" s="650">
        <f t="shared" si="24"/>
        <v>0</v>
      </c>
      <c r="H50" s="650">
        <f t="shared" si="24"/>
        <v>0</v>
      </c>
      <c r="I50" s="650">
        <f t="shared" si="24"/>
        <v>0</v>
      </c>
      <c r="J50" s="650">
        <f t="shared" si="24"/>
        <v>0</v>
      </c>
      <c r="K50" s="650">
        <f t="shared" si="24"/>
        <v>-7852.2795375000005</v>
      </c>
      <c r="L50" s="650">
        <f t="shared" si="24"/>
        <v>-7852.2795375000005</v>
      </c>
      <c r="M50" s="650">
        <f t="shared" si="24"/>
        <v>-7852.2795375000005</v>
      </c>
      <c r="N50" s="650">
        <f t="shared" si="24"/>
        <v>-7852.2795375000005</v>
      </c>
      <c r="O50" s="650">
        <f t="shared" si="24"/>
        <v>-7852.2795375000005</v>
      </c>
    </row>
    <row r="51" spans="2:15" ht="9" customHeight="1">
      <c r="B51" s="643" t="s">
        <v>162</v>
      </c>
      <c r="C51" s="645"/>
      <c r="D51" s="658">
        <f>INDEX(cockpit!$J$6:$Y$16,MATCH($D34,cockpit!$J$6:$J$16,0),MATCH($B51,cockpit!$J$6:$Y$6,0))</f>
        <v>0</v>
      </c>
      <c r="E51" s="654">
        <f t="shared" ref="E51:O51" si="25">-E41*$D51</f>
        <v>0</v>
      </c>
      <c r="F51" s="654">
        <f t="shared" si="25"/>
        <v>0</v>
      </c>
      <c r="G51" s="654">
        <f t="shared" si="25"/>
        <v>0</v>
      </c>
      <c r="H51" s="654">
        <f t="shared" si="25"/>
        <v>0</v>
      </c>
      <c r="I51" s="654">
        <f t="shared" si="25"/>
        <v>0</v>
      </c>
      <c r="J51" s="654">
        <f t="shared" si="25"/>
        <v>0</v>
      </c>
      <c r="K51" s="654">
        <f t="shared" si="25"/>
        <v>0</v>
      </c>
      <c r="L51" s="654">
        <f t="shared" si="25"/>
        <v>0</v>
      </c>
      <c r="M51" s="654">
        <f t="shared" si="25"/>
        <v>0</v>
      </c>
      <c r="N51" s="654">
        <f t="shared" si="25"/>
        <v>0</v>
      </c>
      <c r="O51" s="654">
        <f t="shared" si="25"/>
        <v>0</v>
      </c>
    </row>
    <row r="52" spans="2:15" ht="9" customHeight="1">
      <c r="B52" s="655" t="s">
        <v>195</v>
      </c>
      <c r="C52" s="645"/>
      <c r="D52" s="658"/>
      <c r="E52" s="650">
        <f>SUM(E50:E51)</f>
        <v>0</v>
      </c>
      <c r="F52" s="650">
        <f t="shared" ref="F52:O52" si="26">SUM(F50:F51)</f>
        <v>0</v>
      </c>
      <c r="G52" s="650">
        <f t="shared" si="26"/>
        <v>0</v>
      </c>
      <c r="H52" s="650">
        <f t="shared" si="26"/>
        <v>0</v>
      </c>
      <c r="I52" s="650">
        <f t="shared" si="26"/>
        <v>0</v>
      </c>
      <c r="J52" s="650">
        <f t="shared" si="26"/>
        <v>0</v>
      </c>
      <c r="K52" s="650">
        <f t="shared" si="26"/>
        <v>-7852.2795375000005</v>
      </c>
      <c r="L52" s="650">
        <f t="shared" si="26"/>
        <v>-7852.2795375000005</v>
      </c>
      <c r="M52" s="650">
        <f t="shared" si="26"/>
        <v>-7852.2795375000005</v>
      </c>
      <c r="N52" s="650">
        <f t="shared" si="26"/>
        <v>-7852.2795375000005</v>
      </c>
      <c r="O52" s="650">
        <f t="shared" si="26"/>
        <v>-7852.2795375000005</v>
      </c>
    </row>
    <row r="53" spans="2:15" ht="9" customHeight="1">
      <c r="B53" s="643"/>
      <c r="C53" s="645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</row>
    <row r="54" spans="2:15" ht="9" customHeight="1">
      <c r="B54" s="643" t="s">
        <v>170</v>
      </c>
      <c r="C54" s="645"/>
      <c r="D54" s="649">
        <f>(hotelconstructioncostPSF*(1-$K33))+((hotelconstructioncostPSF*(1+premiumprices)*$K33))</f>
        <v>281.25</v>
      </c>
      <c r="E54" s="650">
        <f>-IF(OR(E$2=$H33,E$2=$H34,AND(E$2&gt;$H33,E$2&lt;$H34)),(INDEX(summary!$A$2:$D$24,MATCH($D34,summary!$A$2:$A$24,0),MATCH($D33,summary!$A$2:$D$2,0)))/constructiontimephase2)*($D54*((1+Inflation)^(E$2-1)))*(1+Developerfee)</f>
        <v>0</v>
      </c>
      <c r="F54" s="650">
        <f>-IF(OR(F$2=$H33,F$2=$H34,AND(F$2&gt;$H33,F$2&lt;$H34)),(INDEX(summary!$A$2:$D$24,MATCH($D34,summary!$A$2:$A$24,0),MATCH($D33,summary!$A$2:$D$2,0)))/constructiontimephase2)*($D54*((1+Inflation)^(F$2-1)))*(1+Developerfee)</f>
        <v>0</v>
      </c>
      <c r="G54" s="650">
        <f>-IF(OR(G$2=$H33,G$2=$H34,AND(G$2&gt;$H33,G$2&lt;$H34)),(INDEX(summary!$A$2:$D$24,MATCH($D34,summary!$A$2:$A$24,0),MATCH($D33,summary!$A$2:$D$2,0)))/constructiontimephase2)*($D54*((1+Inflation)^(G$2-1)))*(1+Developerfee)</f>
        <v>0</v>
      </c>
      <c r="H54" s="650">
        <f>-IF(OR(H$2=$H33,H$2=$H34,AND(H$2&gt;$H33,H$2&lt;$H34)),(INDEX(summary!$A$2:$D$24,MATCH($D34,summary!$A$2:$A$24,0),MATCH($D33,summary!$A$2:$D$2,0)))/constructiontimephase2)*($D54*((1+Inflation)^(H$2-1)))*(1+Developerfee)</f>
        <v>0</v>
      </c>
      <c r="I54" s="650">
        <f>-IF(OR(I$2=$H33,I$2=$H34,AND(I$2&gt;$H33,I$2&lt;$H34)),(INDEX(summary!$A$2:$D$24,MATCH($D34,summary!$A$2:$A$24,0),MATCH($D33,summary!$A$2:$D$2,0)))/constructiontimephase2)*($D54*((1+Inflation)^(I$2-1)))*(1+Developerfee)</f>
        <v>-32185833.447503395</v>
      </c>
      <c r="J54" s="650">
        <f>-IF(OR(J$2=$H33,J$2=$H34,AND(J$2&gt;$H33,J$2&lt;$H34)),(INDEX(summary!$A$2:$D$24,MATCH($D34,summary!$A$2:$A$24,0),MATCH($D33,summary!$A$2:$D$2,0)))/constructiontimephase2)*($D54*((1+Inflation)^(J$2-1)))*(1+Developerfee)</f>
        <v>-32829550.116453461</v>
      </c>
      <c r="K54" s="650">
        <f>-IF(OR(K$2=$H33,K$2=$H34,AND(K$2&gt;$H33,K$2&lt;$H34)),(INDEX(summary!$A$2:$D$24,MATCH($D34,summary!$A$2:$A$24,0),MATCH($D33,summary!$A$2:$D$2,0)))/constructiontimephase2)*($D54*((1+Inflation)^(K$2-1)))*(1+Developerfee)</f>
        <v>0</v>
      </c>
      <c r="L54" s="650">
        <f>-IF(OR(L$2=$H33,L$2=$H34,AND(L$2&gt;$H33,L$2&lt;$H34)),(INDEX(summary!$A$2:$D$24,MATCH($D34,summary!$A$2:$A$24,0),MATCH($D33,summary!$A$2:$D$2,0)))/constructiontimephase2)*($D54*((1+Inflation)^(L$2-1)))*(1+Developerfee)</f>
        <v>0</v>
      </c>
      <c r="M54" s="650">
        <f>-IF(OR(M$2=$H33,M$2=$H34,AND(M$2&gt;$H33,M$2&lt;$H34)),(INDEX(summary!$A$2:$D$24,MATCH($D34,summary!$A$2:$A$24,0),MATCH($D33,summary!$A$2:$D$2,0)))/constructiontimephase2)*($D54*((1+Inflation)^(M$2-1)))*(1+Developerfee)</f>
        <v>0</v>
      </c>
      <c r="N54" s="650">
        <f>-IF(OR(N$2=$H33,N$2=$H34,AND(N$2&gt;$H33,N$2&lt;$H34)),(INDEX(summary!$A$2:$D$24,MATCH($D34,summary!$A$2:$A$24,0),MATCH($D33,summary!$A$2:$D$2,0)))/constructiontimephase2)*($D54*((1+Inflation)^(N$2-1)))*(1+Developerfee)</f>
        <v>0</v>
      </c>
      <c r="O54" s="650">
        <f>-IF(OR(O$2=$H33,O$2=$H34,AND(O$2&gt;$H33,O$2&lt;$H34)),(INDEX(summary!$A$2:$D$24,MATCH($D34,summary!$A$2:$A$24,0),MATCH($D33,summary!$A$2:$D$2,0)))/constructiontimephase2)*($D54*((1+Inflation)^(O$2-1)))*(1+Developerfee)</f>
        <v>0</v>
      </c>
    </row>
    <row r="55" spans="2:15" ht="9" customHeight="1">
      <c r="B55" s="643" t="s">
        <v>197</v>
      </c>
      <c r="C55" s="645" t="s">
        <v>189</v>
      </c>
      <c r="D55" s="647">
        <f>(INDEX(cockpit!$J$6:$Y$16,MATCH($D34,cockpit!$J$6:$J$16,0),MATCH($C55,cockpit!$J$6:$Y$6,0))*(1-$K33))+((INDEX(cockpit!$J$6:$Y$16,MATCH($D34,cockpit!$J$6:$J$16,0),MATCH($C55,cockpit!$J$6:$Y$6,0))-(Premiumexitcaprate))*$K33)</f>
        <v>7.2500000000000009E-2</v>
      </c>
      <c r="E55" s="654">
        <f t="shared" ref="E55:O55" si="27">IF(E$2=dispositionyear,E48/$D55,0)*(1-Closingcosts)</f>
        <v>0</v>
      </c>
      <c r="F55" s="654">
        <f t="shared" si="27"/>
        <v>0</v>
      </c>
      <c r="G55" s="654">
        <f t="shared" si="27"/>
        <v>0</v>
      </c>
      <c r="H55" s="654">
        <f t="shared" si="27"/>
        <v>0</v>
      </c>
      <c r="I55" s="654">
        <f t="shared" si="27"/>
        <v>0</v>
      </c>
      <c r="J55" s="654">
        <f t="shared" si="27"/>
        <v>0</v>
      </c>
      <c r="K55" s="654">
        <f t="shared" si="27"/>
        <v>0</v>
      </c>
      <c r="L55" s="654">
        <f t="shared" si="27"/>
        <v>0</v>
      </c>
      <c r="M55" s="654">
        <f t="shared" si="27"/>
        <v>0</v>
      </c>
      <c r="N55" s="654">
        <f t="shared" si="27"/>
        <v>0</v>
      </c>
      <c r="O55" s="654">
        <f t="shared" si="27"/>
        <v>138708662.58651593</v>
      </c>
    </row>
    <row r="56" spans="2:15" ht="9" customHeight="1">
      <c r="B56" s="655" t="s">
        <v>196</v>
      </c>
      <c r="C56" s="645"/>
      <c r="D56" s="646"/>
      <c r="E56" s="650">
        <f>SUM(E54:E55)</f>
        <v>0</v>
      </c>
      <c r="F56" s="650">
        <f t="shared" ref="F56:O56" si="28">SUM(F54:F55)</f>
        <v>0</v>
      </c>
      <c r="G56" s="650">
        <f t="shared" si="28"/>
        <v>0</v>
      </c>
      <c r="H56" s="650">
        <f t="shared" si="28"/>
        <v>0</v>
      </c>
      <c r="I56" s="650">
        <f t="shared" si="28"/>
        <v>-32185833.447503395</v>
      </c>
      <c r="J56" s="650">
        <f t="shared" si="28"/>
        <v>-32829550.116453461</v>
      </c>
      <c r="K56" s="650">
        <f t="shared" si="28"/>
        <v>0</v>
      </c>
      <c r="L56" s="650">
        <f t="shared" si="28"/>
        <v>0</v>
      </c>
      <c r="M56" s="650">
        <f t="shared" si="28"/>
        <v>0</v>
      </c>
      <c r="N56" s="650">
        <f t="shared" si="28"/>
        <v>0</v>
      </c>
      <c r="O56" s="650">
        <f t="shared" si="28"/>
        <v>138708662.58651593</v>
      </c>
    </row>
    <row r="57" spans="2:15" ht="9" customHeight="1">
      <c r="B57" s="643"/>
      <c r="C57" s="645"/>
      <c r="D57" s="646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</row>
    <row r="58" spans="2:15" ht="9" customHeight="1">
      <c r="B58" s="655" t="s">
        <v>169</v>
      </c>
      <c r="C58" s="655"/>
      <c r="D58" s="659">
        <f ca="1">IRR(OFFSET(E58,0,0,1,Investmenthorizon+1))</f>
        <v>0.24561360348177241</v>
      </c>
      <c r="E58" s="660">
        <f>SUM(E48,E52,E56)</f>
        <v>0</v>
      </c>
      <c r="F58" s="660">
        <f t="shared" ref="F58:O58" si="29">SUM(F48,F52,F56)</f>
        <v>0</v>
      </c>
      <c r="G58" s="660">
        <f t="shared" si="29"/>
        <v>0</v>
      </c>
      <c r="H58" s="660">
        <f t="shared" si="29"/>
        <v>0</v>
      </c>
      <c r="I58" s="660">
        <f t="shared" si="29"/>
        <v>-32185833.447503395</v>
      </c>
      <c r="J58" s="660">
        <f t="shared" si="29"/>
        <v>-32829550.116453461</v>
      </c>
      <c r="K58" s="660">
        <f t="shared" si="29"/>
        <v>9520905.517753344</v>
      </c>
      <c r="L58" s="660">
        <f t="shared" si="29"/>
        <v>9711480.673699161</v>
      </c>
      <c r="M58" s="660">
        <f t="shared" si="29"/>
        <v>9905867.3327638917</v>
      </c>
      <c r="N58" s="660">
        <f t="shared" si="29"/>
        <v>10104141.72500992</v>
      </c>
      <c r="O58" s="660">
        <f t="shared" si="29"/>
        <v>149015044.1916168</v>
      </c>
    </row>
    <row r="59" spans="2:15" ht="9" customHeight="1" thickBot="1">
      <c r="B59" s="655"/>
      <c r="C59" s="655"/>
      <c r="D59" s="661"/>
      <c r="E59" s="633"/>
      <c r="F59" s="633"/>
      <c r="G59" s="633"/>
      <c r="H59" s="662"/>
      <c r="I59" s="633"/>
      <c r="J59" s="633"/>
      <c r="K59" s="633"/>
      <c r="L59" s="633"/>
      <c r="M59" s="633"/>
      <c r="N59" s="633"/>
      <c r="O59" s="633"/>
    </row>
    <row r="60" spans="2:15" ht="9" customHeight="1">
      <c r="B60" s="627" t="s">
        <v>198</v>
      </c>
      <c r="C60" s="628"/>
      <c r="D60" s="628"/>
      <c r="E60" s="629"/>
      <c r="F60" s="630"/>
      <c r="G60" s="630"/>
      <c r="H60" s="630"/>
      <c r="I60" s="630"/>
      <c r="J60" s="630"/>
      <c r="K60" s="631"/>
      <c r="L60" s="626"/>
      <c r="M60" s="626"/>
      <c r="N60" s="626"/>
      <c r="O60" s="626"/>
    </row>
    <row r="61" spans="2:15" ht="9" customHeight="1">
      <c r="B61" s="632" t="s">
        <v>89</v>
      </c>
      <c r="C61" s="633"/>
      <c r="D61" s="634">
        <v>3</v>
      </c>
      <c r="E61" s="633"/>
      <c r="F61" s="633"/>
      <c r="G61" s="626" t="s">
        <v>204</v>
      </c>
      <c r="H61" s="634">
        <f>Phase3begin</f>
        <v>6</v>
      </c>
      <c r="I61" s="633"/>
      <c r="J61" s="626" t="s">
        <v>201</v>
      </c>
      <c r="K61" s="635">
        <f>summary!AF89</f>
        <v>0</v>
      </c>
      <c r="L61" s="633"/>
      <c r="M61" s="633"/>
      <c r="N61" s="633"/>
      <c r="O61" s="633"/>
    </row>
    <row r="62" spans="2:15" ht="9" customHeight="1">
      <c r="B62" s="632" t="s">
        <v>93</v>
      </c>
      <c r="C62" s="633"/>
      <c r="D62" s="636" t="s">
        <v>221</v>
      </c>
      <c r="E62" s="633"/>
      <c r="F62" s="633"/>
      <c r="G62" s="626" t="s">
        <v>205</v>
      </c>
      <c r="H62" s="634">
        <f>Phase3end</f>
        <v>7</v>
      </c>
      <c r="I62" s="633"/>
      <c r="J62" s="633"/>
      <c r="K62" s="637"/>
      <c r="L62" s="633"/>
      <c r="M62" s="633"/>
      <c r="N62" s="633"/>
      <c r="O62" s="633"/>
    </row>
    <row r="63" spans="2:15" ht="9" customHeight="1" thickBot="1">
      <c r="B63" s="638"/>
      <c r="C63" s="639"/>
      <c r="D63" s="639"/>
      <c r="E63" s="639"/>
      <c r="F63" s="639"/>
      <c r="G63" s="625" t="s">
        <v>199</v>
      </c>
      <c r="H63" s="640">
        <f>Phase3open</f>
        <v>8</v>
      </c>
      <c r="I63" s="639"/>
      <c r="J63" s="639"/>
      <c r="K63" s="641"/>
      <c r="L63" s="633"/>
      <c r="M63" s="633"/>
      <c r="N63" s="633"/>
      <c r="O63" s="633"/>
    </row>
    <row r="64" spans="2:15" ht="9" customHeight="1">
      <c r="B64" s="633"/>
      <c r="C64" s="642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</row>
    <row r="65" spans="2:16" ht="9" customHeight="1">
      <c r="B65" s="643" t="s">
        <v>182</v>
      </c>
      <c r="C65" s="643"/>
      <c r="D65" s="633"/>
      <c r="E65" s="644">
        <f>IF(OR(E$2=$H63,E$2&gt;$H63),INDEX(summary!$A$2:$D$24,MATCH($D62,summary!$A$2:$A$24,0),MATCH($D61,summary!$A$2:$D$2,0)),0)</f>
        <v>0</v>
      </c>
      <c r="F65" s="644">
        <f>IF(OR(F$2=$H63,F$2&gt;$H63),INDEX(summary!$A$2:$D$24,MATCH($D62,summary!$A$2:$A$24,0),MATCH($D61,summary!$A$2:$D$2,0)),0)</f>
        <v>0</v>
      </c>
      <c r="G65" s="644">
        <f>IF(OR(G$2=$H63,G$2&gt;$H63),INDEX(summary!$A$2:$D$24,MATCH($D62,summary!$A$2:$A$24,0),MATCH($D61,summary!$A$2:$D$2,0)),0)</f>
        <v>0</v>
      </c>
      <c r="H65" s="644">
        <f>IF(OR(H$2=$H63,H$2&gt;$H63),INDEX(summary!$A$2:$D$24,MATCH($D62,summary!$A$2:$A$24,0),MATCH($D61,summary!$A$2:$D$2,0)),0)</f>
        <v>0</v>
      </c>
      <c r="I65" s="644">
        <f>IF(OR(I$2=$H63,I$2&gt;$H63),INDEX(summary!$A$2:$D$24,MATCH($D62,summary!$A$2:$A$24,0),MATCH($D61,summary!$A$2:$D$2,0)),0)</f>
        <v>0</v>
      </c>
      <c r="J65" s="644">
        <f>IF(OR(J$2=$H63,J$2&gt;$H63),INDEX(summary!$A$2:$D$24,MATCH($D62,summary!$A$2:$A$24,0),MATCH($D61,summary!$A$2:$D$2,0)),0)</f>
        <v>0</v>
      </c>
      <c r="K65" s="644">
        <f>IF(OR(K$2=$H63,K$2&gt;$H63),INDEX(summary!$A$2:$D$24,MATCH($D62,summary!$A$2:$A$24,0),MATCH($D61,summary!$A$2:$D$2,0)),0)</f>
        <v>0</v>
      </c>
      <c r="L65" s="644">
        <f>IF(OR(L$2=$H63,L$2&gt;$H63),INDEX(summary!$A$2:$D$24,MATCH($D62,summary!$A$2:$A$24,0),MATCH($D61,summary!$A$2:$D$2,0)),0)</f>
        <v>0</v>
      </c>
      <c r="M65" s="644">
        <f>IF(OR(M$2=$H63,M$2&gt;$H63),INDEX(summary!$A$2:$D$24,MATCH($D62,summary!$A$2:$A$24,0),MATCH($D61,summary!$A$2:$D$2,0)),0)</f>
        <v>0</v>
      </c>
      <c r="N65" s="644">
        <f>IF(OR(N$2=$H63,N$2&gt;$H63),INDEX(summary!$A$2:$D$24,MATCH($D62,summary!$A$2:$A$24,0),MATCH($D61,summary!$A$2:$D$2,0)),0)</f>
        <v>0</v>
      </c>
      <c r="O65" s="644">
        <f>IF(OR(O$2=$H63,O$2&gt;$H63),INDEX(summary!$A$2:$D$24,MATCH($D62,summary!$A$2:$A$24,0),MATCH($D61,summary!$A$2:$D$2,0)),0)</f>
        <v>0</v>
      </c>
    </row>
    <row r="66" spans="2:16" ht="9" customHeight="1">
      <c r="B66" s="643" t="s">
        <v>194</v>
      </c>
      <c r="C66" s="645" t="s">
        <v>191</v>
      </c>
      <c r="D66" s="646">
        <f>INDEX(cockpit!$J$6:$Y$16,MATCH($D62,cockpit!$J$6:$J$16,0),MATCH($C$10,cockpit!$J$6:$Y$6,0))</f>
        <v>0.25</v>
      </c>
      <c r="E66" s="644">
        <f>E65*(1-$D66)</f>
        <v>0</v>
      </c>
      <c r="F66" s="644">
        <f t="shared" ref="F66:O66" si="30">F65*(1-$D66)</f>
        <v>0</v>
      </c>
      <c r="G66" s="644">
        <f t="shared" si="30"/>
        <v>0</v>
      </c>
      <c r="H66" s="644">
        <f t="shared" si="30"/>
        <v>0</v>
      </c>
      <c r="I66" s="644">
        <f t="shared" si="30"/>
        <v>0</v>
      </c>
      <c r="J66" s="644">
        <f t="shared" si="30"/>
        <v>0</v>
      </c>
      <c r="K66" s="644">
        <f t="shared" si="30"/>
        <v>0</v>
      </c>
      <c r="L66" s="644">
        <f t="shared" si="30"/>
        <v>0</v>
      </c>
      <c r="M66" s="644">
        <f t="shared" si="30"/>
        <v>0</v>
      </c>
      <c r="N66" s="644">
        <f t="shared" si="30"/>
        <v>0</v>
      </c>
      <c r="O66" s="644">
        <f t="shared" si="30"/>
        <v>0</v>
      </c>
    </row>
    <row r="67" spans="2:16" ht="9" customHeight="1">
      <c r="B67" s="643" t="s">
        <v>684</v>
      </c>
      <c r="C67" s="645"/>
      <c r="D67" s="646"/>
      <c r="E67" s="644">
        <f t="shared" ref="E67:O67" si="31">E66/Hotelaverageroomsize</f>
        <v>0</v>
      </c>
      <c r="F67" s="644">
        <f t="shared" si="31"/>
        <v>0</v>
      </c>
      <c r="G67" s="644">
        <f t="shared" si="31"/>
        <v>0</v>
      </c>
      <c r="H67" s="644">
        <f t="shared" si="31"/>
        <v>0</v>
      </c>
      <c r="I67" s="644">
        <f t="shared" si="31"/>
        <v>0</v>
      </c>
      <c r="J67" s="644">
        <f t="shared" si="31"/>
        <v>0</v>
      </c>
      <c r="K67" s="644">
        <f t="shared" si="31"/>
        <v>0</v>
      </c>
      <c r="L67" s="644">
        <f t="shared" si="31"/>
        <v>0</v>
      </c>
      <c r="M67" s="644">
        <f t="shared" si="31"/>
        <v>0</v>
      </c>
      <c r="N67" s="644">
        <f t="shared" si="31"/>
        <v>0</v>
      </c>
      <c r="O67" s="644">
        <f t="shared" si="31"/>
        <v>0</v>
      </c>
      <c r="P67" s="644"/>
    </row>
    <row r="68" spans="2:16" ht="9" customHeight="1">
      <c r="B68" s="643" t="s">
        <v>180</v>
      </c>
      <c r="C68" s="645" t="s">
        <v>152</v>
      </c>
      <c r="D68" s="647">
        <f>Hotelrampup</f>
        <v>0.65</v>
      </c>
      <c r="E68" s="644">
        <f>IF(OR(E$2=$H63,AND(E$2&gt;$H63,E$2&lt;(SUM($H63,INDEX(cockpit!$J$6:$Y$16,MATCH($D62,cockpit!$J$6:$J$16,0),MATCH($C$12,cockpit!$J$6:$Y$6,0)))))),E66*$D68,0)</f>
        <v>0</v>
      </c>
      <c r="F68" s="644">
        <f>IF(OR(F$2=$H63,AND(F$2&gt;$H63,F$2&lt;(SUM($H63,INDEX(cockpit!$J$6:$Y$16,MATCH($D62,cockpit!$J$6:$J$16,0),MATCH($C$12,cockpit!$J$6:$Y$6,0)))))),F66*$D68,0)</f>
        <v>0</v>
      </c>
      <c r="G68" s="644">
        <f>IF(OR(G$2=$H63,AND(G$2&gt;$H63,G$2&lt;(SUM($H63,INDEX(cockpit!$J$6:$Y$16,MATCH($D62,cockpit!$J$6:$J$16,0),MATCH($C$12,cockpit!$J$6:$Y$6,0)))))),G66*$D68,0)</f>
        <v>0</v>
      </c>
      <c r="H68" s="644">
        <f>IF(OR(H$2=$H63,AND(H$2&gt;$H63,H$2&lt;(SUM($H63,INDEX(cockpit!$J$6:$Y$16,MATCH($D62,cockpit!$J$6:$J$16,0),MATCH($C$12,cockpit!$J$6:$Y$6,0)))))),H66*$D68,0)</f>
        <v>0</v>
      </c>
      <c r="I68" s="644">
        <f>IF(OR(I$2=$H63,AND(I$2&gt;$H63,I$2&lt;(SUM($H63,INDEX(cockpit!$J$6:$Y$16,MATCH($D62,cockpit!$J$6:$J$16,0),MATCH($C$12,cockpit!$J$6:$Y$6,0)))))),I66*$D68,0)</f>
        <v>0</v>
      </c>
      <c r="J68" s="644">
        <f>IF(OR(J$2=$H63,AND(J$2&gt;$H63,J$2&lt;(SUM($H63,INDEX(cockpit!$J$6:$Y$16,MATCH($D62,cockpit!$J$6:$J$16,0),MATCH($C$12,cockpit!$J$6:$Y$6,0)))))),J66*$D68,0)</f>
        <v>0</v>
      </c>
      <c r="K68" s="644">
        <f>IF(OR(K$2=$H63,AND(K$2&gt;$H63,K$2&lt;(SUM($H63,INDEX(cockpit!$J$6:$Y$16,MATCH($D62,cockpit!$J$6:$J$16,0),MATCH($C$12,cockpit!$J$6:$Y$6,0)))))),K66*$D68,0)</f>
        <v>0</v>
      </c>
      <c r="L68" s="644">
        <f>IF(OR(L$2=$H63,AND(L$2&gt;$H63,L$2&lt;(SUM($H63,INDEX(cockpit!$J$6:$Y$16,MATCH($D62,cockpit!$J$6:$J$16,0),MATCH($C$12,cockpit!$J$6:$Y$6,0)))))),L66*$D68,0)</f>
        <v>0</v>
      </c>
      <c r="M68" s="644">
        <f>IF(OR(M$2=$H63,AND(M$2&gt;$H63,M$2&lt;(SUM($H63,INDEX(cockpit!$J$6:$Y$16,MATCH($D62,cockpit!$J$6:$J$16,0),MATCH($C$12,cockpit!$J$6:$Y$6,0)))))),M66*$D68,0)</f>
        <v>0</v>
      </c>
      <c r="N68" s="644">
        <f>IF(OR(N$2=$H63,AND(N$2&gt;$H63,N$2&lt;(SUM($H63,INDEX(cockpit!$J$6:$Y$16,MATCH($D62,cockpit!$J$6:$J$16,0),MATCH($C$12,cockpit!$J$6:$Y$6,0)))))),N66*$D68,0)</f>
        <v>0</v>
      </c>
      <c r="O68" s="644">
        <f>IF(OR(O$2=$H63,AND(O$2&gt;$H63,O$2&lt;(SUM($H63,INDEX(cockpit!$J$6:$Y$16,MATCH($D62,cockpit!$J$6:$J$16,0),MATCH($C$12,cockpit!$J$6:$Y$6,0)))))),O66*$D68,0)</f>
        <v>0</v>
      </c>
    </row>
    <row r="69" spans="2:16" ht="9" customHeight="1">
      <c r="B69" s="643" t="s">
        <v>181</v>
      </c>
      <c r="C69" s="645"/>
      <c r="D69" s="633"/>
      <c r="E69" s="644">
        <f>SUM($E68:E68)</f>
        <v>0</v>
      </c>
      <c r="F69" s="644">
        <f>SUM($E68:F68)</f>
        <v>0</v>
      </c>
      <c r="G69" s="644">
        <f>SUM($E68:G68)</f>
        <v>0</v>
      </c>
      <c r="H69" s="644">
        <f>SUM($E68:H68)</f>
        <v>0</v>
      </c>
      <c r="I69" s="644">
        <f>SUM($E68:I68)</f>
        <v>0</v>
      </c>
      <c r="J69" s="644">
        <f>SUM($E68:J68)</f>
        <v>0</v>
      </c>
      <c r="K69" s="644">
        <f>SUM($E68:K68)</f>
        <v>0</v>
      </c>
      <c r="L69" s="644">
        <f>SUM($E68:L68)</f>
        <v>0</v>
      </c>
      <c r="M69" s="644">
        <f>SUM($E68:M68)</f>
        <v>0</v>
      </c>
      <c r="N69" s="644">
        <f>SUM($E68:N68)</f>
        <v>0</v>
      </c>
      <c r="O69" s="644">
        <f>SUM($E68:O68)</f>
        <v>0</v>
      </c>
    </row>
    <row r="70" spans="2:16" ht="9" customHeight="1">
      <c r="B70" s="643" t="s">
        <v>685</v>
      </c>
      <c r="C70" s="645"/>
      <c r="D70" s="633"/>
      <c r="E70" s="644">
        <f t="shared" ref="E70:O70" si="32">E69/Hotelaverageroomsize</f>
        <v>0</v>
      </c>
      <c r="F70" s="644">
        <f t="shared" si="32"/>
        <v>0</v>
      </c>
      <c r="G70" s="644">
        <f t="shared" si="32"/>
        <v>0</v>
      </c>
      <c r="H70" s="644">
        <f t="shared" si="32"/>
        <v>0</v>
      </c>
      <c r="I70" s="644">
        <f t="shared" si="32"/>
        <v>0</v>
      </c>
      <c r="J70" s="644">
        <f t="shared" si="32"/>
        <v>0</v>
      </c>
      <c r="K70" s="644">
        <f t="shared" si="32"/>
        <v>0</v>
      </c>
      <c r="L70" s="644">
        <f t="shared" si="32"/>
        <v>0</v>
      </c>
      <c r="M70" s="644">
        <f t="shared" si="32"/>
        <v>0</v>
      </c>
      <c r="N70" s="644">
        <f t="shared" si="32"/>
        <v>0</v>
      </c>
      <c r="O70" s="644">
        <f t="shared" si="32"/>
        <v>0</v>
      </c>
    </row>
    <row r="71" spans="2:16" ht="9" customHeight="1">
      <c r="B71" s="633"/>
      <c r="C71" s="645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</row>
    <row r="72" spans="2:16" ht="9" customHeight="1">
      <c r="B72" s="643" t="s">
        <v>233</v>
      </c>
      <c r="C72" s="645"/>
      <c r="D72" s="649">
        <f>(hoteladr*(1-$K61))+((hoteladr*(1+premiumprices)*$K61))</f>
        <v>165</v>
      </c>
      <c r="E72" s="650">
        <f t="shared" ref="E72:O72" si="33">(E70*(($D72)*((1+Inflation)^(E$2-1))))*365</f>
        <v>0</v>
      </c>
      <c r="F72" s="650">
        <f t="shared" si="33"/>
        <v>0</v>
      </c>
      <c r="G72" s="650">
        <f t="shared" si="33"/>
        <v>0</v>
      </c>
      <c r="H72" s="650">
        <f t="shared" si="33"/>
        <v>0</v>
      </c>
      <c r="I72" s="650">
        <f t="shared" si="33"/>
        <v>0</v>
      </c>
      <c r="J72" s="650">
        <f t="shared" si="33"/>
        <v>0</v>
      </c>
      <c r="K72" s="650">
        <f t="shared" si="33"/>
        <v>0</v>
      </c>
      <c r="L72" s="650">
        <f t="shared" si="33"/>
        <v>0</v>
      </c>
      <c r="M72" s="650">
        <f t="shared" si="33"/>
        <v>0</v>
      </c>
      <c r="N72" s="650">
        <f t="shared" si="33"/>
        <v>0</v>
      </c>
      <c r="O72" s="650">
        <f t="shared" si="33"/>
        <v>0</v>
      </c>
    </row>
    <row r="73" spans="2:16" ht="9" customHeight="1">
      <c r="B73" s="643" t="s">
        <v>123</v>
      </c>
      <c r="C73" s="645"/>
      <c r="D73" s="646">
        <f>INDEX(cockpit!$J$6:$Y$16,MATCH($D62,cockpit!$J$6:$J$16,0),MATCH($B73,cockpit!$J$6:$Y$6,0))</f>
        <v>0.35</v>
      </c>
      <c r="E73" s="650">
        <f t="shared" ref="E73:O73" si="34">-IF($D73&gt;1,E65*($D73*((1+Inflation)^(E$2-1))),E72*(1-$D73))</f>
        <v>0</v>
      </c>
      <c r="F73" s="650">
        <f t="shared" si="34"/>
        <v>0</v>
      </c>
      <c r="G73" s="650">
        <f t="shared" si="34"/>
        <v>0</v>
      </c>
      <c r="H73" s="650">
        <f t="shared" si="34"/>
        <v>0</v>
      </c>
      <c r="I73" s="650">
        <f t="shared" si="34"/>
        <v>0</v>
      </c>
      <c r="J73" s="650">
        <f t="shared" si="34"/>
        <v>0</v>
      </c>
      <c r="K73" s="650">
        <f t="shared" si="34"/>
        <v>0</v>
      </c>
      <c r="L73" s="650">
        <f t="shared" si="34"/>
        <v>0</v>
      </c>
      <c r="M73" s="650">
        <f t="shared" si="34"/>
        <v>0</v>
      </c>
      <c r="N73" s="650">
        <f t="shared" si="34"/>
        <v>0</v>
      </c>
      <c r="O73" s="650">
        <f t="shared" si="34"/>
        <v>0</v>
      </c>
    </row>
    <row r="74" spans="2:16" ht="9" customHeight="1">
      <c r="B74" s="643" t="s">
        <v>231</v>
      </c>
      <c r="C74" s="645"/>
      <c r="D74" s="646">
        <f>hotelfoodandbeverageincome</f>
        <v>0.1</v>
      </c>
      <c r="E74" s="650">
        <f t="shared" ref="E74:O74" si="35">E72*$D74*hotelfoodandbeveragemargin</f>
        <v>0</v>
      </c>
      <c r="F74" s="650">
        <f t="shared" si="35"/>
        <v>0</v>
      </c>
      <c r="G74" s="650">
        <f t="shared" si="35"/>
        <v>0</v>
      </c>
      <c r="H74" s="650">
        <f t="shared" si="35"/>
        <v>0</v>
      </c>
      <c r="I74" s="650">
        <f t="shared" si="35"/>
        <v>0</v>
      </c>
      <c r="J74" s="650">
        <f t="shared" si="35"/>
        <v>0</v>
      </c>
      <c r="K74" s="650">
        <f t="shared" si="35"/>
        <v>0</v>
      </c>
      <c r="L74" s="650">
        <f t="shared" si="35"/>
        <v>0</v>
      </c>
      <c r="M74" s="650">
        <f t="shared" si="35"/>
        <v>0</v>
      </c>
      <c r="N74" s="650">
        <f t="shared" si="35"/>
        <v>0</v>
      </c>
      <c r="O74" s="650">
        <f t="shared" si="35"/>
        <v>0</v>
      </c>
    </row>
    <row r="75" spans="2:16" ht="9" customHeight="1">
      <c r="B75" s="643" t="s">
        <v>232</v>
      </c>
      <c r="C75" s="645"/>
      <c r="D75" s="646">
        <f>hotelotherincome</f>
        <v>0.05</v>
      </c>
      <c r="E75" s="654">
        <f t="shared" ref="E75:O75" si="36">E72*$D75*hotelotherincomemargin</f>
        <v>0</v>
      </c>
      <c r="F75" s="654">
        <f t="shared" si="36"/>
        <v>0</v>
      </c>
      <c r="G75" s="654">
        <f t="shared" si="36"/>
        <v>0</v>
      </c>
      <c r="H75" s="654">
        <f t="shared" si="36"/>
        <v>0</v>
      </c>
      <c r="I75" s="654">
        <f t="shared" si="36"/>
        <v>0</v>
      </c>
      <c r="J75" s="654">
        <f t="shared" si="36"/>
        <v>0</v>
      </c>
      <c r="K75" s="654">
        <f t="shared" si="36"/>
        <v>0</v>
      </c>
      <c r="L75" s="654">
        <f t="shared" si="36"/>
        <v>0</v>
      </c>
      <c r="M75" s="654">
        <f t="shared" si="36"/>
        <v>0</v>
      </c>
      <c r="N75" s="654">
        <f t="shared" si="36"/>
        <v>0</v>
      </c>
      <c r="O75" s="654">
        <f t="shared" si="36"/>
        <v>0</v>
      </c>
    </row>
    <row r="76" spans="2:16" ht="9" customHeight="1">
      <c r="B76" s="655" t="s">
        <v>167</v>
      </c>
      <c r="C76" s="645"/>
      <c r="D76" s="633"/>
      <c r="E76" s="650">
        <f t="shared" ref="E76:O76" si="37">SUM(E72:E75)</f>
        <v>0</v>
      </c>
      <c r="F76" s="650">
        <f t="shared" si="37"/>
        <v>0</v>
      </c>
      <c r="G76" s="650">
        <f t="shared" si="37"/>
        <v>0</v>
      </c>
      <c r="H76" s="650">
        <f t="shared" si="37"/>
        <v>0</v>
      </c>
      <c r="I76" s="650">
        <f t="shared" si="37"/>
        <v>0</v>
      </c>
      <c r="J76" s="650">
        <f t="shared" si="37"/>
        <v>0</v>
      </c>
      <c r="K76" s="650">
        <f t="shared" si="37"/>
        <v>0</v>
      </c>
      <c r="L76" s="650">
        <f t="shared" si="37"/>
        <v>0</v>
      </c>
      <c r="M76" s="650">
        <f t="shared" si="37"/>
        <v>0</v>
      </c>
      <c r="N76" s="650">
        <f t="shared" si="37"/>
        <v>0</v>
      </c>
      <c r="O76" s="650">
        <f t="shared" si="37"/>
        <v>0</v>
      </c>
    </row>
    <row r="77" spans="2:16" ht="9" customHeight="1">
      <c r="B77" s="633"/>
      <c r="C77" s="645"/>
      <c r="D77" s="633"/>
      <c r="E77" s="656">
        <f t="shared" ref="E77:O77" si="38">IFERROR(E76/SUM(E72:E72),0)</f>
        <v>0</v>
      </c>
      <c r="F77" s="656">
        <f t="shared" si="38"/>
        <v>0</v>
      </c>
      <c r="G77" s="656">
        <f t="shared" si="38"/>
        <v>0</v>
      </c>
      <c r="H77" s="656">
        <f t="shared" si="38"/>
        <v>0</v>
      </c>
      <c r="I77" s="656">
        <f t="shared" si="38"/>
        <v>0</v>
      </c>
      <c r="J77" s="656">
        <f t="shared" si="38"/>
        <v>0</v>
      </c>
      <c r="K77" s="656">
        <f t="shared" si="38"/>
        <v>0</v>
      </c>
      <c r="L77" s="656">
        <f t="shared" si="38"/>
        <v>0</v>
      </c>
      <c r="M77" s="656">
        <f t="shared" si="38"/>
        <v>0</v>
      </c>
      <c r="N77" s="656">
        <f t="shared" si="38"/>
        <v>0</v>
      </c>
      <c r="O77" s="656">
        <f t="shared" si="38"/>
        <v>0</v>
      </c>
    </row>
    <row r="78" spans="2:16" ht="9" customHeight="1">
      <c r="B78" s="643" t="s">
        <v>168</v>
      </c>
      <c r="C78" s="645"/>
      <c r="D78" s="658">
        <f>INDEX(cockpit!$J$6:$Y$16,MATCH($D62,cockpit!$J$6:$J$16,0),MATCH($B78,cockpit!$J$6:$Y$6,0))</f>
        <v>0.05</v>
      </c>
      <c r="E78" s="650">
        <f t="shared" ref="E78:O78" si="39">-E66*$D78</f>
        <v>0</v>
      </c>
      <c r="F78" s="650">
        <f t="shared" si="39"/>
        <v>0</v>
      </c>
      <c r="G78" s="650">
        <f t="shared" si="39"/>
        <v>0</v>
      </c>
      <c r="H78" s="650">
        <f t="shared" si="39"/>
        <v>0</v>
      </c>
      <c r="I78" s="650">
        <f t="shared" si="39"/>
        <v>0</v>
      </c>
      <c r="J78" s="650">
        <f t="shared" si="39"/>
        <v>0</v>
      </c>
      <c r="K78" s="650">
        <f t="shared" si="39"/>
        <v>0</v>
      </c>
      <c r="L78" s="650">
        <f t="shared" si="39"/>
        <v>0</v>
      </c>
      <c r="M78" s="650">
        <f t="shared" si="39"/>
        <v>0</v>
      </c>
      <c r="N78" s="650">
        <f t="shared" si="39"/>
        <v>0</v>
      </c>
      <c r="O78" s="650">
        <f t="shared" si="39"/>
        <v>0</v>
      </c>
    </row>
    <row r="79" spans="2:16" ht="9" customHeight="1">
      <c r="B79" s="643" t="s">
        <v>162</v>
      </c>
      <c r="C79" s="645"/>
      <c r="D79" s="658">
        <f>INDEX(cockpit!$J$6:$Y$16,MATCH($D62,cockpit!$J$6:$J$16,0),MATCH($B79,cockpit!$J$6:$Y$6,0))</f>
        <v>0</v>
      </c>
      <c r="E79" s="654">
        <f t="shared" ref="E79:O79" si="40">-E69*$D79</f>
        <v>0</v>
      </c>
      <c r="F79" s="654">
        <f t="shared" si="40"/>
        <v>0</v>
      </c>
      <c r="G79" s="654">
        <f t="shared" si="40"/>
        <v>0</v>
      </c>
      <c r="H79" s="654">
        <f t="shared" si="40"/>
        <v>0</v>
      </c>
      <c r="I79" s="654">
        <f t="shared" si="40"/>
        <v>0</v>
      </c>
      <c r="J79" s="654">
        <f t="shared" si="40"/>
        <v>0</v>
      </c>
      <c r="K79" s="654">
        <f t="shared" si="40"/>
        <v>0</v>
      </c>
      <c r="L79" s="654">
        <f t="shared" si="40"/>
        <v>0</v>
      </c>
      <c r="M79" s="654">
        <f t="shared" si="40"/>
        <v>0</v>
      </c>
      <c r="N79" s="654">
        <f t="shared" si="40"/>
        <v>0</v>
      </c>
      <c r="O79" s="654">
        <f t="shared" si="40"/>
        <v>0</v>
      </c>
    </row>
    <row r="80" spans="2:16" ht="9" customHeight="1">
      <c r="B80" s="655" t="s">
        <v>195</v>
      </c>
      <c r="C80" s="645"/>
      <c r="D80" s="658"/>
      <c r="E80" s="650">
        <f>SUM(E78:E79)</f>
        <v>0</v>
      </c>
      <c r="F80" s="650">
        <f t="shared" ref="F80:O80" si="41">SUM(F78:F79)</f>
        <v>0</v>
      </c>
      <c r="G80" s="650">
        <f t="shared" si="41"/>
        <v>0</v>
      </c>
      <c r="H80" s="650">
        <f t="shared" si="41"/>
        <v>0</v>
      </c>
      <c r="I80" s="650">
        <f t="shared" si="41"/>
        <v>0</v>
      </c>
      <c r="J80" s="650">
        <f t="shared" si="41"/>
        <v>0</v>
      </c>
      <c r="K80" s="650">
        <f t="shared" si="41"/>
        <v>0</v>
      </c>
      <c r="L80" s="650">
        <f t="shared" si="41"/>
        <v>0</v>
      </c>
      <c r="M80" s="650">
        <f t="shared" si="41"/>
        <v>0</v>
      </c>
      <c r="N80" s="650">
        <f t="shared" si="41"/>
        <v>0</v>
      </c>
      <c r="O80" s="650">
        <f t="shared" si="41"/>
        <v>0</v>
      </c>
    </row>
    <row r="81" spans="2:15" ht="9" customHeight="1">
      <c r="B81" s="643"/>
      <c r="C81" s="645"/>
      <c r="D81" s="633"/>
      <c r="E81" s="633"/>
      <c r="F81" s="633"/>
      <c r="G81" s="633"/>
      <c r="H81" s="633"/>
      <c r="I81" s="633"/>
      <c r="J81" s="633"/>
      <c r="K81" s="633"/>
      <c r="L81" s="633"/>
      <c r="M81" s="633"/>
      <c r="N81" s="633"/>
      <c r="O81" s="633"/>
    </row>
    <row r="82" spans="2:15" ht="9" customHeight="1">
      <c r="B82" s="643" t="s">
        <v>170</v>
      </c>
      <c r="C82" s="645"/>
      <c r="D82" s="649">
        <f>(hotelconstructioncostPSF*(1-$K61))+((hotelconstructioncostPSF*(1+premiumprices)*$K61))</f>
        <v>225</v>
      </c>
      <c r="E82" s="650">
        <f>-IF(OR(E$2=$H61,E$2=$H62,AND(E$2&gt;$H61,E$2&lt;$H62)),(INDEX(summary!$A$2:$D$24,MATCH($D62,summary!$A$2:$A$24,0),MATCH($D61,summary!$A$2:$D$2,0)))/constructiontimephase3)*($D82*((1+Inflation)^(E$2-1)))*(1+Developerfee)</f>
        <v>0</v>
      </c>
      <c r="F82" s="650">
        <f>-IF(OR(F$2=$H61,F$2=$H62,AND(F$2&gt;$H61,F$2&lt;$H62)),(INDEX(summary!$A$2:$D$24,MATCH($D62,summary!$A$2:$A$24,0),MATCH($D61,summary!$A$2:$D$2,0)))/constructiontimephase3)*($D82*((1+Inflation)^(F$2-1)))*(1+Developerfee)</f>
        <v>0</v>
      </c>
      <c r="G82" s="650">
        <f>-IF(OR(G$2=$H61,G$2=$H62,AND(G$2&gt;$H61,G$2&lt;$H62)),(INDEX(summary!$A$2:$D$24,MATCH($D62,summary!$A$2:$A$24,0),MATCH($D61,summary!$A$2:$D$2,0)))/constructiontimephase3)*($D82*((1+Inflation)^(G$2-1)))*(1+Developerfee)</f>
        <v>0</v>
      </c>
      <c r="H82" s="650">
        <f>-IF(OR(H$2=$H61,H$2=$H62,AND(H$2&gt;$H61,H$2&lt;$H62)),(INDEX(summary!$A$2:$D$24,MATCH($D62,summary!$A$2:$A$24,0),MATCH($D61,summary!$A$2:$D$2,0)))/constructiontimephase3)*($D82*((1+Inflation)^(H$2-1)))*(1+Developerfee)</f>
        <v>0</v>
      </c>
      <c r="I82" s="650">
        <f>-IF(OR(I$2=$H61,I$2=$H62,AND(I$2&gt;$H61,I$2&lt;$H62)),(INDEX(summary!$A$2:$D$24,MATCH($D62,summary!$A$2:$A$24,0),MATCH($D61,summary!$A$2:$D$2,0)))/constructiontimephase3)*($D82*((1+Inflation)^(I$2-1)))*(1+Developerfee)</f>
        <v>0</v>
      </c>
      <c r="J82" s="650">
        <f>-IF(OR(J$2=$H61,J$2=$H62,AND(J$2&gt;$H61,J$2&lt;$H62)),(INDEX(summary!$A$2:$D$24,MATCH($D62,summary!$A$2:$A$24,0),MATCH($D61,summary!$A$2:$D$2,0)))/constructiontimephase3)*($D82*((1+Inflation)^(J$2-1)))*(1+Developerfee)</f>
        <v>0</v>
      </c>
      <c r="K82" s="650">
        <f>-IF(OR(K$2=$H61,K$2=$H62,AND(K$2&gt;$H61,K$2&lt;$H62)),(INDEX(summary!$A$2:$D$24,MATCH($D62,summary!$A$2:$A$24,0),MATCH($D61,summary!$A$2:$D$2,0)))/constructiontimephase3)*($D82*((1+Inflation)^(K$2-1)))*(1+Developerfee)</f>
        <v>0</v>
      </c>
      <c r="L82" s="650">
        <f>-IF(OR(L$2=$H61,L$2=$H62,AND(L$2&gt;$H61,L$2&lt;$H62)),(INDEX(summary!$A$2:$D$24,MATCH($D62,summary!$A$2:$A$24,0),MATCH($D61,summary!$A$2:$D$2,0)))/constructiontimephase3)*($D82*((1+Inflation)^(L$2-1)))*(1+Developerfee)</f>
        <v>0</v>
      </c>
      <c r="M82" s="650">
        <f>-IF(OR(M$2=$H61,M$2=$H62,AND(M$2&gt;$H61,M$2&lt;$H62)),(INDEX(summary!$A$2:$D$24,MATCH($D62,summary!$A$2:$A$24,0),MATCH($D61,summary!$A$2:$D$2,0)))/constructiontimephase3)*($D82*((1+Inflation)^(M$2-1)))*(1+Developerfee)</f>
        <v>0</v>
      </c>
      <c r="N82" s="650">
        <f>-IF(OR(N$2=$H61,N$2=$H62,AND(N$2&gt;$H61,N$2&lt;$H62)),(INDEX(summary!$A$2:$D$24,MATCH($D62,summary!$A$2:$A$24,0),MATCH($D61,summary!$A$2:$D$2,0)))/constructiontimephase3)*($D82*((1+Inflation)^(N$2-1)))*(1+Developerfee)</f>
        <v>0</v>
      </c>
      <c r="O82" s="650">
        <f>-IF(OR(O$2=$H61,O$2=$H62,AND(O$2&gt;$H61,O$2&lt;$H62)),(INDEX(summary!$A$2:$D$24,MATCH($D62,summary!$A$2:$A$24,0),MATCH($D61,summary!$A$2:$D$2,0)))/constructiontimephase3)*($D82*((1+Inflation)^(O$2-1)))*(1+Developerfee)</f>
        <v>0</v>
      </c>
    </row>
    <row r="83" spans="2:15" ht="9" customHeight="1">
      <c r="B83" s="643" t="s">
        <v>197</v>
      </c>
      <c r="C83" s="645" t="s">
        <v>189</v>
      </c>
      <c r="D83" s="647">
        <f>(INDEX(cockpit!$J$6:$Y$16,MATCH($D62,cockpit!$J$6:$J$16,0),MATCH($C83,cockpit!$J$6:$Y$6,0))*(1-$K61))+((INDEX(cockpit!$J$6:$Y$16,MATCH($D62,cockpit!$J$6:$J$16,0),MATCH($C83,cockpit!$J$6:$Y$6,0))-(Premiumexitcaprate))*$K61)</f>
        <v>0.08</v>
      </c>
      <c r="E83" s="654">
        <f t="shared" ref="E83:O83" si="42">IF(E$2=dispositionyear,E76/$D83,0)*(1-Closingcosts)</f>
        <v>0</v>
      </c>
      <c r="F83" s="654">
        <f t="shared" si="42"/>
        <v>0</v>
      </c>
      <c r="G83" s="654">
        <f t="shared" si="42"/>
        <v>0</v>
      </c>
      <c r="H83" s="654">
        <f t="shared" si="42"/>
        <v>0</v>
      </c>
      <c r="I83" s="654">
        <f t="shared" si="42"/>
        <v>0</v>
      </c>
      <c r="J83" s="654">
        <f t="shared" si="42"/>
        <v>0</v>
      </c>
      <c r="K83" s="654">
        <f t="shared" si="42"/>
        <v>0</v>
      </c>
      <c r="L83" s="654">
        <f t="shared" si="42"/>
        <v>0</v>
      </c>
      <c r="M83" s="654">
        <f t="shared" si="42"/>
        <v>0</v>
      </c>
      <c r="N83" s="654">
        <f t="shared" si="42"/>
        <v>0</v>
      </c>
      <c r="O83" s="654">
        <f t="shared" si="42"/>
        <v>0</v>
      </c>
    </row>
    <row r="84" spans="2:15" ht="9" customHeight="1">
      <c r="B84" s="655" t="s">
        <v>196</v>
      </c>
      <c r="C84" s="645"/>
      <c r="D84" s="646"/>
      <c r="E84" s="650">
        <f>SUM(E82:E83)</f>
        <v>0</v>
      </c>
      <c r="F84" s="650">
        <f t="shared" ref="F84:O84" si="43">SUM(F82:F83)</f>
        <v>0</v>
      </c>
      <c r="G84" s="650">
        <f t="shared" si="43"/>
        <v>0</v>
      </c>
      <c r="H84" s="650">
        <f t="shared" si="43"/>
        <v>0</v>
      </c>
      <c r="I84" s="650">
        <f t="shared" si="43"/>
        <v>0</v>
      </c>
      <c r="J84" s="650">
        <f t="shared" si="43"/>
        <v>0</v>
      </c>
      <c r="K84" s="650">
        <f t="shared" si="43"/>
        <v>0</v>
      </c>
      <c r="L84" s="650">
        <f t="shared" si="43"/>
        <v>0</v>
      </c>
      <c r="M84" s="650">
        <f t="shared" si="43"/>
        <v>0</v>
      </c>
      <c r="N84" s="650">
        <f t="shared" si="43"/>
        <v>0</v>
      </c>
      <c r="O84" s="650">
        <f t="shared" si="43"/>
        <v>0</v>
      </c>
    </row>
    <row r="85" spans="2:15" ht="9" customHeight="1">
      <c r="B85" s="643"/>
      <c r="C85" s="645"/>
      <c r="D85" s="646"/>
      <c r="E85" s="650"/>
      <c r="F85" s="650"/>
      <c r="G85" s="650"/>
      <c r="H85" s="650"/>
      <c r="I85" s="650"/>
      <c r="J85" s="650"/>
      <c r="K85" s="650"/>
      <c r="L85" s="650"/>
      <c r="M85" s="650"/>
      <c r="N85" s="650"/>
      <c r="O85" s="650"/>
    </row>
    <row r="86" spans="2:15" ht="9" customHeight="1">
      <c r="B86" s="655" t="s">
        <v>169</v>
      </c>
      <c r="C86" s="655"/>
      <c r="D86" s="659" t="e">
        <f ca="1">IRR(OFFSET(E86,0,0,1,Investmenthorizon+1))</f>
        <v>#NUM!</v>
      </c>
      <c r="E86" s="660">
        <f>SUM(E76,E80,E84)</f>
        <v>0</v>
      </c>
      <c r="F86" s="660">
        <f t="shared" ref="F86:O86" si="44">SUM(F76,F80,F84)</f>
        <v>0</v>
      </c>
      <c r="G86" s="660">
        <f t="shared" si="44"/>
        <v>0</v>
      </c>
      <c r="H86" s="660">
        <f t="shared" si="44"/>
        <v>0</v>
      </c>
      <c r="I86" s="660">
        <f t="shared" si="44"/>
        <v>0</v>
      </c>
      <c r="J86" s="660">
        <f t="shared" si="44"/>
        <v>0</v>
      </c>
      <c r="K86" s="660">
        <f t="shared" si="44"/>
        <v>0</v>
      </c>
      <c r="L86" s="660">
        <f t="shared" si="44"/>
        <v>0</v>
      </c>
      <c r="M86" s="660">
        <f t="shared" si="44"/>
        <v>0</v>
      </c>
      <c r="N86" s="660">
        <f t="shared" si="44"/>
        <v>0</v>
      </c>
      <c r="O86" s="660">
        <f t="shared" si="44"/>
        <v>0</v>
      </c>
    </row>
    <row r="87" spans="2:15" ht="9" customHeight="1">
      <c r="B87" s="655"/>
      <c r="C87" s="655"/>
      <c r="D87" s="661"/>
      <c r="E87" s="633"/>
      <c r="F87" s="633"/>
      <c r="G87" s="633"/>
      <c r="H87" s="662"/>
      <c r="I87" s="633"/>
      <c r="J87" s="633"/>
      <c r="K87" s="633"/>
      <c r="L87" s="633"/>
      <c r="M87" s="633"/>
      <c r="N87" s="633"/>
      <c r="O87" s="633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A2EB2-CD55-4F48-B40F-B44759B0E114}">
  <sheetPr>
    <tabColor theme="9" tint="0.59999389629810485"/>
  </sheetPr>
  <dimension ref="B2:Q87"/>
  <sheetViews>
    <sheetView showGridLines="0" topLeftCell="A59" zoomScale="80" zoomScaleNormal="80" workbookViewId="0">
      <selection activeCell="D41" sqref="D41"/>
    </sheetView>
  </sheetViews>
  <sheetFormatPr defaultRowHeight="9" customHeight="1"/>
  <cols>
    <col min="2" max="2" width="24.1796875" bestFit="1" customWidth="1"/>
    <col min="3" max="3" width="1.1796875" style="857" customWidth="1"/>
    <col min="5" max="5" width="9" bestFit="1" customWidth="1"/>
    <col min="6" max="7" width="11.453125" bestFit="1" customWidth="1"/>
    <col min="8" max="8" width="10.36328125" bestFit="1" customWidth="1"/>
    <col min="9" max="9" width="10.26953125" customWidth="1"/>
    <col min="10" max="14" width="11.08984375" bestFit="1" customWidth="1"/>
    <col min="15" max="15" width="11.7265625" bestFit="1" customWidth="1"/>
    <col min="16" max="16" width="14.90625" bestFit="1" customWidth="1"/>
    <col min="17" max="17" width="13.90625" bestFit="1" customWidth="1"/>
  </cols>
  <sheetData>
    <row r="2" spans="2:17" ht="9" customHeight="1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7" ht="9" customHeight="1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7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7" ht="9" customHeight="1">
      <c r="B5" s="126" t="s">
        <v>89</v>
      </c>
      <c r="C5" s="851"/>
      <c r="D5" s="133">
        <f>Phase1</f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f>summary!AF20</f>
        <v>0</v>
      </c>
      <c r="L5" s="106"/>
      <c r="M5" s="106"/>
      <c r="N5" s="106"/>
      <c r="O5" s="106"/>
    </row>
    <row r="6" spans="2:17" ht="9" customHeight="1">
      <c r="B6" s="126" t="s">
        <v>93</v>
      </c>
      <c r="C6" s="851"/>
      <c r="D6" s="130" t="s">
        <v>221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7" ht="9" customHeight="1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7" ht="9" customHeight="1">
      <c r="B8" s="106"/>
      <c r="C8" s="853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7" ht="9" customHeight="1">
      <c r="B9" s="108" t="s">
        <v>182</v>
      </c>
      <c r="C9" s="854"/>
      <c r="D9" s="106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129012.52439999999</v>
      </c>
      <c r="J9" s="109">
        <f>IF(OR(J$2=$H7,J$2&gt;$H7),INDEX(summary!$A$2:$D$24,MATCH($D6,summary!$A$2:$A$24,0),MATCH($D5,summary!$A$2:$D$2,0)),0)</f>
        <v>129012.52439999999</v>
      </c>
      <c r="K9" s="109">
        <f>IF(OR(K$2=$H7,K$2&gt;$H7),INDEX(summary!$A$2:$D$24,MATCH($D6,summary!$A$2:$A$24,0),MATCH($D5,summary!$A$2:$D$2,0)),0)</f>
        <v>129012.52439999999</v>
      </c>
      <c r="L9" s="109">
        <f>IF(OR(L$2=$H7,L$2&gt;$H7),INDEX(summary!$A$2:$D$24,MATCH($D6,summary!$A$2:$A$24,0),MATCH($D5,summary!$A$2:$D$2,0)),0)</f>
        <v>129012.52439999999</v>
      </c>
      <c r="M9" s="109">
        <f>IF(OR(M$2=$H7,M$2&gt;$H7),INDEX(summary!$A$2:$D$24,MATCH($D6,summary!$A$2:$A$24,0),MATCH($D5,summary!$A$2:$D$2,0)),0)</f>
        <v>129012.52439999999</v>
      </c>
      <c r="N9" s="109">
        <f>IF(OR(N$2=$H7,N$2&gt;$H7),INDEX(summary!$A$2:$D$24,MATCH($D6,summary!$A$2:$A$24,0),MATCH($D5,summary!$A$2:$D$2,0)),0)</f>
        <v>129012.52439999999</v>
      </c>
      <c r="O9" s="109">
        <f>IF(OR(O$2=$H7,O$2&gt;$H7),INDEX(summary!$A$2:$D$24,MATCH($D6,summary!$A$2:$A$24,0),MATCH($D5,summary!$A$2:$D$2,0)),0)</f>
        <v>129012.52439999999</v>
      </c>
    </row>
    <row r="10" spans="2:17" ht="9" customHeight="1">
      <c r="B10" s="108" t="s">
        <v>194</v>
      </c>
      <c r="C10" s="855" t="s">
        <v>191</v>
      </c>
      <c r="D10" s="110">
        <f>INDEX(cockpit!$J$6:$Y$16,MATCH($D6,cockpit!$J$6:$J$16,0),MATCH($C$10,cockpit!$J$6:$Y$6,0))</f>
        <v>0.25</v>
      </c>
      <c r="E10" s="109">
        <f>E9*(1-$D10)</f>
        <v>0</v>
      </c>
      <c r="F10" s="109">
        <f t="shared" ref="F10:O10" si="0">F9*(1-$D10)</f>
        <v>0</v>
      </c>
      <c r="G10" s="109">
        <f t="shared" si="0"/>
        <v>0</v>
      </c>
      <c r="H10" s="109">
        <f t="shared" si="0"/>
        <v>0</v>
      </c>
      <c r="I10" s="109">
        <f t="shared" si="0"/>
        <v>96759.393299999996</v>
      </c>
      <c r="J10" s="109">
        <f t="shared" si="0"/>
        <v>96759.393299999996</v>
      </c>
      <c r="K10" s="109">
        <f t="shared" si="0"/>
        <v>96759.393299999996</v>
      </c>
      <c r="L10" s="109">
        <f t="shared" si="0"/>
        <v>96759.393299999996</v>
      </c>
      <c r="M10" s="109">
        <f t="shared" si="0"/>
        <v>96759.393299999996</v>
      </c>
      <c r="N10" s="109">
        <f t="shared" si="0"/>
        <v>96759.393299999996</v>
      </c>
      <c r="O10" s="109">
        <f t="shared" si="0"/>
        <v>96759.393299999996</v>
      </c>
      <c r="P10" s="109"/>
    </row>
    <row r="11" spans="2:17" ht="9" customHeight="1">
      <c r="B11" s="108" t="s">
        <v>684</v>
      </c>
      <c r="C11" s="855"/>
      <c r="D11" s="110"/>
      <c r="E11" s="109">
        <f t="shared" ref="E11:O11" si="1">E10/Hotelaverageroomsize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297.72121015384613</v>
      </c>
      <c r="J11" s="109">
        <f t="shared" si="1"/>
        <v>297.72121015384613</v>
      </c>
      <c r="K11" s="109">
        <f t="shared" si="1"/>
        <v>297.72121015384613</v>
      </c>
      <c r="L11" s="109">
        <f t="shared" si="1"/>
        <v>297.72121015384613</v>
      </c>
      <c r="M11" s="109">
        <f t="shared" si="1"/>
        <v>297.72121015384613</v>
      </c>
      <c r="N11" s="109">
        <f t="shared" si="1"/>
        <v>297.72121015384613</v>
      </c>
      <c r="O11" s="109">
        <f t="shared" si="1"/>
        <v>297.72121015384613</v>
      </c>
      <c r="P11" s="109"/>
    </row>
    <row r="12" spans="2:17" ht="9" customHeight="1">
      <c r="B12" s="108" t="s">
        <v>180</v>
      </c>
      <c r="C12" s="855" t="s">
        <v>152</v>
      </c>
      <c r="D12" s="122">
        <f>Hotelrampup</f>
        <v>0.65</v>
      </c>
      <c r="E12" s="109">
        <f>IF(OR(E$2=$H7,AND(E$2&gt;$H7,E$2&lt;(SUM($H7,INDEX(cockpit!$J$6:$Y$16,MATCH($D6,cockpit!$J$6:$J$16,0),MATCH($C$12,cockpit!$J$6:$Y$6,0)))))),E10*$D12,0)</f>
        <v>0</v>
      </c>
      <c r="F12" s="109">
        <f>IF(OR(F$2=$H7,AND(F$2&gt;$H7,F$2&lt;(SUM($H7,INDEX(cockpit!$J$6:$Y$16,MATCH($D6,cockpit!$J$6:$J$16,0),MATCH($C$12,cockpit!$J$6:$Y$6,0)))))),F10*$D12,0)</f>
        <v>0</v>
      </c>
      <c r="G12" s="109">
        <f>IF(OR(G$2=$H7,AND(G$2&gt;$H7,G$2&lt;(SUM($H7,INDEX(cockpit!$J$6:$Y$16,MATCH($D6,cockpit!$J$6:$J$16,0),MATCH($C$12,cockpit!$J$6:$Y$6,0)))))),G10*$D12,0)</f>
        <v>0</v>
      </c>
      <c r="H12" s="109">
        <f>IF(OR(H$2=$H7,AND(H$2&gt;$H7,H$2&lt;(SUM($H7,INDEX(cockpit!$J$6:$Y$16,MATCH($D6,cockpit!$J$6:$J$16,0),MATCH($C$12,cockpit!$J$6:$Y$6,0)))))),H10*$D12,0)</f>
        <v>0</v>
      </c>
      <c r="I12" s="109">
        <f>IF(OR(I$2=$H7,AND(I$2&gt;$H7,I$2&lt;(SUM($H7,INDEX(cockpit!$J$6:$Y$16,MATCH($D6,cockpit!$J$6:$J$16,0),MATCH($C$12,cockpit!$J$6:$Y$6,0)))))),I10*$D12,0)</f>
        <v>62893.605644999996</v>
      </c>
      <c r="J12" s="109">
        <f>IF(OR(J$2=$H7,AND(J$2&gt;$H7,J$2&lt;(SUM($H7,INDEX(cockpit!$J$6:$Y$16,MATCH($D6,cockpit!$J$6:$J$16,0),MATCH($C$12,cockpit!$J$6:$Y$6,0)))))),J10*$D12,0)</f>
        <v>0</v>
      </c>
      <c r="K12" s="109">
        <f>IF(OR(K$2=$H7,AND(K$2&gt;$H7,K$2&lt;(SUM($H7,INDEX(cockpit!$J$6:$Y$16,MATCH($D6,cockpit!$J$6:$J$16,0),MATCH($C$12,cockpit!$J$6:$Y$6,0)))))),K10*$D12,0)</f>
        <v>0</v>
      </c>
      <c r="L12" s="109">
        <f>IF(OR(L$2=$H7,AND(L$2&gt;$H7,L$2&lt;(SUM($H7,INDEX(cockpit!$J$6:$Y$16,MATCH($D6,cockpit!$J$6:$J$16,0),MATCH($C$12,cockpit!$J$6:$Y$6,0)))))),L10*$D12,0)</f>
        <v>0</v>
      </c>
      <c r="M12" s="109">
        <f>IF(OR(M$2=$H7,AND(M$2&gt;$H7,M$2&lt;(SUM($H7,INDEX(cockpit!$J$6:$Y$16,MATCH($D6,cockpit!$J$6:$J$16,0),MATCH($C$12,cockpit!$J$6:$Y$6,0)))))),M10*$D12,0)</f>
        <v>0</v>
      </c>
      <c r="N12" s="109">
        <f>IF(OR(N$2=$H7,AND(N$2&gt;$H7,N$2&lt;(SUM($H7,INDEX(cockpit!$J$6:$Y$16,MATCH($D6,cockpit!$J$6:$J$16,0),MATCH($C$12,cockpit!$J$6:$Y$6,0)))))),N10*$D12,0)</f>
        <v>0</v>
      </c>
      <c r="O12" s="109">
        <f>IF(OR(O$2=$H7,AND(O$2&gt;$H7,O$2&lt;(SUM($H7,INDEX(cockpit!$J$6:$Y$16,MATCH($D6,cockpit!$J$6:$J$16,0),MATCH($C$12,cockpit!$J$6:$Y$6,0)))))),O10*$D12,0)</f>
        <v>0</v>
      </c>
    </row>
    <row r="13" spans="2:17" ht="9" customHeight="1">
      <c r="B13" s="108" t="s">
        <v>181</v>
      </c>
      <c r="C13" s="855"/>
      <c r="D13" s="106"/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62893.605644999996</v>
      </c>
      <c r="J13" s="109">
        <f>SUM($E12:J12)</f>
        <v>62893.605644999996</v>
      </c>
      <c r="K13" s="109">
        <f>SUM($E12:K12)</f>
        <v>62893.605644999996</v>
      </c>
      <c r="L13" s="109">
        <f>SUM($E12:L12)</f>
        <v>62893.605644999996</v>
      </c>
      <c r="M13" s="109">
        <f>SUM($E12:M12)</f>
        <v>62893.605644999996</v>
      </c>
      <c r="N13" s="109">
        <f>SUM($E12:N12)</f>
        <v>62893.605644999996</v>
      </c>
      <c r="O13" s="109">
        <f>SUM($E12:O12)</f>
        <v>62893.605644999996</v>
      </c>
    </row>
    <row r="14" spans="2:17" ht="9" customHeight="1">
      <c r="B14" s="108" t="s">
        <v>685</v>
      </c>
      <c r="C14" s="855"/>
      <c r="D14" s="106"/>
      <c r="E14" s="109">
        <f t="shared" ref="E14:O14" si="2">E13/Hotelaverageroomsize</f>
        <v>0</v>
      </c>
      <c r="F14" s="109">
        <f t="shared" si="2"/>
        <v>0</v>
      </c>
      <c r="G14" s="109">
        <f t="shared" si="2"/>
        <v>0</v>
      </c>
      <c r="H14" s="109">
        <f t="shared" si="2"/>
        <v>0</v>
      </c>
      <c r="I14" s="109">
        <f t="shared" si="2"/>
        <v>193.5187866</v>
      </c>
      <c r="J14" s="109">
        <f t="shared" si="2"/>
        <v>193.5187866</v>
      </c>
      <c r="K14" s="109">
        <f t="shared" si="2"/>
        <v>193.5187866</v>
      </c>
      <c r="L14" s="109">
        <f t="shared" si="2"/>
        <v>193.5187866</v>
      </c>
      <c r="M14" s="109">
        <f t="shared" si="2"/>
        <v>193.5187866</v>
      </c>
      <c r="N14" s="109">
        <f t="shared" si="2"/>
        <v>193.5187866</v>
      </c>
      <c r="O14" s="109">
        <f t="shared" si="2"/>
        <v>193.5187866</v>
      </c>
      <c r="P14" s="201"/>
    </row>
    <row r="15" spans="2:17" ht="9" customHeight="1">
      <c r="B15" s="106"/>
      <c r="C15" s="855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201"/>
    </row>
    <row r="16" spans="2:17" ht="9" customHeight="1">
      <c r="B16" s="108" t="s">
        <v>233</v>
      </c>
      <c r="C16" s="855"/>
      <c r="D16" s="111">
        <f>(hoteladr*(1-$K5))+((hoteladr*(1+premiumprices)*$K5))</f>
        <v>165</v>
      </c>
      <c r="E16" s="112">
        <f t="shared" ref="E16:O16" si="3">(E14*(($D16)*((1+Inflation)^(E$2-1))))*365</f>
        <v>0</v>
      </c>
      <c r="F16" s="112">
        <f t="shared" si="3"/>
        <v>0</v>
      </c>
      <c r="G16" s="112">
        <f t="shared" si="3"/>
        <v>0</v>
      </c>
      <c r="H16" s="112">
        <f t="shared" si="3"/>
        <v>0</v>
      </c>
      <c r="I16" s="112">
        <f t="shared" si="3"/>
        <v>12368027.898423065</v>
      </c>
      <c r="J16" s="112">
        <f t="shared" si="3"/>
        <v>12615388.456391528</v>
      </c>
      <c r="K16" s="112">
        <f t="shared" si="3"/>
        <v>12867696.225519357</v>
      </c>
      <c r="L16" s="112">
        <f t="shared" si="3"/>
        <v>13125050.150029747</v>
      </c>
      <c r="M16" s="112">
        <f t="shared" si="3"/>
        <v>13387551.153030338</v>
      </c>
      <c r="N16" s="112">
        <f t="shared" si="3"/>
        <v>13655302.176090946</v>
      </c>
      <c r="O16" s="112">
        <f t="shared" si="3"/>
        <v>13928408.219612766</v>
      </c>
      <c r="P16" s="210"/>
      <c r="Q16" s="211"/>
    </row>
    <row r="17" spans="2:17" ht="9" customHeight="1">
      <c r="B17" s="108" t="s">
        <v>123</v>
      </c>
      <c r="C17" s="855"/>
      <c r="D17" s="110">
        <f>INDEX(cockpit!$J$6:$Y$16,MATCH($D6,cockpit!$J$6:$J$16,0),MATCH($B17,cockpit!$J$6:$Y$6,0))</f>
        <v>0.35</v>
      </c>
      <c r="E17" s="112">
        <f t="shared" ref="E17:O17" si="4">-IF($D17&gt;1,E9*($D17*((1+Inflation)^(E$2-1))),E16*(1-$D17))</f>
        <v>0</v>
      </c>
      <c r="F17" s="112">
        <f t="shared" si="4"/>
        <v>0</v>
      </c>
      <c r="G17" s="112">
        <f t="shared" si="4"/>
        <v>0</v>
      </c>
      <c r="H17" s="112">
        <f t="shared" si="4"/>
        <v>0</v>
      </c>
      <c r="I17" s="112">
        <f t="shared" si="4"/>
        <v>-8039218.1339749917</v>
      </c>
      <c r="J17" s="112">
        <f t="shared" si="4"/>
        <v>-8200002.4966544937</v>
      </c>
      <c r="K17" s="112">
        <f t="shared" si="4"/>
        <v>-8364002.5465875827</v>
      </c>
      <c r="L17" s="112">
        <f t="shared" si="4"/>
        <v>-8531282.5975193363</v>
      </c>
      <c r="M17" s="112">
        <f t="shared" si="4"/>
        <v>-8701908.2494697198</v>
      </c>
      <c r="N17" s="112">
        <f t="shared" si="4"/>
        <v>-8875946.4144591149</v>
      </c>
      <c r="O17" s="112">
        <f t="shared" si="4"/>
        <v>-9053465.3427482974</v>
      </c>
      <c r="P17" s="210"/>
      <c r="Q17" s="212"/>
    </row>
    <row r="18" spans="2:17" ht="9" customHeight="1">
      <c r="B18" s="108" t="s">
        <v>231</v>
      </c>
      <c r="C18" s="855"/>
      <c r="D18" s="110">
        <f>hotelfoodandbeverageincome</f>
        <v>0.1</v>
      </c>
      <c r="E18" s="112">
        <f t="shared" ref="E18:O18" si="5">E16*$D18*hotelfoodandbeveragemargin</f>
        <v>0</v>
      </c>
      <c r="F18" s="112">
        <f t="shared" si="5"/>
        <v>0</v>
      </c>
      <c r="G18" s="112">
        <f t="shared" si="5"/>
        <v>0</v>
      </c>
      <c r="H18" s="112">
        <f t="shared" si="5"/>
        <v>0</v>
      </c>
      <c r="I18" s="112">
        <f t="shared" si="5"/>
        <v>123680.27898423065</v>
      </c>
      <c r="J18" s="112">
        <f t="shared" si="5"/>
        <v>126153.8845639153</v>
      </c>
      <c r="K18" s="112">
        <f t="shared" si="5"/>
        <v>128676.96225519358</v>
      </c>
      <c r="L18" s="112">
        <f t="shared" si="5"/>
        <v>131250.50150029748</v>
      </c>
      <c r="M18" s="112">
        <f t="shared" si="5"/>
        <v>133875.5115303034</v>
      </c>
      <c r="N18" s="112">
        <f t="shared" si="5"/>
        <v>136553.02176090947</v>
      </c>
      <c r="O18" s="112">
        <f t="shared" si="5"/>
        <v>139284.08219612768</v>
      </c>
      <c r="P18" s="210"/>
      <c r="Q18" s="213"/>
    </row>
    <row r="19" spans="2:17" ht="9" customHeight="1">
      <c r="B19" s="108" t="s">
        <v>232</v>
      </c>
      <c r="C19" s="855"/>
      <c r="D19" s="110">
        <f>hotelotherincome</f>
        <v>0.05</v>
      </c>
      <c r="E19" s="113">
        <f t="shared" ref="E19:O19" si="6">E16*$D19*hotelotherincomemargin</f>
        <v>0</v>
      </c>
      <c r="F19" s="113">
        <f t="shared" si="6"/>
        <v>0</v>
      </c>
      <c r="G19" s="113">
        <f t="shared" si="6"/>
        <v>0</v>
      </c>
      <c r="H19" s="113">
        <f t="shared" si="6"/>
        <v>0</v>
      </c>
      <c r="I19" s="113">
        <f t="shared" si="6"/>
        <v>61840.139492115326</v>
      </c>
      <c r="J19" s="113">
        <f t="shared" si="6"/>
        <v>63076.94228195765</v>
      </c>
      <c r="K19" s="113">
        <f t="shared" si="6"/>
        <v>64338.481127596788</v>
      </c>
      <c r="L19" s="113">
        <f t="shared" si="6"/>
        <v>65625.250750148742</v>
      </c>
      <c r="M19" s="113">
        <f t="shared" si="6"/>
        <v>66937.755765151698</v>
      </c>
      <c r="N19" s="113">
        <f t="shared" si="6"/>
        <v>68276.510880454734</v>
      </c>
      <c r="O19" s="113">
        <f t="shared" si="6"/>
        <v>69642.041098063841</v>
      </c>
      <c r="P19" s="210"/>
      <c r="Q19" s="214"/>
    </row>
    <row r="20" spans="2:17" ht="9" customHeight="1">
      <c r="B20" s="114" t="s">
        <v>167</v>
      </c>
      <c r="C20" s="855"/>
      <c r="D20" s="106"/>
      <c r="E20" s="112">
        <f t="shared" ref="E20:O20" si="7">SUM(E16:E19)</f>
        <v>0</v>
      </c>
      <c r="F20" s="112">
        <f t="shared" si="7"/>
        <v>0</v>
      </c>
      <c r="G20" s="112">
        <f t="shared" si="7"/>
        <v>0</v>
      </c>
      <c r="H20" s="112">
        <f t="shared" si="7"/>
        <v>0</v>
      </c>
      <c r="I20" s="112">
        <f t="shared" si="7"/>
        <v>4514330.1829244187</v>
      </c>
      <c r="J20" s="112">
        <f t="shared" si="7"/>
        <v>4604616.7865829077</v>
      </c>
      <c r="K20" s="112">
        <f t="shared" si="7"/>
        <v>4696709.1223145649</v>
      </c>
      <c r="L20" s="112">
        <f t="shared" si="7"/>
        <v>4790643.3047608566</v>
      </c>
      <c r="M20" s="112">
        <f t="shared" si="7"/>
        <v>4886456.1708560735</v>
      </c>
      <c r="N20" s="112">
        <f t="shared" si="7"/>
        <v>4984185.2942731958</v>
      </c>
      <c r="O20" s="112">
        <f t="shared" si="7"/>
        <v>5083869.0001586601</v>
      </c>
      <c r="P20" s="210"/>
      <c r="Q20" s="211"/>
    </row>
    <row r="21" spans="2:17" ht="9" customHeight="1">
      <c r="B21" s="106"/>
      <c r="C21" s="855"/>
      <c r="D21" s="106"/>
      <c r="E21" s="187">
        <f t="shared" ref="E21:O21" si="8">IFERROR(E20/SUM(E16:E16),0)</f>
        <v>0</v>
      </c>
      <c r="F21" s="187">
        <f t="shared" si="8"/>
        <v>0</v>
      </c>
      <c r="G21" s="187">
        <f t="shared" si="8"/>
        <v>0</v>
      </c>
      <c r="H21" s="187">
        <f t="shared" si="8"/>
        <v>0</v>
      </c>
      <c r="I21" s="187">
        <f t="shared" si="8"/>
        <v>0.36499999999999999</v>
      </c>
      <c r="J21" s="187">
        <f t="shared" si="8"/>
        <v>0.36499999999999999</v>
      </c>
      <c r="K21" s="187">
        <f t="shared" si="8"/>
        <v>0.36499999999999994</v>
      </c>
      <c r="L21" s="187">
        <f t="shared" si="8"/>
        <v>0.36499999999999994</v>
      </c>
      <c r="M21" s="187">
        <f t="shared" si="8"/>
        <v>0.36499999999999999</v>
      </c>
      <c r="N21" s="187">
        <f t="shared" si="8"/>
        <v>0.36500000000000005</v>
      </c>
      <c r="O21" s="187">
        <f t="shared" si="8"/>
        <v>0.36500000000000005</v>
      </c>
      <c r="P21" s="215"/>
      <c r="Q21" s="211"/>
    </row>
    <row r="22" spans="2:17" ht="9" customHeight="1">
      <c r="B22" s="108" t="s">
        <v>168</v>
      </c>
      <c r="C22" s="855"/>
      <c r="D22" s="115">
        <f>INDEX(cockpit!$J$6:$Y$16,MATCH($D6,cockpit!$J$6:$J$16,0),MATCH($B22,cockpit!$J$6:$Y$6,0))</f>
        <v>0.05</v>
      </c>
      <c r="E22" s="112">
        <f t="shared" ref="E22:O22" si="9">-E10*$D22</f>
        <v>0</v>
      </c>
      <c r="F22" s="112">
        <f t="shared" si="9"/>
        <v>0</v>
      </c>
      <c r="G22" s="112">
        <f t="shared" si="9"/>
        <v>0</v>
      </c>
      <c r="H22" s="112">
        <f t="shared" si="9"/>
        <v>0</v>
      </c>
      <c r="I22" s="112">
        <f t="shared" si="9"/>
        <v>-4837.9696649999996</v>
      </c>
      <c r="J22" s="112">
        <f t="shared" si="9"/>
        <v>-4837.9696649999996</v>
      </c>
      <c r="K22" s="112">
        <f t="shared" si="9"/>
        <v>-4837.9696649999996</v>
      </c>
      <c r="L22" s="112">
        <f t="shared" si="9"/>
        <v>-4837.9696649999996</v>
      </c>
      <c r="M22" s="112">
        <f t="shared" si="9"/>
        <v>-4837.9696649999996</v>
      </c>
      <c r="N22" s="112">
        <f t="shared" si="9"/>
        <v>-4837.9696649999996</v>
      </c>
      <c r="O22" s="112">
        <f t="shared" si="9"/>
        <v>-4837.9696649999996</v>
      </c>
      <c r="P22" s="211"/>
      <c r="Q22" s="211"/>
    </row>
    <row r="23" spans="2:17" ht="9" customHeight="1">
      <c r="B23" s="108" t="s">
        <v>162</v>
      </c>
      <c r="C23" s="855"/>
      <c r="D23" s="115">
        <f>INDEX(cockpit!$J$6:$Y$16,MATCH($D6,cockpit!$J$6:$J$16,0),MATCH($B23,cockpit!$J$6:$Y$6,0))</f>
        <v>0</v>
      </c>
      <c r="E23" s="113">
        <f t="shared" ref="E23:O23" si="10">-E13*$D23</f>
        <v>0</v>
      </c>
      <c r="F23" s="113">
        <f t="shared" si="10"/>
        <v>0</v>
      </c>
      <c r="G23" s="113">
        <f t="shared" si="10"/>
        <v>0</v>
      </c>
      <c r="H23" s="113">
        <f t="shared" si="10"/>
        <v>0</v>
      </c>
      <c r="I23" s="113">
        <f t="shared" si="10"/>
        <v>0</v>
      </c>
      <c r="J23" s="113">
        <f t="shared" si="10"/>
        <v>0</v>
      </c>
      <c r="K23" s="113">
        <f t="shared" si="10"/>
        <v>0</v>
      </c>
      <c r="L23" s="113">
        <f t="shared" si="10"/>
        <v>0</v>
      </c>
      <c r="M23" s="113">
        <f t="shared" si="10"/>
        <v>0</v>
      </c>
      <c r="N23" s="113">
        <f t="shared" si="10"/>
        <v>0</v>
      </c>
      <c r="O23" s="113">
        <f t="shared" si="10"/>
        <v>0</v>
      </c>
    </row>
    <row r="24" spans="2:17" ht="9" customHeight="1">
      <c r="B24" s="114" t="s">
        <v>195</v>
      </c>
      <c r="C24" s="855"/>
      <c r="D24" s="115"/>
      <c r="E24" s="112">
        <f>SUM(E22:E23)</f>
        <v>0</v>
      </c>
      <c r="F24" s="112">
        <f t="shared" ref="F24:O24" si="11">SUM(F22:F23)</f>
        <v>0</v>
      </c>
      <c r="G24" s="112">
        <f t="shared" si="11"/>
        <v>0</v>
      </c>
      <c r="H24" s="112">
        <f t="shared" si="11"/>
        <v>0</v>
      </c>
      <c r="I24" s="112">
        <f t="shared" si="11"/>
        <v>-4837.9696649999996</v>
      </c>
      <c r="J24" s="112">
        <f t="shared" si="11"/>
        <v>-4837.9696649999996</v>
      </c>
      <c r="K24" s="112">
        <f t="shared" si="11"/>
        <v>-4837.9696649999996</v>
      </c>
      <c r="L24" s="112">
        <f t="shared" si="11"/>
        <v>-4837.9696649999996</v>
      </c>
      <c r="M24" s="112">
        <f t="shared" si="11"/>
        <v>-4837.9696649999996</v>
      </c>
      <c r="N24" s="112">
        <f t="shared" si="11"/>
        <v>-4837.9696649999996</v>
      </c>
      <c r="O24" s="112">
        <f t="shared" si="11"/>
        <v>-4837.9696649999996</v>
      </c>
    </row>
    <row r="25" spans="2:17" ht="9" customHeight="1">
      <c r="B25" s="108"/>
      <c r="C25" s="855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</row>
    <row r="26" spans="2:17" ht="9" customHeight="1">
      <c r="B26" s="108" t="s">
        <v>170</v>
      </c>
      <c r="C26" s="855"/>
      <c r="D26" s="111">
        <f>(hotelconstructioncostPSF*(1-$K5))+((hotelconstructioncostPSF*(1+premiumprices)*$K5))</f>
        <v>225</v>
      </c>
      <c r="E26" s="112">
        <f>-IF(OR(E$2=$H5,E$2=$H6,AND(E$2&gt;$H5,E$2&lt;$H6)),(INDEX(summary!$A$2:$D$24,MATCH($D6,summary!$A$2:$A$24,0),MATCH($D5,summary!$A$2:$D$2,0)))/constructiontimephase1)*($D26*((1+Inflation)^(E$2-1)))*(1+Developerfee)</f>
        <v>0</v>
      </c>
      <c r="F26" s="112">
        <f>-IF(OR(F$2=$H5,F$2=$H6,AND(F$2&gt;$H5,F$2&lt;$H6)),(INDEX(summary!$A$2:$D$24,MATCH($D6,summary!$A$2:$A$24,0),MATCH($D5,summary!$A$2:$D$2,0)))/constructiontimephase1)*($D26*((1+Inflation)^(F$2-1)))*(1+Developerfee)</f>
        <v>-9966217.5098999999</v>
      </c>
      <c r="G26" s="112">
        <f>-IF(OR(G$2=$H5,G$2=$H6,AND(G$2&gt;$H5,G$2&lt;$H6)),(INDEX(summary!$A$2:$D$24,MATCH($D6,summary!$A$2:$A$24,0),MATCH($D5,summary!$A$2:$D$2,0)))/constructiontimephase1)*($D26*((1+Inflation)^(G$2-1)))*(1+Developerfee)</f>
        <v>-10165541.860097999</v>
      </c>
      <c r="H26" s="112">
        <f>-IF(OR(H$2=$H5,H$2=$H6,AND(H$2&gt;$H5,H$2&lt;$H6)),(INDEX(summary!$A$2:$D$24,MATCH($D6,summary!$A$2:$A$24,0),MATCH($D5,summary!$A$2:$D$2,0)))/constructiontimephase1)*($D26*((1+Inflation)^(H$2-1)))*(1+Developerfee)</f>
        <v>-10368852.697299959</v>
      </c>
      <c r="I26" s="112">
        <f>-IF(OR(I$2=$H5,I$2=$H6,AND(I$2&gt;$H5,I$2&lt;$H6)),(INDEX(summary!$A$2:$D$24,MATCH($D6,summary!$A$2:$A$24,0),MATCH($D5,summary!$A$2:$D$2,0)))/constructiontimephase1)*($D26*((1+Inflation)^(I$2-1)))*(1+Developerfee)</f>
        <v>0</v>
      </c>
      <c r="J26" s="112">
        <f>-IF(OR(J$2=$H5,J$2=$H6,AND(J$2&gt;$H5,J$2&lt;$H6)),(INDEX(summary!$A$2:$D$24,MATCH($D6,summary!$A$2:$A$24,0),MATCH($D5,summary!$A$2:$D$2,0)))/constructiontimephase1)*($D26*((1+Inflation)^(J$2-1)))*(1+Developerfee)</f>
        <v>0</v>
      </c>
      <c r="K26" s="112">
        <f>-IF(OR(K$2=$H5,K$2=$H6,AND(K$2&gt;$H5,K$2&lt;$H6)),(INDEX(summary!$A$2:$D$24,MATCH($D6,summary!$A$2:$A$24,0),MATCH($D5,summary!$A$2:$D$2,0)))/constructiontimephase1)*($D26*((1+Inflation)^(K$2-1)))*(1+Developerfee)</f>
        <v>0</v>
      </c>
      <c r="L26" s="112">
        <f>-IF(OR(L$2=$H5,L$2=$H6,AND(L$2&gt;$H5,L$2&lt;$H6)),(INDEX(summary!$A$2:$D$24,MATCH($D6,summary!$A$2:$A$24,0),MATCH($D5,summary!$A$2:$D$2,0)))/constructiontimephase1)*($D26*((1+Inflation)^(L$2-1)))*(1+Developerfee)</f>
        <v>0</v>
      </c>
      <c r="M26" s="112">
        <f>-IF(OR(M$2=$H5,M$2=$H6,AND(M$2&gt;$H5,M$2&lt;$H6)),(INDEX(summary!$A$2:$D$24,MATCH($D6,summary!$A$2:$A$24,0),MATCH($D5,summary!$A$2:$D$2,0)))/constructiontimephase1)*($D26*((1+Inflation)^(M$2-1)))*(1+Developerfee)</f>
        <v>0</v>
      </c>
      <c r="N26" s="112">
        <f>-IF(OR(N$2=$H5,N$2=$H6,AND(N$2&gt;$H5,N$2&lt;$H6)),(INDEX(summary!$A$2:$D$24,MATCH($D6,summary!$A$2:$A$24,0),MATCH($D5,summary!$A$2:$D$2,0)))/constructiontimephase1)*($D26*((1+Inflation)^(N$2-1)))*(1+Developerfee)</f>
        <v>0</v>
      </c>
      <c r="O26" s="112">
        <f>-IF(OR(O$2=$H5,O$2=$H6,AND(O$2&gt;$H5,O$2&lt;$H6)),(INDEX(summary!$A$2:$D$24,MATCH($D6,summary!$A$2:$A$24,0),MATCH($D5,summary!$A$2:$D$2,0)))/constructiontimephase1)*($D26*((1+Inflation)^(O$2-1)))*(1+Developerfee)</f>
        <v>0</v>
      </c>
    </row>
    <row r="27" spans="2:17" ht="9" customHeight="1">
      <c r="B27" s="108" t="s">
        <v>197</v>
      </c>
      <c r="C27" s="855" t="s">
        <v>189</v>
      </c>
      <c r="D27" s="122">
        <f>(INDEX(cockpit!$J$6:$Y$16,MATCH($D6,cockpit!$J$6:$J$16,0),MATCH($C27,cockpit!$J$6:$Y$6,0))*(1-$K5))+((INDEX(cockpit!$J$6:$Y$16,MATCH($D6,cockpit!$J$6:$J$16,0),MATCH($C27,cockpit!$J$6:$Y$6,0))-(Premiumexitcaprate))*$K5)</f>
        <v>0.08</v>
      </c>
      <c r="E27" s="113">
        <f t="shared" ref="E27:O27" si="12">IF(E$2=dispositionyear,E20/$D27,0)*(1-Closingcosts)</f>
        <v>0</v>
      </c>
      <c r="F27" s="113">
        <f t="shared" si="12"/>
        <v>0</v>
      </c>
      <c r="G27" s="113">
        <f t="shared" si="12"/>
        <v>0</v>
      </c>
      <c r="H27" s="113">
        <f t="shared" si="12"/>
        <v>0</v>
      </c>
      <c r="I27" s="113">
        <f t="shared" si="12"/>
        <v>0</v>
      </c>
      <c r="J27" s="113">
        <f t="shared" si="12"/>
        <v>0</v>
      </c>
      <c r="K27" s="113">
        <f t="shared" si="12"/>
        <v>0</v>
      </c>
      <c r="L27" s="113">
        <f t="shared" si="12"/>
        <v>0</v>
      </c>
      <c r="M27" s="113">
        <f t="shared" si="12"/>
        <v>0</v>
      </c>
      <c r="N27" s="113">
        <f t="shared" si="12"/>
        <v>0</v>
      </c>
      <c r="O27" s="113">
        <f t="shared" si="12"/>
        <v>61959653.439433664</v>
      </c>
    </row>
    <row r="28" spans="2:17" ht="9" customHeight="1">
      <c r="B28" s="114" t="s">
        <v>196</v>
      </c>
      <c r="C28" s="855"/>
      <c r="D28" s="110"/>
      <c r="E28" s="112">
        <f>SUM(E26:E27)</f>
        <v>0</v>
      </c>
      <c r="F28" s="112">
        <f t="shared" ref="F28:O28" si="13">SUM(F26:F27)</f>
        <v>-9966217.5098999999</v>
      </c>
      <c r="G28" s="112">
        <f t="shared" si="13"/>
        <v>-10165541.860097999</v>
      </c>
      <c r="H28" s="112">
        <f t="shared" si="13"/>
        <v>-10368852.697299959</v>
      </c>
      <c r="I28" s="112">
        <f t="shared" si="13"/>
        <v>0</v>
      </c>
      <c r="J28" s="112">
        <f t="shared" si="13"/>
        <v>0</v>
      </c>
      <c r="K28" s="112">
        <f t="shared" si="13"/>
        <v>0</v>
      </c>
      <c r="L28" s="112">
        <f t="shared" si="13"/>
        <v>0</v>
      </c>
      <c r="M28" s="112">
        <f t="shared" si="13"/>
        <v>0</v>
      </c>
      <c r="N28" s="112">
        <f t="shared" si="13"/>
        <v>0</v>
      </c>
      <c r="O28" s="112">
        <f t="shared" si="13"/>
        <v>61959653.439433664</v>
      </c>
    </row>
    <row r="29" spans="2:17" ht="9" customHeight="1">
      <c r="B29" s="108"/>
      <c r="C29" s="855"/>
      <c r="D29" s="110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</row>
    <row r="30" spans="2:17" ht="9" customHeight="1">
      <c r="B30" s="114" t="s">
        <v>169</v>
      </c>
      <c r="C30" s="856"/>
      <c r="D30" s="116">
        <f ca="1">IRR(OFFSET(E30,0,0,1,Investmenthorizon+1))</f>
        <v>0.18620897775713363</v>
      </c>
      <c r="E30" s="117">
        <f>SUM(E20,E24,E28)</f>
        <v>0</v>
      </c>
      <c r="F30" s="117">
        <f t="shared" ref="F30:O30" si="14">SUM(F20,F24,F28)</f>
        <v>-9966217.5098999999</v>
      </c>
      <c r="G30" s="117">
        <f t="shared" si="14"/>
        <v>-10165541.860097999</v>
      </c>
      <c r="H30" s="117">
        <f t="shared" si="14"/>
        <v>-10368852.697299959</v>
      </c>
      <c r="I30" s="117">
        <f t="shared" si="14"/>
        <v>4509492.2132594185</v>
      </c>
      <c r="J30" s="117">
        <f t="shared" si="14"/>
        <v>4599778.8169179074</v>
      </c>
      <c r="K30" s="117">
        <f t="shared" si="14"/>
        <v>4691871.1526495647</v>
      </c>
      <c r="L30" s="117">
        <f t="shared" si="14"/>
        <v>4785805.3350958563</v>
      </c>
      <c r="M30" s="117">
        <f t="shared" si="14"/>
        <v>4881618.2011910733</v>
      </c>
      <c r="N30" s="117">
        <f t="shared" si="14"/>
        <v>4979347.3246081956</v>
      </c>
      <c r="O30" s="117">
        <f t="shared" si="14"/>
        <v>67038684.469927326</v>
      </c>
    </row>
    <row r="31" spans="2:17" ht="9" customHeight="1" thickBot="1"/>
    <row r="32" spans="2:17" ht="9" customHeight="1">
      <c r="B32" s="123" t="s">
        <v>198</v>
      </c>
      <c r="C32" s="124"/>
      <c r="D32" s="124"/>
      <c r="E32" s="134"/>
      <c r="F32" s="135"/>
      <c r="G32" s="135"/>
      <c r="H32" s="135"/>
      <c r="I32" s="135"/>
      <c r="J32" s="135"/>
      <c r="K32" s="125"/>
      <c r="L32" s="107"/>
      <c r="M32" s="107"/>
      <c r="N32" s="107"/>
      <c r="O32" s="107"/>
    </row>
    <row r="33" spans="2:16" ht="9" customHeight="1">
      <c r="B33" s="126" t="s">
        <v>89</v>
      </c>
      <c r="C33" s="851"/>
      <c r="D33" s="133">
        <v>2</v>
      </c>
      <c r="E33" s="106"/>
      <c r="F33" s="106"/>
      <c r="G33" s="107" t="s">
        <v>204</v>
      </c>
      <c r="H33" s="133">
        <f>Phase2begin</f>
        <v>4</v>
      </c>
      <c r="I33" s="106"/>
      <c r="J33" s="107" t="s">
        <v>201</v>
      </c>
      <c r="K33" s="136">
        <f>summary!AH20</f>
        <v>1</v>
      </c>
      <c r="L33" s="106"/>
      <c r="M33" s="106"/>
      <c r="N33" s="106"/>
      <c r="O33" s="106"/>
    </row>
    <row r="34" spans="2:16" ht="9" customHeight="1">
      <c r="B34" s="126" t="s">
        <v>93</v>
      </c>
      <c r="C34" s="851"/>
      <c r="D34" s="130" t="s">
        <v>221</v>
      </c>
      <c r="E34" s="106"/>
      <c r="F34" s="106"/>
      <c r="G34" s="107" t="s">
        <v>205</v>
      </c>
      <c r="H34" s="133">
        <f>Phase2end</f>
        <v>5</v>
      </c>
      <c r="I34" s="106"/>
      <c r="J34" s="106"/>
      <c r="K34" s="127"/>
      <c r="L34" s="106"/>
      <c r="M34" s="106"/>
      <c r="N34" s="106"/>
      <c r="O34" s="106"/>
    </row>
    <row r="35" spans="2:16" ht="9" customHeight="1" thickBot="1">
      <c r="B35" s="137"/>
      <c r="C35" s="852"/>
      <c r="D35" s="138"/>
      <c r="E35" s="138"/>
      <c r="F35" s="138"/>
      <c r="G35" s="129" t="s">
        <v>199</v>
      </c>
      <c r="H35" s="131">
        <f>Phase2open</f>
        <v>6</v>
      </c>
      <c r="I35" s="138"/>
      <c r="J35" s="138"/>
      <c r="K35" s="128"/>
      <c r="L35" s="106"/>
      <c r="M35" s="106"/>
      <c r="N35" s="106"/>
      <c r="O35" s="106"/>
    </row>
    <row r="36" spans="2:16" ht="9" customHeight="1">
      <c r="B36" s="106"/>
      <c r="C36" s="853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</row>
    <row r="37" spans="2:16" ht="9" customHeight="1">
      <c r="B37" s="108" t="s">
        <v>182</v>
      </c>
      <c r="C37" s="854"/>
      <c r="D37" s="106"/>
      <c r="E37" s="109">
        <f>IF(OR(E$2=$H35,E$2&gt;$H35),INDEX(summary!$A$2:$D$24,MATCH($D34,summary!$A$2:$A$24,0),MATCH($D33,summary!$A$2:$D$2,0)),0)</f>
        <v>0</v>
      </c>
      <c r="F37" s="109">
        <f>IF(OR(F$2=$H35,F$2&gt;$H35),INDEX(summary!$A$2:$D$24,MATCH($D34,summary!$A$2:$A$24,0),MATCH($D33,summary!$A$2:$D$2,0)),0)</f>
        <v>0</v>
      </c>
      <c r="G37" s="109">
        <f>IF(OR(G$2=$H35,G$2&gt;$H35),INDEX(summary!$A$2:$D$24,MATCH($D34,summary!$A$2:$A$24,0),MATCH($D33,summary!$A$2:$D$2,0)),0)</f>
        <v>0</v>
      </c>
      <c r="H37" s="109">
        <f>IF(OR(H$2=$H35,H$2&gt;$H35),INDEX(summary!$A$2:$D$24,MATCH($D34,summary!$A$2:$A$24,0),MATCH($D33,summary!$A$2:$D$2,0)),0)</f>
        <v>0</v>
      </c>
      <c r="I37" s="109">
        <f>IF(OR(I$2=$H35,I$2&gt;$H35),INDEX(summary!$A$2:$D$24,MATCH($D34,summary!$A$2:$A$24,0),MATCH($D33,summary!$A$2:$D$2,0)),0)</f>
        <v>0</v>
      </c>
      <c r="J37" s="109">
        <f>IF(OR(J$2=$H35,J$2&gt;$H35),INDEX(summary!$A$2:$D$24,MATCH($D34,summary!$A$2:$A$24,0),MATCH($D33,summary!$A$2:$D$2,0)),0)</f>
        <v>0</v>
      </c>
      <c r="K37" s="109">
        <f>IF(OR(K$2=$H35,K$2&gt;$H35),INDEX(summary!$A$2:$D$24,MATCH($D34,summary!$A$2:$A$24,0),MATCH($D33,summary!$A$2:$D$2,0)),0)</f>
        <v>209394.12100000001</v>
      </c>
      <c r="L37" s="109">
        <f>IF(OR(L$2=$H35,L$2&gt;$H35),INDEX(summary!$A$2:$D$24,MATCH($D34,summary!$A$2:$A$24,0),MATCH($D33,summary!$A$2:$D$2,0)),0)</f>
        <v>209394.12100000001</v>
      </c>
      <c r="M37" s="109">
        <f>IF(OR(M$2=$H35,M$2&gt;$H35),INDEX(summary!$A$2:$D$24,MATCH($D34,summary!$A$2:$A$24,0),MATCH($D33,summary!$A$2:$D$2,0)),0)</f>
        <v>209394.12100000001</v>
      </c>
      <c r="N37" s="109">
        <f>IF(OR(N$2=$H35,N$2&gt;$H35),INDEX(summary!$A$2:$D$24,MATCH($D34,summary!$A$2:$A$24,0),MATCH($D33,summary!$A$2:$D$2,0)),0)</f>
        <v>209394.12100000001</v>
      </c>
      <c r="O37" s="109">
        <f>IF(OR(O$2=$H35,O$2&gt;$H35),INDEX(summary!$A$2:$D$24,MATCH($D34,summary!$A$2:$A$24,0),MATCH($D33,summary!$A$2:$D$2,0)),0)</f>
        <v>209394.12100000001</v>
      </c>
    </row>
    <row r="38" spans="2:16" ht="9" customHeight="1">
      <c r="B38" s="108" t="s">
        <v>194</v>
      </c>
      <c r="C38" s="855" t="s">
        <v>191</v>
      </c>
      <c r="D38" s="110">
        <f>INDEX(cockpit!$J$6:$Y$16,MATCH($D34,cockpit!$J$6:$J$16,0),MATCH($C$10,cockpit!$J$6:$Y$6,0))</f>
        <v>0.25</v>
      </c>
      <c r="E38" s="109">
        <f>E37*(1-$D38)</f>
        <v>0</v>
      </c>
      <c r="F38" s="109">
        <f t="shared" ref="F38:O38" si="15">F37*(1-$D38)</f>
        <v>0</v>
      </c>
      <c r="G38" s="109">
        <f t="shared" si="15"/>
        <v>0</v>
      </c>
      <c r="H38" s="109">
        <f t="shared" si="15"/>
        <v>0</v>
      </c>
      <c r="I38" s="109">
        <f t="shared" si="15"/>
        <v>0</v>
      </c>
      <c r="J38" s="109">
        <f t="shared" si="15"/>
        <v>0</v>
      </c>
      <c r="K38" s="109">
        <f t="shared" si="15"/>
        <v>157045.59075</v>
      </c>
      <c r="L38" s="109">
        <f t="shared" si="15"/>
        <v>157045.59075</v>
      </c>
      <c r="M38" s="109">
        <f t="shared" si="15"/>
        <v>157045.59075</v>
      </c>
      <c r="N38" s="109">
        <f t="shared" si="15"/>
        <v>157045.59075</v>
      </c>
      <c r="O38" s="109">
        <f t="shared" si="15"/>
        <v>157045.59075</v>
      </c>
    </row>
    <row r="39" spans="2:16" ht="9" customHeight="1">
      <c r="B39" s="108" t="s">
        <v>684</v>
      </c>
      <c r="C39" s="855"/>
      <c r="D39" s="110"/>
      <c r="E39" s="109">
        <f t="shared" ref="E39:O39" si="16">E38/Hotelaverageroomsize</f>
        <v>0</v>
      </c>
      <c r="F39" s="109">
        <f t="shared" si="16"/>
        <v>0</v>
      </c>
      <c r="G39" s="109">
        <f t="shared" si="16"/>
        <v>0</v>
      </c>
      <c r="H39" s="109">
        <f t="shared" si="16"/>
        <v>0</v>
      </c>
      <c r="I39" s="109">
        <f t="shared" si="16"/>
        <v>0</v>
      </c>
      <c r="J39" s="109">
        <f t="shared" si="16"/>
        <v>0</v>
      </c>
      <c r="K39" s="109">
        <f t="shared" si="16"/>
        <v>483.21720230769233</v>
      </c>
      <c r="L39" s="109">
        <f t="shared" si="16"/>
        <v>483.21720230769233</v>
      </c>
      <c r="M39" s="109">
        <f t="shared" si="16"/>
        <v>483.21720230769233</v>
      </c>
      <c r="N39" s="109">
        <f t="shared" si="16"/>
        <v>483.21720230769233</v>
      </c>
      <c r="O39" s="109">
        <f t="shared" si="16"/>
        <v>483.21720230769233</v>
      </c>
      <c r="P39" s="109"/>
    </row>
    <row r="40" spans="2:16" ht="9" customHeight="1">
      <c r="B40" s="108" t="s">
        <v>180</v>
      </c>
      <c r="C40" s="855" t="s">
        <v>152</v>
      </c>
      <c r="D40" s="122">
        <f>Hotelrampup</f>
        <v>0.65</v>
      </c>
      <c r="E40" s="109">
        <f>IF(OR(E$2=$H35,AND(E$2&gt;$H35,E$2&lt;(SUM($H35,INDEX(cockpit!$J$6:$Y$16,MATCH($D34,cockpit!$J$6:$J$16,0),MATCH($C$12,cockpit!$J$6:$Y$6,0)))))),E38*$D40,0)</f>
        <v>0</v>
      </c>
      <c r="F40" s="109">
        <f>IF(OR(F$2=$H35,AND(F$2&gt;$H35,F$2&lt;(SUM($H35,INDEX(cockpit!$J$6:$Y$16,MATCH($D34,cockpit!$J$6:$J$16,0),MATCH($C$12,cockpit!$J$6:$Y$6,0)))))),F38*$D40,0)</f>
        <v>0</v>
      </c>
      <c r="G40" s="109">
        <f>IF(OR(G$2=$H35,AND(G$2&gt;$H35,G$2&lt;(SUM($H35,INDEX(cockpit!$J$6:$Y$16,MATCH($D34,cockpit!$J$6:$J$16,0),MATCH($C$12,cockpit!$J$6:$Y$6,0)))))),G38*$D40,0)</f>
        <v>0</v>
      </c>
      <c r="H40" s="109">
        <f>IF(OR(H$2=$H35,AND(H$2&gt;$H35,H$2&lt;(SUM($H35,INDEX(cockpit!$J$6:$Y$16,MATCH($D34,cockpit!$J$6:$J$16,0),MATCH($C$12,cockpit!$J$6:$Y$6,0)))))),H38*$D40,0)</f>
        <v>0</v>
      </c>
      <c r="I40" s="109">
        <f>IF(OR(I$2=$H35,AND(I$2&gt;$H35,I$2&lt;(SUM($H35,INDEX(cockpit!$J$6:$Y$16,MATCH($D34,cockpit!$J$6:$J$16,0),MATCH($C$12,cockpit!$J$6:$Y$6,0)))))),I38*$D40,0)</f>
        <v>0</v>
      </c>
      <c r="J40" s="109">
        <f>IF(OR(J$2=$H35,AND(J$2&gt;$H35,J$2&lt;(SUM($H35,INDEX(cockpit!$J$6:$Y$16,MATCH($D34,cockpit!$J$6:$J$16,0),MATCH($C$12,cockpit!$J$6:$Y$6,0)))))),J38*$D40,0)</f>
        <v>0</v>
      </c>
      <c r="K40" s="109">
        <f>IF(OR(K$2=$H35,AND(K$2&gt;$H35,K$2&lt;(SUM($H35,INDEX(cockpit!$J$6:$Y$16,MATCH($D34,cockpit!$J$6:$J$16,0),MATCH($C$12,cockpit!$J$6:$Y$6,0)))))),K38*$D40,0)</f>
        <v>102079.63398750001</v>
      </c>
      <c r="L40" s="109">
        <f>IF(OR(L$2=$H35,AND(L$2&gt;$H35,L$2&lt;(SUM($H35,INDEX(cockpit!$J$6:$Y$16,MATCH($D34,cockpit!$J$6:$J$16,0),MATCH($C$12,cockpit!$J$6:$Y$6,0)))))),L38*$D40,0)</f>
        <v>0</v>
      </c>
      <c r="M40" s="109">
        <f>IF(OR(M$2=$H35,AND(M$2&gt;$H35,M$2&lt;(SUM($H35,INDEX(cockpit!$J$6:$Y$16,MATCH($D34,cockpit!$J$6:$J$16,0),MATCH($C$12,cockpit!$J$6:$Y$6,0)))))),M38*$D40,0)</f>
        <v>0</v>
      </c>
      <c r="N40" s="109">
        <f>IF(OR(N$2=$H35,AND(N$2&gt;$H35,N$2&lt;(SUM($H35,INDEX(cockpit!$J$6:$Y$16,MATCH($D34,cockpit!$J$6:$J$16,0),MATCH($C$12,cockpit!$J$6:$Y$6,0)))))),N38*$D40,0)</f>
        <v>0</v>
      </c>
      <c r="O40" s="109">
        <f>IF(OR(O$2=$H35,AND(O$2&gt;$H35,O$2&lt;(SUM($H35,INDEX(cockpit!$J$6:$Y$16,MATCH($D34,cockpit!$J$6:$J$16,0),MATCH($C$12,cockpit!$J$6:$Y$6,0)))))),O38*$D40,0)</f>
        <v>0</v>
      </c>
    </row>
    <row r="41" spans="2:16" ht="9" customHeight="1">
      <c r="B41" s="108" t="s">
        <v>181</v>
      </c>
      <c r="C41" s="855"/>
      <c r="D41" s="106"/>
      <c r="E41" s="109">
        <f>SUM($E40:E40)</f>
        <v>0</v>
      </c>
      <c r="F41" s="109">
        <f>SUM($E40:F40)</f>
        <v>0</v>
      </c>
      <c r="G41" s="109">
        <f>SUM($E40:G40)</f>
        <v>0</v>
      </c>
      <c r="H41" s="109">
        <f>SUM($E40:H40)</f>
        <v>0</v>
      </c>
      <c r="I41" s="109">
        <f>SUM($E40:I40)</f>
        <v>0</v>
      </c>
      <c r="J41" s="109">
        <f>SUM($E40:J40)</f>
        <v>0</v>
      </c>
      <c r="K41" s="109">
        <f>SUM($E40:K40)</f>
        <v>102079.63398750001</v>
      </c>
      <c r="L41" s="109">
        <f>SUM($E40:L40)</f>
        <v>102079.63398750001</v>
      </c>
      <c r="M41" s="109">
        <f>SUM($E40:M40)</f>
        <v>102079.63398750001</v>
      </c>
      <c r="N41" s="109">
        <f>SUM($E40:N40)</f>
        <v>102079.63398750001</v>
      </c>
      <c r="O41" s="109">
        <f>SUM($E40:O40)</f>
        <v>102079.63398750001</v>
      </c>
    </row>
    <row r="42" spans="2:16" ht="9" customHeight="1">
      <c r="B42" s="108" t="s">
        <v>685</v>
      </c>
      <c r="C42" s="855"/>
      <c r="D42" s="106"/>
      <c r="E42" s="109">
        <f t="shared" ref="E42:O42" si="17">E41/Hotelaverageroomsize</f>
        <v>0</v>
      </c>
      <c r="F42" s="109">
        <f t="shared" si="17"/>
        <v>0</v>
      </c>
      <c r="G42" s="109">
        <f t="shared" si="17"/>
        <v>0</v>
      </c>
      <c r="H42" s="109">
        <f t="shared" si="17"/>
        <v>0</v>
      </c>
      <c r="I42" s="109">
        <f t="shared" si="17"/>
        <v>0</v>
      </c>
      <c r="J42" s="109">
        <f t="shared" si="17"/>
        <v>0</v>
      </c>
      <c r="K42" s="109">
        <f t="shared" si="17"/>
        <v>314.09118150000006</v>
      </c>
      <c r="L42" s="109">
        <f t="shared" si="17"/>
        <v>314.09118150000006</v>
      </c>
      <c r="M42" s="109">
        <f t="shared" si="17"/>
        <v>314.09118150000006</v>
      </c>
      <c r="N42" s="109">
        <f t="shared" si="17"/>
        <v>314.09118150000006</v>
      </c>
      <c r="O42" s="109">
        <f t="shared" si="17"/>
        <v>314.09118150000006</v>
      </c>
    </row>
    <row r="43" spans="2:16" ht="9" customHeight="1">
      <c r="B43" s="106"/>
      <c r="C43" s="855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</row>
    <row r="44" spans="2:16" ht="9" customHeight="1">
      <c r="B44" s="108" t="s">
        <v>233</v>
      </c>
      <c r="C44" s="855"/>
      <c r="D44" s="111">
        <f>(hoteladr*(1-$K33))+((hoteladr*(1+premiumprices)*$K33))</f>
        <v>206.25</v>
      </c>
      <c r="E44" s="112">
        <f t="shared" ref="E44:O44" si="18">(E42*(($D44)*((1+Inflation)^(E$2-1))))*365</f>
        <v>0</v>
      </c>
      <c r="F44" s="112">
        <f t="shared" si="18"/>
        <v>0</v>
      </c>
      <c r="G44" s="112">
        <f t="shared" si="18"/>
        <v>0</v>
      </c>
      <c r="H44" s="112">
        <f t="shared" si="18"/>
        <v>0</v>
      </c>
      <c r="I44" s="112">
        <f t="shared" si="18"/>
        <v>0</v>
      </c>
      <c r="J44" s="112">
        <f t="shared" si="18"/>
        <v>0</v>
      </c>
      <c r="K44" s="112">
        <f t="shared" si="18"/>
        <v>26106185.746002313</v>
      </c>
      <c r="L44" s="112">
        <f t="shared" si="18"/>
        <v>26628309.46092236</v>
      </c>
      <c r="M44" s="112">
        <f t="shared" si="18"/>
        <v>27160875.650140803</v>
      </c>
      <c r="N44" s="112">
        <f t="shared" si="18"/>
        <v>27704093.16314362</v>
      </c>
      <c r="O44" s="112">
        <f t="shared" si="18"/>
        <v>28258175.026406493</v>
      </c>
    </row>
    <row r="45" spans="2:16" ht="9" customHeight="1">
      <c r="B45" s="108" t="s">
        <v>123</v>
      </c>
      <c r="C45" s="855"/>
      <c r="D45" s="110">
        <f>INDEX(cockpit!$J$6:$Y$16,MATCH($D34,cockpit!$J$6:$J$16,0),MATCH($B45,cockpit!$J$6:$Y$6,0))</f>
        <v>0.35</v>
      </c>
      <c r="E45" s="112">
        <f t="shared" ref="E45:O45" si="19">-IF($D45&gt;1,E37*($D45*((1+Inflation)^(E$2-1))),E44*(1-$D45))</f>
        <v>0</v>
      </c>
      <c r="F45" s="112">
        <f t="shared" si="19"/>
        <v>0</v>
      </c>
      <c r="G45" s="112">
        <f t="shared" si="19"/>
        <v>0</v>
      </c>
      <c r="H45" s="112">
        <f t="shared" si="19"/>
        <v>0</v>
      </c>
      <c r="I45" s="112">
        <f t="shared" si="19"/>
        <v>0</v>
      </c>
      <c r="J45" s="112">
        <f t="shared" si="19"/>
        <v>0</v>
      </c>
      <c r="K45" s="112">
        <f t="shared" si="19"/>
        <v>-16969020.734901503</v>
      </c>
      <c r="L45" s="112">
        <f t="shared" si="19"/>
        <v>-17308401.149599534</v>
      </c>
      <c r="M45" s="112">
        <f t="shared" si="19"/>
        <v>-17654569.172591522</v>
      </c>
      <c r="N45" s="112">
        <f t="shared" si="19"/>
        <v>-18007660.556043353</v>
      </c>
      <c r="O45" s="112">
        <f t="shared" si="19"/>
        <v>-18367813.767164223</v>
      </c>
    </row>
    <row r="46" spans="2:16" ht="9" customHeight="1">
      <c r="B46" s="108" t="s">
        <v>231</v>
      </c>
      <c r="C46" s="855"/>
      <c r="D46" s="110">
        <f>hotelfoodandbeverageincome</f>
        <v>0.1</v>
      </c>
      <c r="E46" s="112">
        <f t="shared" ref="E46:O46" si="20">E44*$D46*hotelfoodandbeveragemargin</f>
        <v>0</v>
      </c>
      <c r="F46" s="112">
        <f t="shared" si="20"/>
        <v>0</v>
      </c>
      <c r="G46" s="112">
        <f t="shared" si="20"/>
        <v>0</v>
      </c>
      <c r="H46" s="112">
        <f t="shared" si="20"/>
        <v>0</v>
      </c>
      <c r="I46" s="112">
        <f t="shared" si="20"/>
        <v>0</v>
      </c>
      <c r="J46" s="112">
        <f t="shared" si="20"/>
        <v>0</v>
      </c>
      <c r="K46" s="112">
        <f t="shared" si="20"/>
        <v>261061.85746002314</v>
      </c>
      <c r="L46" s="112">
        <f t="shared" si="20"/>
        <v>266283.09460922366</v>
      </c>
      <c r="M46" s="112">
        <f t="shared" si="20"/>
        <v>271608.75650140806</v>
      </c>
      <c r="N46" s="112">
        <f t="shared" si="20"/>
        <v>277040.93163143622</v>
      </c>
      <c r="O46" s="112">
        <f t="shared" si="20"/>
        <v>282581.75026406499</v>
      </c>
    </row>
    <row r="47" spans="2:16" ht="9" customHeight="1">
      <c r="B47" s="108" t="s">
        <v>232</v>
      </c>
      <c r="C47" s="855"/>
      <c r="D47" s="110">
        <f>hotelotherincome</f>
        <v>0.05</v>
      </c>
      <c r="E47" s="113">
        <f t="shared" ref="E47:O47" si="21">E44*$D47*hotelotherincomemargin</f>
        <v>0</v>
      </c>
      <c r="F47" s="113">
        <f t="shared" si="21"/>
        <v>0</v>
      </c>
      <c r="G47" s="113">
        <f t="shared" si="21"/>
        <v>0</v>
      </c>
      <c r="H47" s="113">
        <f t="shared" si="21"/>
        <v>0</v>
      </c>
      <c r="I47" s="113">
        <f t="shared" si="21"/>
        <v>0</v>
      </c>
      <c r="J47" s="113">
        <f t="shared" si="21"/>
        <v>0</v>
      </c>
      <c r="K47" s="113">
        <f t="shared" si="21"/>
        <v>130530.92873001157</v>
      </c>
      <c r="L47" s="113">
        <f t="shared" si="21"/>
        <v>133141.54730461183</v>
      </c>
      <c r="M47" s="113">
        <f t="shared" si="21"/>
        <v>135804.37825070403</v>
      </c>
      <c r="N47" s="113">
        <f t="shared" si="21"/>
        <v>138520.46581571811</v>
      </c>
      <c r="O47" s="113">
        <f t="shared" si="21"/>
        <v>141290.8751320325</v>
      </c>
    </row>
    <row r="48" spans="2:16" ht="9" customHeight="1">
      <c r="B48" s="114" t="s">
        <v>167</v>
      </c>
      <c r="C48" s="855"/>
      <c r="D48" s="106"/>
      <c r="E48" s="112">
        <f t="shared" ref="E48:O48" si="22">SUM(E44:E47)</f>
        <v>0</v>
      </c>
      <c r="F48" s="112">
        <f t="shared" si="22"/>
        <v>0</v>
      </c>
      <c r="G48" s="112">
        <f t="shared" si="22"/>
        <v>0</v>
      </c>
      <c r="H48" s="112">
        <f t="shared" si="22"/>
        <v>0</v>
      </c>
      <c r="I48" s="112">
        <f t="shared" si="22"/>
        <v>0</v>
      </c>
      <c r="J48" s="112">
        <f t="shared" si="22"/>
        <v>0</v>
      </c>
      <c r="K48" s="112">
        <f t="shared" si="22"/>
        <v>9528757.7972908448</v>
      </c>
      <c r="L48" s="112">
        <f t="shared" si="22"/>
        <v>9719332.9532366619</v>
      </c>
      <c r="M48" s="112">
        <f t="shared" si="22"/>
        <v>9913719.6123013925</v>
      </c>
      <c r="N48" s="112">
        <f t="shared" si="22"/>
        <v>10111994.004547421</v>
      </c>
      <c r="O48" s="112">
        <f t="shared" si="22"/>
        <v>10314233.884638367</v>
      </c>
    </row>
    <row r="49" spans="2:15" ht="9" customHeight="1">
      <c r="B49" s="106"/>
      <c r="C49" s="855"/>
      <c r="D49" s="106"/>
      <c r="E49" s="187">
        <f t="shared" ref="E49:O49" si="23">IFERROR(E48/SUM(E44:E44),0)</f>
        <v>0</v>
      </c>
      <c r="F49" s="187">
        <f t="shared" si="23"/>
        <v>0</v>
      </c>
      <c r="G49" s="187">
        <f t="shared" si="23"/>
        <v>0</v>
      </c>
      <c r="H49" s="187">
        <f t="shared" si="23"/>
        <v>0</v>
      </c>
      <c r="I49" s="187">
        <f t="shared" si="23"/>
        <v>0</v>
      </c>
      <c r="J49" s="187">
        <f t="shared" si="23"/>
        <v>0</v>
      </c>
      <c r="K49" s="187">
        <f t="shared" si="23"/>
        <v>0.36500000000000005</v>
      </c>
      <c r="L49" s="187">
        <f t="shared" si="23"/>
        <v>0.36499999999999999</v>
      </c>
      <c r="M49" s="187">
        <f t="shared" si="23"/>
        <v>0.36499999999999999</v>
      </c>
      <c r="N49" s="187">
        <f t="shared" si="23"/>
        <v>0.36499999999999999</v>
      </c>
      <c r="O49" s="187">
        <f t="shared" si="23"/>
        <v>0.36499999999999988</v>
      </c>
    </row>
    <row r="50" spans="2:15" ht="9" customHeight="1">
      <c r="B50" s="108" t="s">
        <v>168</v>
      </c>
      <c r="C50" s="855"/>
      <c r="D50" s="115">
        <f>INDEX(cockpit!$J$6:$Y$16,MATCH($D34,cockpit!$J$6:$J$16,0),MATCH($B50,cockpit!$J$6:$Y$6,0))</f>
        <v>0.05</v>
      </c>
      <c r="E50" s="112">
        <f t="shared" ref="E50:O50" si="24">-E38*$D50</f>
        <v>0</v>
      </c>
      <c r="F50" s="112">
        <f t="shared" si="24"/>
        <v>0</v>
      </c>
      <c r="G50" s="112">
        <f t="shared" si="24"/>
        <v>0</v>
      </c>
      <c r="H50" s="112">
        <f t="shared" si="24"/>
        <v>0</v>
      </c>
      <c r="I50" s="112">
        <f t="shared" si="24"/>
        <v>0</v>
      </c>
      <c r="J50" s="112">
        <f t="shared" si="24"/>
        <v>0</v>
      </c>
      <c r="K50" s="112">
        <f t="shared" si="24"/>
        <v>-7852.2795375000005</v>
      </c>
      <c r="L50" s="112">
        <f t="shared" si="24"/>
        <v>-7852.2795375000005</v>
      </c>
      <c r="M50" s="112">
        <f t="shared" si="24"/>
        <v>-7852.2795375000005</v>
      </c>
      <c r="N50" s="112">
        <f t="shared" si="24"/>
        <v>-7852.2795375000005</v>
      </c>
      <c r="O50" s="112">
        <f t="shared" si="24"/>
        <v>-7852.2795375000005</v>
      </c>
    </row>
    <row r="51" spans="2:15" ht="9" customHeight="1">
      <c r="B51" s="108" t="s">
        <v>162</v>
      </c>
      <c r="C51" s="855"/>
      <c r="D51" s="115">
        <f>INDEX(cockpit!$J$6:$Y$16,MATCH($D34,cockpit!$J$6:$J$16,0),MATCH($B51,cockpit!$J$6:$Y$6,0))</f>
        <v>0</v>
      </c>
      <c r="E51" s="113">
        <f t="shared" ref="E51:O51" si="25">-E41*$D51</f>
        <v>0</v>
      </c>
      <c r="F51" s="113">
        <f t="shared" si="25"/>
        <v>0</v>
      </c>
      <c r="G51" s="113">
        <f t="shared" si="25"/>
        <v>0</v>
      </c>
      <c r="H51" s="113">
        <f t="shared" si="25"/>
        <v>0</v>
      </c>
      <c r="I51" s="113">
        <f t="shared" si="25"/>
        <v>0</v>
      </c>
      <c r="J51" s="113">
        <f t="shared" si="25"/>
        <v>0</v>
      </c>
      <c r="K51" s="113">
        <f t="shared" si="25"/>
        <v>0</v>
      </c>
      <c r="L51" s="113">
        <f t="shared" si="25"/>
        <v>0</v>
      </c>
      <c r="M51" s="113">
        <f t="shared" si="25"/>
        <v>0</v>
      </c>
      <c r="N51" s="113">
        <f t="shared" si="25"/>
        <v>0</v>
      </c>
      <c r="O51" s="113">
        <f t="shared" si="25"/>
        <v>0</v>
      </c>
    </row>
    <row r="52" spans="2:15" ht="9" customHeight="1">
      <c r="B52" s="114" t="s">
        <v>195</v>
      </c>
      <c r="C52" s="855"/>
      <c r="D52" s="115"/>
      <c r="E52" s="112">
        <f>SUM(E50:E51)</f>
        <v>0</v>
      </c>
      <c r="F52" s="112">
        <f t="shared" ref="F52:O52" si="26">SUM(F50:F51)</f>
        <v>0</v>
      </c>
      <c r="G52" s="112">
        <f t="shared" si="26"/>
        <v>0</v>
      </c>
      <c r="H52" s="112">
        <f t="shared" si="26"/>
        <v>0</v>
      </c>
      <c r="I52" s="112">
        <f t="shared" si="26"/>
        <v>0</v>
      </c>
      <c r="J52" s="112">
        <f t="shared" si="26"/>
        <v>0</v>
      </c>
      <c r="K52" s="112">
        <f t="shared" si="26"/>
        <v>-7852.2795375000005</v>
      </c>
      <c r="L52" s="112">
        <f t="shared" si="26"/>
        <v>-7852.2795375000005</v>
      </c>
      <c r="M52" s="112">
        <f t="shared" si="26"/>
        <v>-7852.2795375000005</v>
      </c>
      <c r="N52" s="112">
        <f t="shared" si="26"/>
        <v>-7852.2795375000005</v>
      </c>
      <c r="O52" s="112">
        <f t="shared" si="26"/>
        <v>-7852.2795375000005</v>
      </c>
    </row>
    <row r="53" spans="2:15" ht="9" customHeight="1">
      <c r="B53" s="108"/>
      <c r="C53" s="855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</row>
    <row r="54" spans="2:15" ht="9" customHeight="1">
      <c r="B54" s="108" t="s">
        <v>170</v>
      </c>
      <c r="C54" s="855"/>
      <c r="D54" s="111">
        <f>(hotelconstructioncostPSF*(1-$K33))+((hotelconstructioncostPSF*(1+premiumprices)*$K33))</f>
        <v>281.25</v>
      </c>
      <c r="E54" s="112">
        <f>-IF(OR(E$2=$H33,E$2=$H34,AND(E$2&gt;$H33,E$2&lt;$H34)),(INDEX(summary!$A$2:$D$24,MATCH($D34,summary!$A$2:$A$24,0),MATCH($D33,summary!$A$2:$D$2,0)))/constructiontimephase2)*($D54*((1+Inflation)^(E$2-1)))*(1+Developerfee)</f>
        <v>0</v>
      </c>
      <c r="F54" s="112">
        <f>-IF(OR(F$2=$H33,F$2=$H34,AND(F$2&gt;$H33,F$2&lt;$H34)),(INDEX(summary!$A$2:$D$24,MATCH($D34,summary!$A$2:$A$24,0),MATCH($D33,summary!$A$2:$D$2,0)))/constructiontimephase2)*($D54*((1+Inflation)^(F$2-1)))*(1+Developerfee)</f>
        <v>0</v>
      </c>
      <c r="G54" s="112">
        <f>-IF(OR(G$2=$H33,G$2=$H34,AND(G$2&gt;$H33,G$2&lt;$H34)),(INDEX(summary!$A$2:$D$24,MATCH($D34,summary!$A$2:$A$24,0),MATCH($D33,summary!$A$2:$D$2,0)))/constructiontimephase2)*($D54*((1+Inflation)^(G$2-1)))*(1+Developerfee)</f>
        <v>0</v>
      </c>
      <c r="H54" s="112">
        <f>-IF(OR(H$2=$H33,H$2=$H34,AND(H$2&gt;$H33,H$2&lt;$H34)),(INDEX(summary!$A$2:$D$24,MATCH($D34,summary!$A$2:$A$24,0),MATCH($D33,summary!$A$2:$D$2,0)))/constructiontimephase2)*($D54*((1+Inflation)^(H$2-1)))*(1+Developerfee)</f>
        <v>0</v>
      </c>
      <c r="I54" s="112">
        <f>-IF(OR(I$2=$H33,I$2=$H34,AND(I$2&gt;$H33,I$2&lt;$H34)),(INDEX(summary!$A$2:$D$24,MATCH($D34,summary!$A$2:$A$24,0),MATCH($D33,summary!$A$2:$D$2,0)))/constructiontimephase2)*($D54*((1+Inflation)^(I$2-1)))*(1+Developerfee)</f>
        <v>-32185833.447503395</v>
      </c>
      <c r="J54" s="112">
        <f>-IF(OR(J$2=$H33,J$2=$H34,AND(J$2&gt;$H33,J$2&lt;$H34)),(INDEX(summary!$A$2:$D$24,MATCH($D34,summary!$A$2:$A$24,0),MATCH($D33,summary!$A$2:$D$2,0)))/constructiontimephase2)*($D54*((1+Inflation)^(J$2-1)))*(1+Developerfee)</f>
        <v>-32829550.116453461</v>
      </c>
      <c r="K54" s="112">
        <f>-IF(OR(K$2=$H33,K$2=$H34,AND(K$2&gt;$H33,K$2&lt;$H34)),(INDEX(summary!$A$2:$D$24,MATCH($D34,summary!$A$2:$A$24,0),MATCH($D33,summary!$A$2:$D$2,0)))/constructiontimephase2)*($D54*((1+Inflation)^(K$2-1)))*(1+Developerfee)</f>
        <v>0</v>
      </c>
      <c r="L54" s="112">
        <f>-IF(OR(L$2=$H33,L$2=$H34,AND(L$2&gt;$H33,L$2&lt;$H34)),(INDEX(summary!$A$2:$D$24,MATCH($D34,summary!$A$2:$A$24,0),MATCH($D33,summary!$A$2:$D$2,0)))/constructiontimephase2)*($D54*((1+Inflation)^(L$2-1)))*(1+Developerfee)</f>
        <v>0</v>
      </c>
      <c r="M54" s="112">
        <f>-IF(OR(M$2=$H33,M$2=$H34,AND(M$2&gt;$H33,M$2&lt;$H34)),(INDEX(summary!$A$2:$D$24,MATCH($D34,summary!$A$2:$A$24,0),MATCH($D33,summary!$A$2:$D$2,0)))/constructiontimephase2)*($D54*((1+Inflation)^(M$2-1)))*(1+Developerfee)</f>
        <v>0</v>
      </c>
      <c r="N54" s="112">
        <f>-IF(OR(N$2=$H33,N$2=$H34,AND(N$2&gt;$H33,N$2&lt;$H34)),(INDEX(summary!$A$2:$D$24,MATCH($D34,summary!$A$2:$A$24,0),MATCH($D33,summary!$A$2:$D$2,0)))/constructiontimephase2)*($D54*((1+Inflation)^(N$2-1)))*(1+Developerfee)</f>
        <v>0</v>
      </c>
      <c r="O54" s="112">
        <f>-IF(OR(O$2=$H33,O$2=$H34,AND(O$2&gt;$H33,O$2&lt;$H34)),(INDEX(summary!$A$2:$D$24,MATCH($D34,summary!$A$2:$A$24,0),MATCH($D33,summary!$A$2:$D$2,0)))/constructiontimephase2)*($D54*((1+Inflation)^(O$2-1)))*(1+Developerfee)</f>
        <v>0</v>
      </c>
    </row>
    <row r="55" spans="2:15" ht="9" customHeight="1">
      <c r="B55" s="108" t="s">
        <v>197</v>
      </c>
      <c r="C55" s="855" t="s">
        <v>189</v>
      </c>
      <c r="D55" s="122">
        <f>(INDEX(cockpit!$J$6:$Y$16,MATCH($D34,cockpit!$J$6:$J$16,0),MATCH($C55,cockpit!$J$6:$Y$6,0))*(1-$K33))+((INDEX(cockpit!$J$6:$Y$16,MATCH($D34,cockpit!$J$6:$J$16,0),MATCH($C55,cockpit!$J$6:$Y$6,0))-(Premiumexitcaprate))*$K33)</f>
        <v>7.2500000000000009E-2</v>
      </c>
      <c r="E55" s="113">
        <f t="shared" ref="E55:O55" si="27">IF(E$2=dispositionyear,E48/$D55,0)*(1-Closingcosts)</f>
        <v>0</v>
      </c>
      <c r="F55" s="113">
        <f t="shared" si="27"/>
        <v>0</v>
      </c>
      <c r="G55" s="113">
        <f t="shared" si="27"/>
        <v>0</v>
      </c>
      <c r="H55" s="113">
        <f t="shared" si="27"/>
        <v>0</v>
      </c>
      <c r="I55" s="113">
        <f t="shared" si="27"/>
        <v>0</v>
      </c>
      <c r="J55" s="113">
        <f t="shared" si="27"/>
        <v>0</v>
      </c>
      <c r="K55" s="113">
        <f t="shared" si="27"/>
        <v>0</v>
      </c>
      <c r="L55" s="113">
        <f t="shared" si="27"/>
        <v>0</v>
      </c>
      <c r="M55" s="113">
        <f t="shared" si="27"/>
        <v>0</v>
      </c>
      <c r="N55" s="113">
        <f t="shared" si="27"/>
        <v>0</v>
      </c>
      <c r="O55" s="113">
        <f t="shared" si="27"/>
        <v>138708662.58651593</v>
      </c>
    </row>
    <row r="56" spans="2:15" ht="9" customHeight="1">
      <c r="B56" s="114" t="s">
        <v>196</v>
      </c>
      <c r="C56" s="855"/>
      <c r="D56" s="110"/>
      <c r="E56" s="112">
        <f>SUM(E54:E55)</f>
        <v>0</v>
      </c>
      <c r="F56" s="112">
        <f t="shared" ref="F56:O56" si="28">SUM(F54:F55)</f>
        <v>0</v>
      </c>
      <c r="G56" s="112">
        <f t="shared" si="28"/>
        <v>0</v>
      </c>
      <c r="H56" s="112">
        <f t="shared" si="28"/>
        <v>0</v>
      </c>
      <c r="I56" s="112">
        <f t="shared" si="28"/>
        <v>-32185833.447503395</v>
      </c>
      <c r="J56" s="112">
        <f t="shared" si="28"/>
        <v>-32829550.116453461</v>
      </c>
      <c r="K56" s="112">
        <f t="shared" si="28"/>
        <v>0</v>
      </c>
      <c r="L56" s="112">
        <f t="shared" si="28"/>
        <v>0</v>
      </c>
      <c r="M56" s="112">
        <f t="shared" si="28"/>
        <v>0</v>
      </c>
      <c r="N56" s="112">
        <f t="shared" si="28"/>
        <v>0</v>
      </c>
      <c r="O56" s="112">
        <f t="shared" si="28"/>
        <v>138708662.58651593</v>
      </c>
    </row>
    <row r="57" spans="2:15" ht="9" customHeight="1">
      <c r="B57" s="108"/>
      <c r="C57" s="855"/>
      <c r="D57" s="110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</row>
    <row r="58" spans="2:15" ht="9" customHeight="1">
      <c r="B58" s="114" t="s">
        <v>169</v>
      </c>
      <c r="C58" s="856"/>
      <c r="D58" s="116">
        <f ca="1">IRR(OFFSET(E58,0,0,1,Investmenthorizon+1))</f>
        <v>0.24561360348177241</v>
      </c>
      <c r="E58" s="117">
        <f>SUM(E48,E52,E56)</f>
        <v>0</v>
      </c>
      <c r="F58" s="117">
        <f t="shared" ref="F58:O58" si="29">SUM(F48,F52,F56)</f>
        <v>0</v>
      </c>
      <c r="G58" s="117">
        <f t="shared" si="29"/>
        <v>0</v>
      </c>
      <c r="H58" s="117">
        <f t="shared" si="29"/>
        <v>0</v>
      </c>
      <c r="I58" s="117">
        <f t="shared" si="29"/>
        <v>-32185833.447503395</v>
      </c>
      <c r="J58" s="117">
        <f t="shared" si="29"/>
        <v>-32829550.116453461</v>
      </c>
      <c r="K58" s="117">
        <f t="shared" si="29"/>
        <v>9520905.517753344</v>
      </c>
      <c r="L58" s="117">
        <f t="shared" si="29"/>
        <v>9711480.673699161</v>
      </c>
      <c r="M58" s="117">
        <f t="shared" si="29"/>
        <v>9905867.3327638917</v>
      </c>
      <c r="N58" s="117">
        <f t="shared" si="29"/>
        <v>10104141.72500992</v>
      </c>
      <c r="O58" s="117">
        <f t="shared" si="29"/>
        <v>149015044.1916168</v>
      </c>
    </row>
    <row r="59" spans="2:15" ht="9" customHeight="1" thickBot="1">
      <c r="B59" s="114"/>
      <c r="C59" s="856"/>
      <c r="D59" s="118"/>
      <c r="E59" s="106"/>
      <c r="F59" s="106"/>
      <c r="G59" s="106"/>
      <c r="H59" s="119"/>
      <c r="I59" s="106"/>
      <c r="J59" s="106"/>
      <c r="K59" s="106"/>
      <c r="L59" s="106"/>
      <c r="M59" s="106"/>
      <c r="N59" s="106"/>
      <c r="O59" s="106"/>
    </row>
    <row r="60" spans="2:15" ht="9" customHeight="1">
      <c r="B60" s="123" t="s">
        <v>198</v>
      </c>
      <c r="C60" s="124"/>
      <c r="D60" s="124"/>
      <c r="E60" s="134"/>
      <c r="F60" s="135"/>
      <c r="G60" s="135"/>
      <c r="H60" s="135"/>
      <c r="I60" s="135"/>
      <c r="J60" s="135"/>
      <c r="K60" s="125"/>
      <c r="L60" s="107"/>
      <c r="M60" s="107"/>
      <c r="N60" s="107"/>
      <c r="O60" s="107"/>
    </row>
    <row r="61" spans="2:15" ht="9" customHeight="1">
      <c r="B61" s="126" t="s">
        <v>89</v>
      </c>
      <c r="C61" s="851"/>
      <c r="D61" s="133">
        <v>3</v>
      </c>
      <c r="E61" s="106"/>
      <c r="F61" s="106"/>
      <c r="G61" s="107" t="s">
        <v>204</v>
      </c>
      <c r="H61" s="133">
        <f>Phase3begin</f>
        <v>6</v>
      </c>
      <c r="I61" s="106"/>
      <c r="J61" s="107" t="s">
        <v>201</v>
      </c>
      <c r="K61" s="136">
        <f>summary!AF89</f>
        <v>0</v>
      </c>
      <c r="L61" s="106"/>
      <c r="M61" s="106"/>
      <c r="N61" s="106"/>
      <c r="O61" s="106"/>
    </row>
    <row r="62" spans="2:15" ht="9" customHeight="1">
      <c r="B62" s="126" t="s">
        <v>93</v>
      </c>
      <c r="C62" s="851"/>
      <c r="D62" s="130" t="s">
        <v>221</v>
      </c>
      <c r="E62" s="106"/>
      <c r="F62" s="106"/>
      <c r="G62" s="107" t="s">
        <v>205</v>
      </c>
      <c r="H62" s="133">
        <f>Phase3end</f>
        <v>7</v>
      </c>
      <c r="I62" s="106"/>
      <c r="J62" s="106"/>
      <c r="K62" s="127"/>
      <c r="L62" s="106"/>
      <c r="M62" s="106"/>
      <c r="N62" s="106"/>
      <c r="O62" s="106"/>
    </row>
    <row r="63" spans="2:15" ht="9" customHeight="1" thickBot="1">
      <c r="B63" s="137"/>
      <c r="C63" s="852"/>
      <c r="D63" s="138"/>
      <c r="E63" s="138"/>
      <c r="F63" s="138"/>
      <c r="G63" s="129" t="s">
        <v>199</v>
      </c>
      <c r="H63" s="131">
        <f>Phase3open</f>
        <v>8</v>
      </c>
      <c r="I63" s="138"/>
      <c r="J63" s="138"/>
      <c r="K63" s="128"/>
      <c r="L63" s="106"/>
      <c r="M63" s="106"/>
      <c r="N63" s="106"/>
      <c r="O63" s="106"/>
    </row>
    <row r="64" spans="2:15" ht="9" customHeight="1">
      <c r="B64" s="106"/>
      <c r="C64" s="853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2:16" ht="9" customHeight="1">
      <c r="B65" s="108" t="s">
        <v>182</v>
      </c>
      <c r="C65" s="854"/>
      <c r="D65" s="106"/>
      <c r="E65" s="109">
        <f>IF(OR(E$2=$H63,E$2&gt;$H63),INDEX(summary!$A$2:$D$24,MATCH($D62,summary!$A$2:$A$24,0),MATCH($D61,summary!$A$2:$D$2,0)),0)</f>
        <v>0</v>
      </c>
      <c r="F65" s="109">
        <f>IF(OR(F$2=$H63,F$2&gt;$H63),INDEX(summary!$A$2:$D$24,MATCH($D62,summary!$A$2:$A$24,0),MATCH($D61,summary!$A$2:$D$2,0)),0)</f>
        <v>0</v>
      </c>
      <c r="G65" s="109">
        <f>IF(OR(G$2=$H63,G$2&gt;$H63),INDEX(summary!$A$2:$D$24,MATCH($D62,summary!$A$2:$A$24,0),MATCH($D61,summary!$A$2:$D$2,0)),0)</f>
        <v>0</v>
      </c>
      <c r="H65" s="109">
        <f>IF(OR(H$2=$H63,H$2&gt;$H63),INDEX(summary!$A$2:$D$24,MATCH($D62,summary!$A$2:$A$24,0),MATCH($D61,summary!$A$2:$D$2,0)),0)</f>
        <v>0</v>
      </c>
      <c r="I65" s="109">
        <f>IF(OR(I$2=$H63,I$2&gt;$H63),INDEX(summary!$A$2:$D$24,MATCH($D62,summary!$A$2:$A$24,0),MATCH($D61,summary!$A$2:$D$2,0)),0)</f>
        <v>0</v>
      </c>
      <c r="J65" s="109">
        <f>IF(OR(J$2=$H63,J$2&gt;$H63),INDEX(summary!$A$2:$D$24,MATCH($D62,summary!$A$2:$A$24,0),MATCH($D61,summary!$A$2:$D$2,0)),0)</f>
        <v>0</v>
      </c>
      <c r="K65" s="109">
        <f>IF(OR(K$2=$H63,K$2&gt;$H63),INDEX(summary!$A$2:$D$24,MATCH($D62,summary!$A$2:$A$24,0),MATCH($D61,summary!$A$2:$D$2,0)),0)</f>
        <v>0</v>
      </c>
      <c r="L65" s="109">
        <f>IF(OR(L$2=$H63,L$2&gt;$H63),INDEX(summary!$A$2:$D$24,MATCH($D62,summary!$A$2:$A$24,0),MATCH($D61,summary!$A$2:$D$2,0)),0)</f>
        <v>0</v>
      </c>
      <c r="M65" s="109">
        <f>IF(OR(M$2=$H63,M$2&gt;$H63),INDEX(summary!$A$2:$D$24,MATCH($D62,summary!$A$2:$A$24,0),MATCH($D61,summary!$A$2:$D$2,0)),0)</f>
        <v>0</v>
      </c>
      <c r="N65" s="109">
        <f>IF(OR(N$2=$H63,N$2&gt;$H63),INDEX(summary!$A$2:$D$24,MATCH($D62,summary!$A$2:$A$24,0),MATCH($D61,summary!$A$2:$D$2,0)),0)</f>
        <v>0</v>
      </c>
      <c r="O65" s="109">
        <f>IF(OR(O$2=$H63,O$2&gt;$H63),INDEX(summary!$A$2:$D$24,MATCH($D62,summary!$A$2:$A$24,0),MATCH($D61,summary!$A$2:$D$2,0)),0)</f>
        <v>0</v>
      </c>
    </row>
    <row r="66" spans="2:16" ht="9" customHeight="1">
      <c r="B66" s="108" t="s">
        <v>194</v>
      </c>
      <c r="C66" s="855" t="s">
        <v>191</v>
      </c>
      <c r="D66" s="110">
        <f>INDEX(cockpit!$J$6:$Y$16,MATCH($D62,cockpit!$J$6:$J$16,0),MATCH($C$10,cockpit!$J$6:$Y$6,0))</f>
        <v>0.25</v>
      </c>
      <c r="E66" s="109">
        <f>E65*(1-$D66)</f>
        <v>0</v>
      </c>
      <c r="F66" s="109">
        <f t="shared" ref="F66:O66" si="30">F65*(1-$D66)</f>
        <v>0</v>
      </c>
      <c r="G66" s="109">
        <f t="shared" si="30"/>
        <v>0</v>
      </c>
      <c r="H66" s="109">
        <f t="shared" si="30"/>
        <v>0</v>
      </c>
      <c r="I66" s="109">
        <f t="shared" si="30"/>
        <v>0</v>
      </c>
      <c r="J66" s="109">
        <f t="shared" si="30"/>
        <v>0</v>
      </c>
      <c r="K66" s="109">
        <f t="shared" si="30"/>
        <v>0</v>
      </c>
      <c r="L66" s="109">
        <f t="shared" si="30"/>
        <v>0</v>
      </c>
      <c r="M66" s="109">
        <f t="shared" si="30"/>
        <v>0</v>
      </c>
      <c r="N66" s="109">
        <f t="shared" si="30"/>
        <v>0</v>
      </c>
      <c r="O66" s="109">
        <f t="shared" si="30"/>
        <v>0</v>
      </c>
    </row>
    <row r="67" spans="2:16" ht="9" customHeight="1">
      <c r="B67" s="108" t="s">
        <v>684</v>
      </c>
      <c r="C67" s="855"/>
      <c r="D67" s="110"/>
      <c r="E67" s="109">
        <f t="shared" ref="E67:O67" si="31">E66/Hotelaverageroomsize</f>
        <v>0</v>
      </c>
      <c r="F67" s="109">
        <f t="shared" si="31"/>
        <v>0</v>
      </c>
      <c r="G67" s="109">
        <f t="shared" si="31"/>
        <v>0</v>
      </c>
      <c r="H67" s="109">
        <f t="shared" si="31"/>
        <v>0</v>
      </c>
      <c r="I67" s="109">
        <f t="shared" si="31"/>
        <v>0</v>
      </c>
      <c r="J67" s="109">
        <f t="shared" si="31"/>
        <v>0</v>
      </c>
      <c r="K67" s="109">
        <f t="shared" si="31"/>
        <v>0</v>
      </c>
      <c r="L67" s="109">
        <f t="shared" si="31"/>
        <v>0</v>
      </c>
      <c r="M67" s="109">
        <f t="shared" si="31"/>
        <v>0</v>
      </c>
      <c r="N67" s="109">
        <f t="shared" si="31"/>
        <v>0</v>
      </c>
      <c r="O67" s="109">
        <f t="shared" si="31"/>
        <v>0</v>
      </c>
      <c r="P67" s="109"/>
    </row>
    <row r="68" spans="2:16" ht="9" customHeight="1">
      <c r="B68" s="108" t="s">
        <v>180</v>
      </c>
      <c r="C68" s="855" t="s">
        <v>152</v>
      </c>
      <c r="D68" s="122">
        <f>Hotelrampup</f>
        <v>0.65</v>
      </c>
      <c r="E68" s="109">
        <f>IF(OR(E$2=$H63,AND(E$2&gt;$H63,E$2&lt;(SUM($H63,INDEX(cockpit!$J$6:$Y$16,MATCH($D62,cockpit!$J$6:$J$16,0),MATCH($C$12,cockpit!$J$6:$Y$6,0)))))),E66*$D68,0)</f>
        <v>0</v>
      </c>
      <c r="F68" s="109">
        <f>IF(OR(F$2=$H63,AND(F$2&gt;$H63,F$2&lt;(SUM($H63,INDEX(cockpit!$J$6:$Y$16,MATCH($D62,cockpit!$J$6:$J$16,0),MATCH($C$12,cockpit!$J$6:$Y$6,0)))))),F66*$D68,0)</f>
        <v>0</v>
      </c>
      <c r="G68" s="109">
        <f>IF(OR(G$2=$H63,AND(G$2&gt;$H63,G$2&lt;(SUM($H63,INDEX(cockpit!$J$6:$Y$16,MATCH($D62,cockpit!$J$6:$J$16,0),MATCH($C$12,cockpit!$J$6:$Y$6,0)))))),G66*$D68,0)</f>
        <v>0</v>
      </c>
      <c r="H68" s="109">
        <f>IF(OR(H$2=$H63,AND(H$2&gt;$H63,H$2&lt;(SUM($H63,INDEX(cockpit!$J$6:$Y$16,MATCH($D62,cockpit!$J$6:$J$16,0),MATCH($C$12,cockpit!$J$6:$Y$6,0)))))),H66*$D68,0)</f>
        <v>0</v>
      </c>
      <c r="I68" s="109">
        <f>IF(OR(I$2=$H63,AND(I$2&gt;$H63,I$2&lt;(SUM($H63,INDEX(cockpit!$J$6:$Y$16,MATCH($D62,cockpit!$J$6:$J$16,0),MATCH($C$12,cockpit!$J$6:$Y$6,0)))))),I66*$D68,0)</f>
        <v>0</v>
      </c>
      <c r="J68" s="109">
        <f>IF(OR(J$2=$H63,AND(J$2&gt;$H63,J$2&lt;(SUM($H63,INDEX(cockpit!$J$6:$Y$16,MATCH($D62,cockpit!$J$6:$J$16,0),MATCH($C$12,cockpit!$J$6:$Y$6,0)))))),J66*$D68,0)</f>
        <v>0</v>
      </c>
      <c r="K68" s="109">
        <f>IF(OR(K$2=$H63,AND(K$2&gt;$H63,K$2&lt;(SUM($H63,INDEX(cockpit!$J$6:$Y$16,MATCH($D62,cockpit!$J$6:$J$16,0),MATCH($C$12,cockpit!$J$6:$Y$6,0)))))),K66*$D68,0)</f>
        <v>0</v>
      </c>
      <c r="L68" s="109">
        <f>IF(OR(L$2=$H63,AND(L$2&gt;$H63,L$2&lt;(SUM($H63,INDEX(cockpit!$J$6:$Y$16,MATCH($D62,cockpit!$J$6:$J$16,0),MATCH($C$12,cockpit!$J$6:$Y$6,0)))))),L66*$D68,0)</f>
        <v>0</v>
      </c>
      <c r="M68" s="109">
        <f>IF(OR(M$2=$H63,AND(M$2&gt;$H63,M$2&lt;(SUM($H63,INDEX(cockpit!$J$6:$Y$16,MATCH($D62,cockpit!$J$6:$J$16,0),MATCH($C$12,cockpit!$J$6:$Y$6,0)))))),M66*$D68,0)</f>
        <v>0</v>
      </c>
      <c r="N68" s="109">
        <f>IF(OR(N$2=$H63,AND(N$2&gt;$H63,N$2&lt;(SUM($H63,INDEX(cockpit!$J$6:$Y$16,MATCH($D62,cockpit!$J$6:$J$16,0),MATCH($C$12,cockpit!$J$6:$Y$6,0)))))),N66*$D68,0)</f>
        <v>0</v>
      </c>
      <c r="O68" s="109">
        <f>IF(OR(O$2=$H63,AND(O$2&gt;$H63,O$2&lt;(SUM($H63,INDEX(cockpit!$J$6:$Y$16,MATCH($D62,cockpit!$J$6:$J$16,0),MATCH($C$12,cockpit!$J$6:$Y$6,0)))))),O66*$D68,0)</f>
        <v>0</v>
      </c>
    </row>
    <row r="69" spans="2:16" ht="9" customHeight="1">
      <c r="B69" s="108" t="s">
        <v>181</v>
      </c>
      <c r="C69" s="855"/>
      <c r="D69" s="106"/>
      <c r="E69" s="109">
        <f>SUM($E68:E68)</f>
        <v>0</v>
      </c>
      <c r="F69" s="109">
        <f>SUM($E68:F68)</f>
        <v>0</v>
      </c>
      <c r="G69" s="109">
        <f>SUM($E68:G68)</f>
        <v>0</v>
      </c>
      <c r="H69" s="109">
        <f>SUM($E68:H68)</f>
        <v>0</v>
      </c>
      <c r="I69" s="109">
        <f>SUM($E68:I68)</f>
        <v>0</v>
      </c>
      <c r="J69" s="109">
        <f>SUM($E68:J68)</f>
        <v>0</v>
      </c>
      <c r="K69" s="109">
        <f>SUM($E68:K68)</f>
        <v>0</v>
      </c>
      <c r="L69" s="109">
        <f>SUM($E68:L68)</f>
        <v>0</v>
      </c>
      <c r="M69" s="109">
        <f>SUM($E68:M68)</f>
        <v>0</v>
      </c>
      <c r="N69" s="109">
        <f>SUM($E68:N68)</f>
        <v>0</v>
      </c>
      <c r="O69" s="109">
        <f>SUM($E68:O68)</f>
        <v>0</v>
      </c>
    </row>
    <row r="70" spans="2:16" ht="9" customHeight="1">
      <c r="B70" s="108" t="s">
        <v>685</v>
      </c>
      <c r="C70" s="855"/>
      <c r="D70" s="106"/>
      <c r="E70" s="109">
        <f t="shared" ref="E70:O70" si="32">E69/Hotelaverageroomsize</f>
        <v>0</v>
      </c>
      <c r="F70" s="109">
        <f t="shared" si="32"/>
        <v>0</v>
      </c>
      <c r="G70" s="109">
        <f t="shared" si="32"/>
        <v>0</v>
      </c>
      <c r="H70" s="109">
        <f t="shared" si="32"/>
        <v>0</v>
      </c>
      <c r="I70" s="109">
        <f t="shared" si="32"/>
        <v>0</v>
      </c>
      <c r="J70" s="109">
        <f t="shared" si="32"/>
        <v>0</v>
      </c>
      <c r="K70" s="109">
        <f t="shared" si="32"/>
        <v>0</v>
      </c>
      <c r="L70" s="109">
        <f t="shared" si="32"/>
        <v>0</v>
      </c>
      <c r="M70" s="109">
        <f t="shared" si="32"/>
        <v>0</v>
      </c>
      <c r="N70" s="109">
        <f t="shared" si="32"/>
        <v>0</v>
      </c>
      <c r="O70" s="109">
        <f t="shared" si="32"/>
        <v>0</v>
      </c>
    </row>
    <row r="71" spans="2:16" ht="9" customHeight="1">
      <c r="B71" s="106"/>
      <c r="C71" s="855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</row>
    <row r="72" spans="2:16" ht="9" customHeight="1">
      <c r="B72" s="108" t="s">
        <v>233</v>
      </c>
      <c r="C72" s="855"/>
      <c r="D72" s="111">
        <f>(hoteladr*(1-$K61))+((hoteladr*(1+premiumprices)*$K61))</f>
        <v>165</v>
      </c>
      <c r="E72" s="112">
        <f t="shared" ref="E72:O72" si="33">(E70*(($D72)*((1+Inflation)^(E$2-1))))*365</f>
        <v>0</v>
      </c>
      <c r="F72" s="112">
        <f t="shared" si="33"/>
        <v>0</v>
      </c>
      <c r="G72" s="112">
        <f t="shared" si="33"/>
        <v>0</v>
      </c>
      <c r="H72" s="112">
        <f t="shared" si="33"/>
        <v>0</v>
      </c>
      <c r="I72" s="112">
        <f t="shared" si="33"/>
        <v>0</v>
      </c>
      <c r="J72" s="112">
        <f t="shared" si="33"/>
        <v>0</v>
      </c>
      <c r="K72" s="112">
        <f t="shared" si="33"/>
        <v>0</v>
      </c>
      <c r="L72" s="112">
        <f t="shared" si="33"/>
        <v>0</v>
      </c>
      <c r="M72" s="112">
        <f t="shared" si="33"/>
        <v>0</v>
      </c>
      <c r="N72" s="112">
        <f t="shared" si="33"/>
        <v>0</v>
      </c>
      <c r="O72" s="112">
        <f t="shared" si="33"/>
        <v>0</v>
      </c>
    </row>
    <row r="73" spans="2:16" ht="9" customHeight="1">
      <c r="B73" s="108" t="s">
        <v>123</v>
      </c>
      <c r="C73" s="855"/>
      <c r="D73" s="110">
        <f>INDEX(cockpit!$J$6:$Y$16,MATCH($D62,cockpit!$J$6:$J$16,0),MATCH($B73,cockpit!$J$6:$Y$6,0))</f>
        <v>0.35</v>
      </c>
      <c r="E73" s="112">
        <f t="shared" ref="E73:O73" si="34">-IF($D73&gt;1,E65*($D73*((1+Inflation)^(E$2-1))),E72*(1-$D73))</f>
        <v>0</v>
      </c>
      <c r="F73" s="112">
        <f t="shared" si="34"/>
        <v>0</v>
      </c>
      <c r="G73" s="112">
        <f t="shared" si="34"/>
        <v>0</v>
      </c>
      <c r="H73" s="112">
        <f t="shared" si="34"/>
        <v>0</v>
      </c>
      <c r="I73" s="112">
        <f t="shared" si="34"/>
        <v>0</v>
      </c>
      <c r="J73" s="112">
        <f t="shared" si="34"/>
        <v>0</v>
      </c>
      <c r="K73" s="112">
        <f t="shared" si="34"/>
        <v>0</v>
      </c>
      <c r="L73" s="112">
        <f t="shared" si="34"/>
        <v>0</v>
      </c>
      <c r="M73" s="112">
        <f t="shared" si="34"/>
        <v>0</v>
      </c>
      <c r="N73" s="112">
        <f t="shared" si="34"/>
        <v>0</v>
      </c>
      <c r="O73" s="112">
        <f t="shared" si="34"/>
        <v>0</v>
      </c>
    </row>
    <row r="74" spans="2:16" ht="9" customHeight="1">
      <c r="B74" s="108" t="s">
        <v>231</v>
      </c>
      <c r="C74" s="855"/>
      <c r="D74" s="110">
        <f>hotelfoodandbeverageincome</f>
        <v>0.1</v>
      </c>
      <c r="E74" s="112">
        <f t="shared" ref="E74:O74" si="35">E72*$D74*hotelfoodandbeveragemargin</f>
        <v>0</v>
      </c>
      <c r="F74" s="112">
        <f t="shared" si="35"/>
        <v>0</v>
      </c>
      <c r="G74" s="112">
        <f t="shared" si="35"/>
        <v>0</v>
      </c>
      <c r="H74" s="112">
        <f t="shared" si="35"/>
        <v>0</v>
      </c>
      <c r="I74" s="112">
        <f t="shared" si="35"/>
        <v>0</v>
      </c>
      <c r="J74" s="112">
        <f t="shared" si="35"/>
        <v>0</v>
      </c>
      <c r="K74" s="112">
        <f t="shared" si="35"/>
        <v>0</v>
      </c>
      <c r="L74" s="112">
        <f t="shared" si="35"/>
        <v>0</v>
      </c>
      <c r="M74" s="112">
        <f t="shared" si="35"/>
        <v>0</v>
      </c>
      <c r="N74" s="112">
        <f t="shared" si="35"/>
        <v>0</v>
      </c>
      <c r="O74" s="112">
        <f t="shared" si="35"/>
        <v>0</v>
      </c>
    </row>
    <row r="75" spans="2:16" ht="9" customHeight="1">
      <c r="B75" s="108" t="s">
        <v>232</v>
      </c>
      <c r="C75" s="855"/>
      <c r="D75" s="110">
        <f>hotelotherincome</f>
        <v>0.05</v>
      </c>
      <c r="E75" s="113">
        <f t="shared" ref="E75:O75" si="36">E72*$D75*hotelotherincomemargin</f>
        <v>0</v>
      </c>
      <c r="F75" s="113">
        <f t="shared" si="36"/>
        <v>0</v>
      </c>
      <c r="G75" s="113">
        <f t="shared" si="36"/>
        <v>0</v>
      </c>
      <c r="H75" s="113">
        <f t="shared" si="36"/>
        <v>0</v>
      </c>
      <c r="I75" s="113">
        <f t="shared" si="36"/>
        <v>0</v>
      </c>
      <c r="J75" s="113">
        <f t="shared" si="36"/>
        <v>0</v>
      </c>
      <c r="K75" s="113">
        <f t="shared" si="36"/>
        <v>0</v>
      </c>
      <c r="L75" s="113">
        <f t="shared" si="36"/>
        <v>0</v>
      </c>
      <c r="M75" s="113">
        <f t="shared" si="36"/>
        <v>0</v>
      </c>
      <c r="N75" s="113">
        <f t="shared" si="36"/>
        <v>0</v>
      </c>
      <c r="O75" s="113">
        <f t="shared" si="36"/>
        <v>0</v>
      </c>
    </row>
    <row r="76" spans="2:16" ht="9" customHeight="1">
      <c r="B76" s="114" t="s">
        <v>167</v>
      </c>
      <c r="C76" s="855"/>
      <c r="D76" s="106"/>
      <c r="E76" s="112">
        <f t="shared" ref="E76:O76" si="37">SUM(E72:E75)</f>
        <v>0</v>
      </c>
      <c r="F76" s="112">
        <f t="shared" si="37"/>
        <v>0</v>
      </c>
      <c r="G76" s="112">
        <f t="shared" si="37"/>
        <v>0</v>
      </c>
      <c r="H76" s="112">
        <f t="shared" si="37"/>
        <v>0</v>
      </c>
      <c r="I76" s="112">
        <f t="shared" si="37"/>
        <v>0</v>
      </c>
      <c r="J76" s="112">
        <f t="shared" si="37"/>
        <v>0</v>
      </c>
      <c r="K76" s="112">
        <f t="shared" si="37"/>
        <v>0</v>
      </c>
      <c r="L76" s="112">
        <f t="shared" si="37"/>
        <v>0</v>
      </c>
      <c r="M76" s="112">
        <f t="shared" si="37"/>
        <v>0</v>
      </c>
      <c r="N76" s="112">
        <f t="shared" si="37"/>
        <v>0</v>
      </c>
      <c r="O76" s="112">
        <f t="shared" si="37"/>
        <v>0</v>
      </c>
    </row>
    <row r="77" spans="2:16" ht="9" customHeight="1">
      <c r="B77" s="106"/>
      <c r="C77" s="855"/>
      <c r="D77" s="106"/>
      <c r="E77" s="187">
        <f t="shared" ref="E77:O77" si="38">IFERROR(E76/SUM(E72:E72),0)</f>
        <v>0</v>
      </c>
      <c r="F77" s="187">
        <f t="shared" si="38"/>
        <v>0</v>
      </c>
      <c r="G77" s="187">
        <f t="shared" si="38"/>
        <v>0</v>
      </c>
      <c r="H77" s="187">
        <f t="shared" si="38"/>
        <v>0</v>
      </c>
      <c r="I77" s="187">
        <f t="shared" si="38"/>
        <v>0</v>
      </c>
      <c r="J77" s="187">
        <f t="shared" si="38"/>
        <v>0</v>
      </c>
      <c r="K77" s="187">
        <f t="shared" si="38"/>
        <v>0</v>
      </c>
      <c r="L77" s="187">
        <f t="shared" si="38"/>
        <v>0</v>
      </c>
      <c r="M77" s="187">
        <f t="shared" si="38"/>
        <v>0</v>
      </c>
      <c r="N77" s="187">
        <f t="shared" si="38"/>
        <v>0</v>
      </c>
      <c r="O77" s="187">
        <f t="shared" si="38"/>
        <v>0</v>
      </c>
    </row>
    <row r="78" spans="2:16" ht="9" customHeight="1">
      <c r="B78" s="108" t="s">
        <v>168</v>
      </c>
      <c r="C78" s="855"/>
      <c r="D78" s="115">
        <f>INDEX(cockpit!$J$6:$Y$16,MATCH($D62,cockpit!$J$6:$J$16,0),MATCH($B78,cockpit!$J$6:$Y$6,0))</f>
        <v>0.05</v>
      </c>
      <c r="E78" s="112">
        <f t="shared" ref="E78:O78" si="39">-E66*$D78</f>
        <v>0</v>
      </c>
      <c r="F78" s="112">
        <f t="shared" si="39"/>
        <v>0</v>
      </c>
      <c r="G78" s="112">
        <f t="shared" si="39"/>
        <v>0</v>
      </c>
      <c r="H78" s="112">
        <f t="shared" si="39"/>
        <v>0</v>
      </c>
      <c r="I78" s="112">
        <f t="shared" si="39"/>
        <v>0</v>
      </c>
      <c r="J78" s="112">
        <f t="shared" si="39"/>
        <v>0</v>
      </c>
      <c r="K78" s="112">
        <f t="shared" si="39"/>
        <v>0</v>
      </c>
      <c r="L78" s="112">
        <f t="shared" si="39"/>
        <v>0</v>
      </c>
      <c r="M78" s="112">
        <f t="shared" si="39"/>
        <v>0</v>
      </c>
      <c r="N78" s="112">
        <f t="shared" si="39"/>
        <v>0</v>
      </c>
      <c r="O78" s="112">
        <f t="shared" si="39"/>
        <v>0</v>
      </c>
    </row>
    <row r="79" spans="2:16" ht="9" customHeight="1">
      <c r="B79" s="108" t="s">
        <v>162</v>
      </c>
      <c r="C79" s="855"/>
      <c r="D79" s="115">
        <f>INDEX(cockpit!$J$6:$Y$16,MATCH($D62,cockpit!$J$6:$J$16,0),MATCH($B79,cockpit!$J$6:$Y$6,0))</f>
        <v>0</v>
      </c>
      <c r="E79" s="113">
        <f t="shared" ref="E79:O79" si="40">-E69*$D79</f>
        <v>0</v>
      </c>
      <c r="F79" s="113">
        <f t="shared" si="40"/>
        <v>0</v>
      </c>
      <c r="G79" s="113">
        <f t="shared" si="40"/>
        <v>0</v>
      </c>
      <c r="H79" s="113">
        <f t="shared" si="40"/>
        <v>0</v>
      </c>
      <c r="I79" s="113">
        <f t="shared" si="40"/>
        <v>0</v>
      </c>
      <c r="J79" s="113">
        <f t="shared" si="40"/>
        <v>0</v>
      </c>
      <c r="K79" s="113">
        <f t="shared" si="40"/>
        <v>0</v>
      </c>
      <c r="L79" s="113">
        <f t="shared" si="40"/>
        <v>0</v>
      </c>
      <c r="M79" s="113">
        <f t="shared" si="40"/>
        <v>0</v>
      </c>
      <c r="N79" s="113">
        <f t="shared" si="40"/>
        <v>0</v>
      </c>
      <c r="O79" s="113">
        <f t="shared" si="40"/>
        <v>0</v>
      </c>
    </row>
    <row r="80" spans="2:16" ht="9" customHeight="1">
      <c r="B80" s="114" t="s">
        <v>195</v>
      </c>
      <c r="C80" s="855"/>
      <c r="D80" s="115"/>
      <c r="E80" s="112">
        <f>SUM(E78:E79)</f>
        <v>0</v>
      </c>
      <c r="F80" s="112">
        <f t="shared" ref="F80:O80" si="41">SUM(F78:F79)</f>
        <v>0</v>
      </c>
      <c r="G80" s="112">
        <f t="shared" si="41"/>
        <v>0</v>
      </c>
      <c r="H80" s="112">
        <f t="shared" si="41"/>
        <v>0</v>
      </c>
      <c r="I80" s="112">
        <f t="shared" si="41"/>
        <v>0</v>
      </c>
      <c r="J80" s="112">
        <f t="shared" si="41"/>
        <v>0</v>
      </c>
      <c r="K80" s="112">
        <f t="shared" si="41"/>
        <v>0</v>
      </c>
      <c r="L80" s="112">
        <f t="shared" si="41"/>
        <v>0</v>
      </c>
      <c r="M80" s="112">
        <f t="shared" si="41"/>
        <v>0</v>
      </c>
      <c r="N80" s="112">
        <f t="shared" si="41"/>
        <v>0</v>
      </c>
      <c r="O80" s="112">
        <f t="shared" si="41"/>
        <v>0</v>
      </c>
    </row>
    <row r="81" spans="2:15" ht="9" customHeight="1">
      <c r="B81" s="108"/>
      <c r="C81" s="855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</row>
    <row r="82" spans="2:15" ht="9" customHeight="1">
      <c r="B82" s="108" t="s">
        <v>170</v>
      </c>
      <c r="C82" s="855"/>
      <c r="D82" s="111">
        <f>(hotelconstructioncostPSF*(1-$K61))+((hotelconstructioncostPSF*(1+premiumprices)*$K61))</f>
        <v>225</v>
      </c>
      <c r="E82" s="112">
        <f>-IF(OR(E$2=$H61,E$2=$H62,AND(E$2&gt;$H61,E$2&lt;$H62)),(INDEX(summary!$A$2:$D$24,MATCH($D62,summary!$A$2:$A$24,0),MATCH($D61,summary!$A$2:$D$2,0)))/constructiontimephase3)*($D82*((1+Inflation)^(E$2-1)))*(1+Developerfee)</f>
        <v>0</v>
      </c>
      <c r="F82" s="112">
        <f>-IF(OR(F$2=$H61,F$2=$H62,AND(F$2&gt;$H61,F$2&lt;$H62)),(INDEX(summary!$A$2:$D$24,MATCH($D62,summary!$A$2:$A$24,0),MATCH($D61,summary!$A$2:$D$2,0)))/constructiontimephase3)*($D82*((1+Inflation)^(F$2-1)))*(1+Developerfee)</f>
        <v>0</v>
      </c>
      <c r="G82" s="112">
        <f>-IF(OR(G$2=$H61,G$2=$H62,AND(G$2&gt;$H61,G$2&lt;$H62)),(INDEX(summary!$A$2:$D$24,MATCH($D62,summary!$A$2:$A$24,0),MATCH($D61,summary!$A$2:$D$2,0)))/constructiontimephase3)*($D82*((1+Inflation)^(G$2-1)))*(1+Developerfee)</f>
        <v>0</v>
      </c>
      <c r="H82" s="112">
        <f>-IF(OR(H$2=$H61,H$2=$H62,AND(H$2&gt;$H61,H$2&lt;$H62)),(INDEX(summary!$A$2:$D$24,MATCH($D62,summary!$A$2:$A$24,0),MATCH($D61,summary!$A$2:$D$2,0)))/constructiontimephase3)*($D82*((1+Inflation)^(H$2-1)))*(1+Developerfee)</f>
        <v>0</v>
      </c>
      <c r="I82" s="112">
        <f>-IF(OR(I$2=$H61,I$2=$H62,AND(I$2&gt;$H61,I$2&lt;$H62)),(INDEX(summary!$A$2:$D$24,MATCH($D62,summary!$A$2:$A$24,0),MATCH($D61,summary!$A$2:$D$2,0)))/constructiontimephase3)*($D82*((1+Inflation)^(I$2-1)))*(1+Developerfee)</f>
        <v>0</v>
      </c>
      <c r="J82" s="112">
        <f>-IF(OR(J$2=$H61,J$2=$H62,AND(J$2&gt;$H61,J$2&lt;$H62)),(INDEX(summary!$A$2:$D$24,MATCH($D62,summary!$A$2:$A$24,0),MATCH($D61,summary!$A$2:$D$2,0)))/constructiontimephase3)*($D82*((1+Inflation)^(J$2-1)))*(1+Developerfee)</f>
        <v>0</v>
      </c>
      <c r="K82" s="112">
        <f>-IF(OR(K$2=$H61,K$2=$H62,AND(K$2&gt;$H61,K$2&lt;$H62)),(INDEX(summary!$A$2:$D$24,MATCH($D62,summary!$A$2:$A$24,0),MATCH($D61,summary!$A$2:$D$2,0)))/constructiontimephase3)*($D82*((1+Inflation)^(K$2-1)))*(1+Developerfee)</f>
        <v>0</v>
      </c>
      <c r="L82" s="112">
        <f>-IF(OR(L$2=$H61,L$2=$H62,AND(L$2&gt;$H61,L$2&lt;$H62)),(INDEX(summary!$A$2:$D$24,MATCH($D62,summary!$A$2:$A$24,0),MATCH($D61,summary!$A$2:$D$2,0)))/constructiontimephase3)*($D82*((1+Inflation)^(L$2-1)))*(1+Developerfee)</f>
        <v>0</v>
      </c>
      <c r="M82" s="112">
        <f>-IF(OR(M$2=$H61,M$2=$H62,AND(M$2&gt;$H61,M$2&lt;$H62)),(INDEX(summary!$A$2:$D$24,MATCH($D62,summary!$A$2:$A$24,0),MATCH($D61,summary!$A$2:$D$2,0)))/constructiontimephase3)*($D82*((1+Inflation)^(M$2-1)))*(1+Developerfee)</f>
        <v>0</v>
      </c>
      <c r="N82" s="112">
        <f>-IF(OR(N$2=$H61,N$2=$H62,AND(N$2&gt;$H61,N$2&lt;$H62)),(INDEX(summary!$A$2:$D$24,MATCH($D62,summary!$A$2:$A$24,0),MATCH($D61,summary!$A$2:$D$2,0)))/constructiontimephase3)*($D82*((1+Inflation)^(N$2-1)))*(1+Developerfee)</f>
        <v>0</v>
      </c>
      <c r="O82" s="112">
        <f>-IF(OR(O$2=$H61,O$2=$H62,AND(O$2&gt;$H61,O$2&lt;$H62)),(INDEX(summary!$A$2:$D$24,MATCH($D62,summary!$A$2:$A$24,0),MATCH($D61,summary!$A$2:$D$2,0)))/constructiontimephase3)*($D82*((1+Inflation)^(O$2-1)))*(1+Developerfee)</f>
        <v>0</v>
      </c>
    </row>
    <row r="83" spans="2:15" ht="9" customHeight="1">
      <c r="B83" s="108" t="s">
        <v>197</v>
      </c>
      <c r="C83" s="855" t="s">
        <v>189</v>
      </c>
      <c r="D83" s="122">
        <f>(INDEX(cockpit!$J$6:$Y$16,MATCH($D62,cockpit!$J$6:$J$16,0),MATCH($C83,cockpit!$J$6:$Y$6,0))*(1-$K61))+((INDEX(cockpit!$J$6:$Y$16,MATCH($D62,cockpit!$J$6:$J$16,0),MATCH($C83,cockpit!$J$6:$Y$6,0))-(Premiumexitcaprate))*$K61)</f>
        <v>0.08</v>
      </c>
      <c r="E83" s="113">
        <f t="shared" ref="E83:O83" si="42">IF(E$2=dispositionyear,E76/$D83,0)*(1-Closingcosts)</f>
        <v>0</v>
      </c>
      <c r="F83" s="113">
        <f t="shared" si="42"/>
        <v>0</v>
      </c>
      <c r="G83" s="113">
        <f t="shared" si="42"/>
        <v>0</v>
      </c>
      <c r="H83" s="113">
        <f t="shared" si="42"/>
        <v>0</v>
      </c>
      <c r="I83" s="113">
        <f t="shared" si="42"/>
        <v>0</v>
      </c>
      <c r="J83" s="113">
        <f t="shared" si="42"/>
        <v>0</v>
      </c>
      <c r="K83" s="113">
        <f t="shared" si="42"/>
        <v>0</v>
      </c>
      <c r="L83" s="113">
        <f t="shared" si="42"/>
        <v>0</v>
      </c>
      <c r="M83" s="113">
        <f t="shared" si="42"/>
        <v>0</v>
      </c>
      <c r="N83" s="113">
        <f t="shared" si="42"/>
        <v>0</v>
      </c>
      <c r="O83" s="113">
        <f t="shared" si="42"/>
        <v>0</v>
      </c>
    </row>
    <row r="84" spans="2:15" ht="9" customHeight="1">
      <c r="B84" s="114" t="s">
        <v>196</v>
      </c>
      <c r="C84" s="855"/>
      <c r="D84" s="110"/>
      <c r="E84" s="112">
        <f>SUM(E82:E83)</f>
        <v>0</v>
      </c>
      <c r="F84" s="112">
        <f t="shared" ref="F84:O84" si="43">SUM(F82:F83)</f>
        <v>0</v>
      </c>
      <c r="G84" s="112">
        <f t="shared" si="43"/>
        <v>0</v>
      </c>
      <c r="H84" s="112">
        <f t="shared" si="43"/>
        <v>0</v>
      </c>
      <c r="I84" s="112">
        <f t="shared" si="43"/>
        <v>0</v>
      </c>
      <c r="J84" s="112">
        <f t="shared" si="43"/>
        <v>0</v>
      </c>
      <c r="K84" s="112">
        <f t="shared" si="43"/>
        <v>0</v>
      </c>
      <c r="L84" s="112">
        <f t="shared" si="43"/>
        <v>0</v>
      </c>
      <c r="M84" s="112">
        <f t="shared" si="43"/>
        <v>0</v>
      </c>
      <c r="N84" s="112">
        <f t="shared" si="43"/>
        <v>0</v>
      </c>
      <c r="O84" s="112">
        <f t="shared" si="43"/>
        <v>0</v>
      </c>
    </row>
    <row r="85" spans="2:15" ht="9" customHeight="1">
      <c r="B85" s="108"/>
      <c r="C85" s="855"/>
      <c r="D85" s="110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</row>
    <row r="86" spans="2:15" ht="9" customHeight="1">
      <c r="B86" s="114" t="s">
        <v>169</v>
      </c>
      <c r="C86" s="856"/>
      <c r="D86" s="116">
        <f ca="1">IFERROR(IRR(OFFSET(E86,0,0,1,Investmenthorizon+1)),0)</f>
        <v>0</v>
      </c>
      <c r="E86" s="117">
        <f>SUM(E76,E80,E84)</f>
        <v>0</v>
      </c>
      <c r="F86" s="117">
        <f t="shared" ref="F86:O86" si="44">SUM(F76,F80,F84)</f>
        <v>0</v>
      </c>
      <c r="G86" s="117">
        <f t="shared" si="44"/>
        <v>0</v>
      </c>
      <c r="H86" s="117">
        <f t="shared" si="44"/>
        <v>0</v>
      </c>
      <c r="I86" s="117">
        <f t="shared" si="44"/>
        <v>0</v>
      </c>
      <c r="J86" s="117">
        <f t="shared" si="44"/>
        <v>0</v>
      </c>
      <c r="K86" s="117">
        <f t="shared" si="44"/>
        <v>0</v>
      </c>
      <c r="L86" s="117">
        <f t="shared" si="44"/>
        <v>0</v>
      </c>
      <c r="M86" s="117">
        <f t="shared" si="44"/>
        <v>0</v>
      </c>
      <c r="N86" s="117">
        <f t="shared" si="44"/>
        <v>0</v>
      </c>
      <c r="O86" s="117">
        <f t="shared" si="44"/>
        <v>0</v>
      </c>
    </row>
    <row r="87" spans="2:15" ht="9" customHeight="1">
      <c r="B87" s="114"/>
      <c r="C87" s="856"/>
      <c r="D87" s="118"/>
      <c r="E87" s="106"/>
      <c r="F87" s="106"/>
      <c r="G87" s="106"/>
      <c r="H87" s="119"/>
      <c r="I87" s="106"/>
      <c r="J87" s="106"/>
      <c r="K87" s="106"/>
      <c r="L87" s="106"/>
      <c r="M87" s="106"/>
      <c r="N87" s="106"/>
      <c r="O87" s="106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2A26F-ACC1-4803-A9DA-BED57EB3C8F2}">
  <sheetPr>
    <tabColor theme="9" tint="0.59999389629810485"/>
  </sheetPr>
  <dimension ref="B2:Q74"/>
  <sheetViews>
    <sheetView showGridLines="0" topLeftCell="B1" zoomScale="110" zoomScaleNormal="110" workbookViewId="0">
      <selection activeCell="N27" sqref="N27"/>
    </sheetView>
  </sheetViews>
  <sheetFormatPr defaultRowHeight="9" customHeight="1"/>
  <cols>
    <col min="2" max="2" width="24.1796875" bestFit="1" customWidth="1"/>
    <col min="3" max="3" width="1.1796875" style="857" customWidth="1"/>
    <col min="5" max="5" width="9" bestFit="1" customWidth="1"/>
    <col min="6" max="7" width="11.453125" bestFit="1" customWidth="1"/>
    <col min="8" max="8" width="10.36328125" bestFit="1" customWidth="1"/>
    <col min="9" max="9" width="10.26953125" customWidth="1"/>
    <col min="10" max="14" width="11.08984375" bestFit="1" customWidth="1"/>
    <col min="15" max="15" width="11.7265625" bestFit="1" customWidth="1"/>
    <col min="16" max="16" width="14.90625" bestFit="1" customWidth="1"/>
    <col min="17" max="17" width="13.90625" bestFit="1" customWidth="1"/>
  </cols>
  <sheetData>
    <row r="2" spans="2:17" ht="9" customHeight="1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7" ht="9" customHeight="1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7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7" ht="9" customHeight="1">
      <c r="B5" s="126" t="s">
        <v>89</v>
      </c>
      <c r="C5" s="851"/>
      <c r="D5" s="133">
        <f>Phase1</f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f>summary!AF20</f>
        <v>0</v>
      </c>
      <c r="L5" s="106"/>
      <c r="M5" s="106"/>
      <c r="N5" s="106"/>
      <c r="O5" s="106"/>
    </row>
    <row r="6" spans="2:17" ht="9" customHeight="1">
      <c r="B6" s="126" t="s">
        <v>93</v>
      </c>
      <c r="C6" s="851"/>
      <c r="D6" s="130" t="s">
        <v>284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7" ht="9" customHeight="1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7" ht="9" customHeight="1">
      <c r="B8" s="106"/>
      <c r="C8" s="853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7" ht="9" customHeight="1">
      <c r="B9" s="108" t="s">
        <v>182</v>
      </c>
      <c r="C9" s="854"/>
      <c r="D9" s="106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126070.70019999999</v>
      </c>
      <c r="J9" s="109">
        <f>IF(OR(J$2=$H7,J$2&gt;$H7),INDEX(summary!$A$2:$D$24,MATCH($D6,summary!$A$2:$A$24,0),MATCH($D5,summary!$A$2:$D$2,0)),0)</f>
        <v>126070.70019999999</v>
      </c>
      <c r="K9" s="109">
        <f>IF(OR(K$2=$H7,K$2&gt;$H7),INDEX(summary!$A$2:$D$24,MATCH($D6,summary!$A$2:$A$24,0),MATCH($D5,summary!$A$2:$D$2,0)),0)</f>
        <v>126070.70019999999</v>
      </c>
      <c r="L9" s="109">
        <f>IF(OR(L$2=$H7,L$2&gt;$H7),INDEX(summary!$A$2:$D$24,MATCH($D6,summary!$A$2:$A$24,0),MATCH($D5,summary!$A$2:$D$2,0)),0)</f>
        <v>126070.70019999999</v>
      </c>
      <c r="M9" s="109">
        <f>IF(OR(M$2=$H7,M$2&gt;$H7),INDEX(summary!$A$2:$D$24,MATCH($D6,summary!$A$2:$A$24,0),MATCH($D5,summary!$A$2:$D$2,0)),0)</f>
        <v>126070.70019999999</v>
      </c>
      <c r="N9" s="109">
        <f>IF(OR(N$2=$H7,N$2&gt;$H7),INDEX(summary!$A$2:$D$24,MATCH($D6,summary!$A$2:$A$24,0),MATCH($D5,summary!$A$2:$D$2,0)),0)</f>
        <v>126070.70019999999</v>
      </c>
      <c r="O9" s="109">
        <f>IF(OR(O$2=$H7,O$2&gt;$H7),INDEX(summary!$A$2:$D$24,MATCH($D6,summary!$A$2:$A$24,0),MATCH($D5,summary!$A$2:$D$2,0)),0)</f>
        <v>126070.70019999999</v>
      </c>
    </row>
    <row r="10" spans="2:17" ht="9" customHeight="1">
      <c r="B10" s="106"/>
      <c r="C10" s="855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</row>
    <row r="11" spans="2:17" ht="9" customHeight="1">
      <c r="B11" s="108" t="s">
        <v>288</v>
      </c>
      <c r="C11" s="855"/>
      <c r="D11" s="111">
        <f>entrancefee</f>
        <v>1</v>
      </c>
      <c r="E11" s="112">
        <f t="shared" ref="E11:O11" si="0">IF(E9&gt;0,annualvisitors*(($D11)*((1+Inflation)^(E$2-1))),0)</f>
        <v>0</v>
      </c>
      <c r="F11" s="112">
        <f t="shared" si="0"/>
        <v>0</v>
      </c>
      <c r="G11" s="112">
        <f t="shared" si="0"/>
        <v>0</v>
      </c>
      <c r="H11" s="112">
        <f t="shared" si="0"/>
        <v>0</v>
      </c>
      <c r="I11" s="112">
        <f t="shared" si="0"/>
        <v>193670.46</v>
      </c>
      <c r="J11" s="112">
        <f t="shared" si="0"/>
        <v>197543.86919999999</v>
      </c>
      <c r="K11" s="112">
        <f t="shared" si="0"/>
        <v>201494.74658400001</v>
      </c>
      <c r="L11" s="112">
        <f t="shared" si="0"/>
        <v>205524.64151568001</v>
      </c>
      <c r="M11" s="112">
        <f t="shared" si="0"/>
        <v>209635.13434599357</v>
      </c>
      <c r="N11" s="112">
        <f t="shared" si="0"/>
        <v>213827.83703291346</v>
      </c>
      <c r="O11" s="112">
        <f t="shared" si="0"/>
        <v>218104.39377357173</v>
      </c>
    </row>
    <row r="12" spans="2:17" ht="9" customHeight="1">
      <c r="B12" s="108" t="s">
        <v>290</v>
      </c>
      <c r="C12" s="855"/>
      <c r="D12" s="216">
        <f>giftshopincome</f>
        <v>1000</v>
      </c>
      <c r="E12" s="112">
        <f t="shared" ref="E12:O12" si="1">IF(E9&gt;0,($D12*((1+Inflation)^(E$2-1))),0)</f>
        <v>0</v>
      </c>
      <c r="F12" s="112">
        <f t="shared" si="1"/>
        <v>0</v>
      </c>
      <c r="G12" s="112">
        <f t="shared" si="1"/>
        <v>0</v>
      </c>
      <c r="H12" s="112">
        <f t="shared" si="1"/>
        <v>0</v>
      </c>
      <c r="I12" s="112">
        <f t="shared" si="1"/>
        <v>1061.2079999999999</v>
      </c>
      <c r="J12" s="112">
        <f t="shared" si="1"/>
        <v>1082.4321600000001</v>
      </c>
      <c r="K12" s="112">
        <f t="shared" si="1"/>
        <v>1104.0808032</v>
      </c>
      <c r="L12" s="112">
        <f t="shared" si="1"/>
        <v>1126.1624192640002</v>
      </c>
      <c r="M12" s="112">
        <f t="shared" si="1"/>
        <v>1148.6856676492798</v>
      </c>
      <c r="N12" s="112">
        <f t="shared" si="1"/>
        <v>1171.6593810022655</v>
      </c>
      <c r="O12" s="112">
        <f t="shared" si="1"/>
        <v>1195.0925686223109</v>
      </c>
      <c r="P12" s="192"/>
    </row>
    <row r="13" spans="2:17" ht="9" customHeight="1">
      <c r="B13" s="108" t="s">
        <v>193</v>
      </c>
      <c r="C13" s="855"/>
      <c r="D13" s="216">
        <f>cockpit!F83</f>
        <v>26533.333333333332</v>
      </c>
      <c r="E13" s="113">
        <f t="shared" ref="E13:O13" si="2">-IF(E9&gt;0,($D13*((1+Inflation)^(E$2-1))),0)</f>
        <v>0</v>
      </c>
      <c r="F13" s="113">
        <f t="shared" si="2"/>
        <v>0</v>
      </c>
      <c r="G13" s="113">
        <f t="shared" si="2"/>
        <v>0</v>
      </c>
      <c r="H13" s="113">
        <f t="shared" si="2"/>
        <v>0</v>
      </c>
      <c r="I13" s="113">
        <f t="shared" si="2"/>
        <v>-28157.385599999998</v>
      </c>
      <c r="J13" s="113">
        <f t="shared" si="2"/>
        <v>-28720.533312</v>
      </c>
      <c r="K13" s="113">
        <f t="shared" si="2"/>
        <v>-29294.94397824</v>
      </c>
      <c r="L13" s="113">
        <f t="shared" si="2"/>
        <v>-29880.842857804801</v>
      </c>
      <c r="M13" s="113">
        <f t="shared" si="2"/>
        <v>-30478.459714960889</v>
      </c>
      <c r="N13" s="113">
        <f t="shared" si="2"/>
        <v>-31088.028909260109</v>
      </c>
      <c r="O13" s="113">
        <f t="shared" si="2"/>
        <v>-31709.789487445312</v>
      </c>
      <c r="P13" s="191"/>
      <c r="Q13" s="191"/>
    </row>
    <row r="14" spans="2:17" ht="9" customHeight="1">
      <c r="B14" s="114" t="s">
        <v>167</v>
      </c>
      <c r="C14" s="855"/>
      <c r="D14" s="106"/>
      <c r="E14" s="112">
        <f t="shared" ref="E14:O14" si="3">SUM(E11:E13)</f>
        <v>0</v>
      </c>
      <c r="F14" s="112">
        <f t="shared" si="3"/>
        <v>0</v>
      </c>
      <c r="G14" s="112">
        <f t="shared" si="3"/>
        <v>0</v>
      </c>
      <c r="H14" s="112">
        <f t="shared" si="3"/>
        <v>0</v>
      </c>
      <c r="I14" s="112">
        <f t="shared" si="3"/>
        <v>166574.2824</v>
      </c>
      <c r="J14" s="112">
        <f t="shared" si="3"/>
        <v>169905.768048</v>
      </c>
      <c r="K14" s="112">
        <f t="shared" si="3"/>
        <v>173303.88340896001</v>
      </c>
      <c r="L14" s="112">
        <f t="shared" si="3"/>
        <v>176769.96107713922</v>
      </c>
      <c r="M14" s="112">
        <f t="shared" si="3"/>
        <v>180305.36029868198</v>
      </c>
      <c r="N14" s="112">
        <f t="shared" si="3"/>
        <v>183911.46750465562</v>
      </c>
      <c r="O14" s="112">
        <f t="shared" si="3"/>
        <v>187589.69685474873</v>
      </c>
    </row>
    <row r="15" spans="2:17" ht="9" customHeight="1">
      <c r="B15" s="106"/>
      <c r="C15" s="855"/>
      <c r="D15" s="106"/>
      <c r="E15" s="187">
        <f t="shared" ref="E15:O15" si="4">IFERROR(E14/SUM(E11:E11),0)</f>
        <v>0</v>
      </c>
      <c r="F15" s="187">
        <f t="shared" si="4"/>
        <v>0</v>
      </c>
      <c r="G15" s="187">
        <f t="shared" si="4"/>
        <v>0</v>
      </c>
      <c r="H15" s="187">
        <f t="shared" si="4"/>
        <v>0</v>
      </c>
      <c r="I15" s="187">
        <f t="shared" si="4"/>
        <v>0.86009132420091328</v>
      </c>
      <c r="J15" s="187">
        <f t="shared" si="4"/>
        <v>0.86009132420091328</v>
      </c>
      <c r="K15" s="187">
        <f t="shared" si="4"/>
        <v>0.86009132420091328</v>
      </c>
      <c r="L15" s="187">
        <f t="shared" si="4"/>
        <v>0.86009132420091328</v>
      </c>
      <c r="M15" s="187">
        <f t="shared" si="4"/>
        <v>0.86009132420091328</v>
      </c>
      <c r="N15" s="187">
        <f t="shared" si="4"/>
        <v>0.86009132420091328</v>
      </c>
      <c r="O15" s="187">
        <f t="shared" si="4"/>
        <v>0.86009132420091328</v>
      </c>
    </row>
    <row r="16" spans="2:17" ht="9" customHeight="1">
      <c r="B16" s="108" t="s">
        <v>168</v>
      </c>
      <c r="C16" s="855"/>
      <c r="D16" s="115">
        <f>INDEX(cockpit!$J$6:$Y$16,MATCH($D6,cockpit!$J$6:$J$16,0),MATCH($B16,cockpit!$J$6:$Y$6,0))</f>
        <v>0.1</v>
      </c>
      <c r="E16" s="113">
        <f>-E9*$D16</f>
        <v>0</v>
      </c>
      <c r="F16" s="113">
        <f t="shared" ref="F16:O16" si="5">-F9*$D16</f>
        <v>0</v>
      </c>
      <c r="G16" s="113">
        <f t="shared" si="5"/>
        <v>0</v>
      </c>
      <c r="H16" s="113">
        <f t="shared" si="5"/>
        <v>0</v>
      </c>
      <c r="I16" s="113">
        <f t="shared" si="5"/>
        <v>-12607.070019999999</v>
      </c>
      <c r="J16" s="113">
        <f t="shared" si="5"/>
        <v>-12607.070019999999</v>
      </c>
      <c r="K16" s="113">
        <f t="shared" si="5"/>
        <v>-12607.070019999999</v>
      </c>
      <c r="L16" s="113">
        <f t="shared" si="5"/>
        <v>-12607.070019999999</v>
      </c>
      <c r="M16" s="113">
        <f t="shared" si="5"/>
        <v>-12607.070019999999</v>
      </c>
      <c r="N16" s="113">
        <f t="shared" si="5"/>
        <v>-12607.070019999999</v>
      </c>
      <c r="O16" s="113">
        <f t="shared" si="5"/>
        <v>-12607.070019999999</v>
      </c>
    </row>
    <row r="17" spans="2:15" ht="9" customHeight="1">
      <c r="B17" s="114" t="s">
        <v>195</v>
      </c>
      <c r="C17" s="855"/>
      <c r="D17" s="115"/>
      <c r="E17" s="112">
        <f t="shared" ref="E17:O17" si="6">SUM(E16:E16)</f>
        <v>0</v>
      </c>
      <c r="F17" s="112">
        <f t="shared" si="6"/>
        <v>0</v>
      </c>
      <c r="G17" s="112">
        <f t="shared" si="6"/>
        <v>0</v>
      </c>
      <c r="H17" s="112">
        <f t="shared" si="6"/>
        <v>0</v>
      </c>
      <c r="I17" s="112">
        <f t="shared" si="6"/>
        <v>-12607.070019999999</v>
      </c>
      <c r="J17" s="112">
        <f t="shared" si="6"/>
        <v>-12607.070019999999</v>
      </c>
      <c r="K17" s="112">
        <f t="shared" si="6"/>
        <v>-12607.070019999999</v>
      </c>
      <c r="L17" s="112">
        <f t="shared" si="6"/>
        <v>-12607.070019999999</v>
      </c>
      <c r="M17" s="112">
        <f t="shared" si="6"/>
        <v>-12607.070019999999</v>
      </c>
      <c r="N17" s="112">
        <f t="shared" si="6"/>
        <v>-12607.070019999999</v>
      </c>
      <c r="O17" s="112">
        <f t="shared" si="6"/>
        <v>-12607.070019999999</v>
      </c>
    </row>
    <row r="18" spans="2:15" ht="9" customHeight="1">
      <c r="B18" s="108"/>
      <c r="C18" s="855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</row>
    <row r="19" spans="2:15" ht="9" customHeight="1">
      <c r="B19" s="108" t="s">
        <v>274</v>
      </c>
      <c r="C19" s="855"/>
      <c r="D19" s="106"/>
      <c r="E19" s="205">
        <v>0</v>
      </c>
      <c r="F19" s="216">
        <f>'acq-demo-repur'!U6</f>
        <v>5085389.3585189339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</row>
    <row r="20" spans="2:15" ht="9" customHeight="1">
      <c r="B20" s="108" t="s">
        <v>277</v>
      </c>
      <c r="C20" s="855"/>
      <c r="D20" s="106"/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</row>
    <row r="21" spans="2:15" ht="9" customHeight="1">
      <c r="B21" s="108" t="s">
        <v>170</v>
      </c>
      <c r="C21" s="855"/>
      <c r="D21" s="111">
        <f>(publicspacesconstructioncostPSF*(1-$K5))+((publicspacesconstructioncostPSF*(1+premiumprices)*$K5))</f>
        <v>225</v>
      </c>
      <c r="E21" s="112">
        <f>-IF(OR(E$2=$H5,E$2=$H6,AND(E$2&gt;$H5,E$2&lt;$H6)),(INDEX(summary!$A$2:$D$24,MATCH($D6,summary!$A$2:$A$24,0),MATCH($D5,summary!$A$2:$D$2,0)))/constructiontimephase1)*($D21*((1+Inflation)^(E$2-1)))*(1+Developerfee)</f>
        <v>0</v>
      </c>
      <c r="F21" s="112">
        <f>-IF(OR(F$2=$H5,F$2=$H6,AND(F$2&gt;$H5,F$2&lt;$H6)),(INDEX(summary!$A$2:$D$24,MATCH($D6,summary!$A$2:$A$24,0),MATCH($D5,summary!$A$2:$D$2,0)))/constructiontimephase1)*($D21*((1+Inflation)^(F$2-1)))*(1+Developerfee)</f>
        <v>-9738961.59045</v>
      </c>
      <c r="G21" s="112">
        <f>-IF(OR(G$2=$H5,G$2=$H6,AND(G$2&gt;$H5,G$2&lt;$H6)),(INDEX(summary!$A$2:$D$24,MATCH($D6,summary!$A$2:$A$24,0),MATCH($D5,summary!$A$2:$D$2,0)))/constructiontimephase1)*($D21*((1+Inflation)^(G$2-1)))*(1+Developerfee)</f>
        <v>-9933740.8222590014</v>
      </c>
      <c r="H21" s="112">
        <f>-IF(OR(H$2=$H5,H$2=$H6,AND(H$2&gt;$H5,H$2&lt;$H6)),(INDEX(summary!$A$2:$D$24,MATCH($D6,summary!$A$2:$A$24,0),MATCH($D5,summary!$A$2:$D$2,0)))/constructiontimephase1)*($D21*((1+Inflation)^(H$2-1)))*(1+Developerfee)</f>
        <v>-10132415.638704181</v>
      </c>
      <c r="I21" s="112">
        <f>-IF(OR(I$2=$H5,I$2=$H6,AND(I$2&gt;$H5,I$2&lt;$H6)),(INDEX(summary!$A$2:$D$24,MATCH($D6,summary!$A$2:$A$24,0),MATCH($D5,summary!$A$2:$D$2,0)))/constructiontimephase1)*($D21*((1+Inflation)^(I$2-1)))*(1+Developerfee)</f>
        <v>0</v>
      </c>
      <c r="J21" s="112">
        <f>-IF(OR(J$2=$H5,J$2=$H6,AND(J$2&gt;$H5,J$2&lt;$H6)),(INDEX(summary!$A$2:$D$24,MATCH($D6,summary!$A$2:$A$24,0),MATCH($D5,summary!$A$2:$D$2,0)))/constructiontimephase1)*($D21*((1+Inflation)^(J$2-1)))*(1+Developerfee)</f>
        <v>0</v>
      </c>
      <c r="K21" s="112">
        <f>-IF(OR(K$2=$H5,K$2=$H6,AND(K$2&gt;$H5,K$2&lt;$H6)),(INDEX(summary!$A$2:$D$24,MATCH($D6,summary!$A$2:$A$24,0),MATCH($D5,summary!$A$2:$D$2,0)))/constructiontimephase1)*($D21*((1+Inflation)^(K$2-1)))*(1+Developerfee)</f>
        <v>0</v>
      </c>
      <c r="L21" s="112">
        <f>-IF(OR(L$2=$H5,L$2=$H6,AND(L$2&gt;$H5,L$2&lt;$H6)),(INDEX(summary!$A$2:$D$24,MATCH($D6,summary!$A$2:$A$24,0),MATCH($D5,summary!$A$2:$D$2,0)))/constructiontimephase1)*($D21*((1+Inflation)^(L$2-1)))*(1+Developerfee)</f>
        <v>0</v>
      </c>
      <c r="M21" s="112">
        <f>-IF(OR(M$2=$H5,M$2=$H6,AND(M$2&gt;$H5,M$2&lt;$H6)),(INDEX(summary!$A$2:$D$24,MATCH($D6,summary!$A$2:$A$24,0),MATCH($D5,summary!$A$2:$D$2,0)))/constructiontimephase1)*($D21*((1+Inflation)^(M$2-1)))*(1+Developerfee)</f>
        <v>0</v>
      </c>
      <c r="N21" s="112">
        <f>-IF(OR(N$2=$H5,N$2=$H6,AND(N$2&gt;$H5,N$2&lt;$H6)),(INDEX(summary!$A$2:$D$24,MATCH($D6,summary!$A$2:$A$24,0),MATCH($D5,summary!$A$2:$D$2,0)))/constructiontimephase1)*($D21*((1+Inflation)^(N$2-1)))*(1+Developerfee)</f>
        <v>0</v>
      </c>
      <c r="O21" s="112">
        <f>-IF(OR(O$2=$H5,O$2=$H6,AND(O$2&gt;$H5,O$2&lt;$H6)),(INDEX(summary!$A$2:$D$24,MATCH($D6,summary!$A$2:$A$24,0),MATCH($D5,summary!$A$2:$D$2,0)))/constructiontimephase1)*($D21*((1+Inflation)^(O$2-1)))*(1+Developerfee)</f>
        <v>0</v>
      </c>
    </row>
    <row r="22" spans="2:15" ht="9" customHeight="1">
      <c r="B22" s="108" t="s">
        <v>197</v>
      </c>
      <c r="C22" s="855" t="s">
        <v>189</v>
      </c>
      <c r="D22" s="122">
        <f>(INDEX(cockpit!$J$6:$Y$16,MATCH($D6,cockpit!$J$6:$J$16,0),MATCH($C22,cockpit!$J$6:$Y$6,0))*(1-$K5))+((INDEX(cockpit!$J$6:$Y$16,MATCH($D6,cockpit!$J$6:$J$16,0),MATCH($C22,cockpit!$J$6:$Y$6,0))-(Premiumexitcaprate))*$K5)</f>
        <v>0</v>
      </c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</row>
    <row r="23" spans="2:15" ht="9" customHeight="1">
      <c r="B23" s="114" t="s">
        <v>196</v>
      </c>
      <c r="C23" s="855"/>
      <c r="D23" s="110"/>
      <c r="E23" s="112">
        <f t="shared" ref="E23:O23" si="7">SUM(E21:E22)</f>
        <v>0</v>
      </c>
      <c r="F23" s="112">
        <f t="shared" si="7"/>
        <v>-9738961.59045</v>
      </c>
      <c r="G23" s="112">
        <f t="shared" si="7"/>
        <v>-9933740.8222590014</v>
      </c>
      <c r="H23" s="112">
        <f t="shared" si="7"/>
        <v>-10132415.638704181</v>
      </c>
      <c r="I23" s="112">
        <f t="shared" si="7"/>
        <v>0</v>
      </c>
      <c r="J23" s="112">
        <f t="shared" si="7"/>
        <v>0</v>
      </c>
      <c r="K23" s="112">
        <f t="shared" si="7"/>
        <v>0</v>
      </c>
      <c r="L23" s="112">
        <f t="shared" si="7"/>
        <v>0</v>
      </c>
      <c r="M23" s="112">
        <f t="shared" si="7"/>
        <v>0</v>
      </c>
      <c r="N23" s="112">
        <f t="shared" si="7"/>
        <v>0</v>
      </c>
      <c r="O23" s="112">
        <f t="shared" si="7"/>
        <v>0</v>
      </c>
    </row>
    <row r="24" spans="2:15" ht="9" customHeight="1">
      <c r="B24" s="108"/>
      <c r="C24" s="855"/>
      <c r="D24" s="110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</row>
    <row r="25" spans="2:15" ht="9" customHeight="1">
      <c r="B25" s="114" t="s">
        <v>169</v>
      </c>
      <c r="C25" s="856"/>
      <c r="D25" s="116">
        <f>IRR(E25:O25)</f>
        <v>-0.42568047061669323</v>
      </c>
      <c r="E25" s="117">
        <f t="shared" ref="E25:O25" si="8">SUM(E14,E17,E23)</f>
        <v>0</v>
      </c>
      <c r="F25" s="117">
        <f t="shared" si="8"/>
        <v>-9738961.59045</v>
      </c>
      <c r="G25" s="117">
        <f t="shared" si="8"/>
        <v>-9933740.8222590014</v>
      </c>
      <c r="H25" s="117">
        <f t="shared" si="8"/>
        <v>-10132415.638704181</v>
      </c>
      <c r="I25" s="117">
        <f t="shared" si="8"/>
        <v>153967.21237999998</v>
      </c>
      <c r="J25" s="117">
        <f t="shared" si="8"/>
        <v>157298.69802800001</v>
      </c>
      <c r="K25" s="117">
        <f t="shared" si="8"/>
        <v>160696.81338896003</v>
      </c>
      <c r="L25" s="117">
        <f t="shared" si="8"/>
        <v>164162.8910571392</v>
      </c>
      <c r="M25" s="117">
        <f t="shared" si="8"/>
        <v>167698.29027868196</v>
      </c>
      <c r="N25" s="117">
        <f t="shared" si="8"/>
        <v>171304.39748465561</v>
      </c>
      <c r="O25" s="117">
        <f t="shared" si="8"/>
        <v>174982.62683474872</v>
      </c>
    </row>
    <row r="26" spans="2:15" ht="9" customHeight="1" thickBot="1">
      <c r="B26" s="114"/>
      <c r="C26" s="856"/>
      <c r="D26" s="118"/>
      <c r="E26" s="106"/>
      <c r="F26" s="106"/>
      <c r="G26" s="106"/>
      <c r="H26" s="119"/>
      <c r="I26" s="106"/>
      <c r="J26" s="106"/>
      <c r="K26" s="106"/>
      <c r="L26" s="106"/>
      <c r="M26" s="106"/>
      <c r="N26" s="106"/>
      <c r="O26" s="106"/>
    </row>
    <row r="27" spans="2:15" ht="9" customHeight="1">
      <c r="B27" s="123" t="s">
        <v>198</v>
      </c>
      <c r="C27" s="124"/>
      <c r="D27" s="124"/>
      <c r="E27" s="134"/>
      <c r="F27" s="135"/>
      <c r="G27" s="135"/>
      <c r="H27" s="135"/>
      <c r="I27" s="135"/>
      <c r="J27" s="135"/>
      <c r="K27" s="125"/>
      <c r="L27" s="107"/>
      <c r="M27" s="107"/>
      <c r="N27" s="107"/>
      <c r="O27" s="107"/>
    </row>
    <row r="28" spans="2:15" ht="9" customHeight="1">
      <c r="B28" s="126" t="s">
        <v>89</v>
      </c>
      <c r="C28" s="851"/>
      <c r="D28" s="133">
        <v>2</v>
      </c>
      <c r="E28" s="106"/>
      <c r="F28" s="106"/>
      <c r="G28" s="107" t="s">
        <v>204</v>
      </c>
      <c r="H28" s="133">
        <f>Phase2begin</f>
        <v>4</v>
      </c>
      <c r="I28" s="106"/>
      <c r="J28" s="107" t="s">
        <v>201</v>
      </c>
      <c r="K28" s="136">
        <f>summary!AF49</f>
        <v>0</v>
      </c>
      <c r="L28" s="106"/>
      <c r="M28" s="106"/>
      <c r="N28" s="106"/>
      <c r="O28" s="106"/>
    </row>
    <row r="29" spans="2:15" ht="9" customHeight="1">
      <c r="B29" s="126" t="s">
        <v>93</v>
      </c>
      <c r="C29" s="851"/>
      <c r="D29" s="130" t="s">
        <v>284</v>
      </c>
      <c r="E29" s="106"/>
      <c r="F29" s="106"/>
      <c r="G29" s="107" t="s">
        <v>205</v>
      </c>
      <c r="H29" s="133">
        <f>Phase2end</f>
        <v>5</v>
      </c>
      <c r="I29" s="106"/>
      <c r="J29" s="106"/>
      <c r="K29" s="127"/>
      <c r="L29" s="106"/>
      <c r="M29" s="106"/>
      <c r="N29" s="106"/>
      <c r="O29" s="106"/>
    </row>
    <row r="30" spans="2:15" ht="9" customHeight="1" thickBot="1">
      <c r="B30" s="137"/>
      <c r="C30" s="852"/>
      <c r="D30" s="138"/>
      <c r="E30" s="138"/>
      <c r="F30" s="138"/>
      <c r="G30" s="129" t="s">
        <v>199</v>
      </c>
      <c r="H30" s="131">
        <f>Phase2open</f>
        <v>6</v>
      </c>
      <c r="I30" s="138"/>
      <c r="J30" s="138"/>
      <c r="K30" s="128"/>
      <c r="L30" s="106"/>
      <c r="M30" s="106"/>
      <c r="N30" s="106"/>
      <c r="O30" s="106"/>
    </row>
    <row r="31" spans="2:15" ht="9" customHeight="1">
      <c r="B31" s="106"/>
      <c r="C31" s="853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</row>
    <row r="32" spans="2:15" ht="9" customHeight="1">
      <c r="B32" s="108" t="s">
        <v>182</v>
      </c>
      <c r="C32" s="854"/>
      <c r="D32" s="106"/>
      <c r="E32" s="109">
        <f>IF(OR(E$2=$H30,E$2&gt;$H30),INDEX(summary!$A$2:$D$24,MATCH($D29,summary!$A$2:$A$24,0),MATCH($D28,summary!$A$2:$D$2,0)),0)</f>
        <v>0</v>
      </c>
      <c r="F32" s="109">
        <f>IF(OR(F$2=$H30,F$2&gt;$H30),INDEX(summary!$A$2:$D$24,MATCH($D29,summary!$A$2:$A$24,0),MATCH($D28,summary!$A$2:$D$2,0)),0)</f>
        <v>0</v>
      </c>
      <c r="G32" s="109">
        <f>IF(OR(G$2=$H30,G$2&gt;$H30),INDEX(summary!$A$2:$D$24,MATCH($D29,summary!$A$2:$A$24,0),MATCH($D28,summary!$A$2:$D$2,0)),0)</f>
        <v>0</v>
      </c>
      <c r="H32" s="109">
        <f>IF(OR(H$2=$H30,H$2&gt;$H30),INDEX(summary!$A$2:$D$24,MATCH($D29,summary!$A$2:$A$24,0),MATCH($D28,summary!$A$2:$D$2,0)),0)</f>
        <v>0</v>
      </c>
      <c r="I32" s="109">
        <f>IF(OR(I$2=$H30,I$2&gt;$H30),INDEX(summary!$A$2:$D$24,MATCH($D29,summary!$A$2:$A$24,0),MATCH($D28,summary!$A$2:$D$2,0)),0)</f>
        <v>0</v>
      </c>
      <c r="J32" s="109">
        <f>IF(OR(J$2=$H30,J$2&gt;$H30),INDEX(summary!$A$2:$D$24,MATCH($D29,summary!$A$2:$A$24,0),MATCH($D28,summary!$A$2:$D$2,0)),0)</f>
        <v>0</v>
      </c>
      <c r="K32" s="109">
        <f>IF(OR(K$2=$H30,K$2&gt;$H30),INDEX(summary!$A$2:$D$24,MATCH($D29,summary!$A$2:$A$24,0),MATCH($D28,summary!$A$2:$D$2,0)),0)</f>
        <v>0</v>
      </c>
      <c r="L32" s="109">
        <f>IF(OR(L$2=$H30,L$2&gt;$H30),INDEX(summary!$A$2:$D$24,MATCH($D29,summary!$A$2:$A$24,0),MATCH($D28,summary!$A$2:$D$2,0)),0)</f>
        <v>0</v>
      </c>
      <c r="M32" s="109">
        <f>IF(OR(M$2=$H30,M$2&gt;$H30),INDEX(summary!$A$2:$D$24,MATCH($D29,summary!$A$2:$A$24,0),MATCH($D28,summary!$A$2:$D$2,0)),0)</f>
        <v>0</v>
      </c>
      <c r="N32" s="109">
        <f>IF(OR(N$2=$H30,N$2&gt;$H30),INDEX(summary!$A$2:$D$24,MATCH($D29,summary!$A$2:$A$24,0),MATCH($D28,summary!$A$2:$D$2,0)),0)</f>
        <v>0</v>
      </c>
      <c r="O32" s="109">
        <f>IF(OR(O$2=$H30,O$2&gt;$H30),INDEX(summary!$A$2:$D$24,MATCH($D29,summary!$A$2:$A$24,0),MATCH($D28,summary!$A$2:$D$2,0)),0)</f>
        <v>0</v>
      </c>
    </row>
    <row r="33" spans="2:15" ht="9" customHeight="1">
      <c r="B33" s="106"/>
      <c r="C33" s="855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</row>
    <row r="34" spans="2:15" ht="9" customHeight="1">
      <c r="B34" s="108" t="s">
        <v>288</v>
      </c>
      <c r="C34" s="855"/>
      <c r="D34" s="111">
        <f>entrancefee</f>
        <v>1</v>
      </c>
      <c r="E34" s="112">
        <f t="shared" ref="E34:O34" si="9">IF(E32&gt;0,annualvisitors*(($D34)*((1+Inflation)^(E$2-1))),0)</f>
        <v>0</v>
      </c>
      <c r="F34" s="112">
        <f t="shared" si="9"/>
        <v>0</v>
      </c>
      <c r="G34" s="112">
        <f t="shared" si="9"/>
        <v>0</v>
      </c>
      <c r="H34" s="112">
        <f t="shared" si="9"/>
        <v>0</v>
      </c>
      <c r="I34" s="112">
        <f t="shared" si="9"/>
        <v>0</v>
      </c>
      <c r="J34" s="112">
        <f t="shared" si="9"/>
        <v>0</v>
      </c>
      <c r="K34" s="112">
        <f t="shared" si="9"/>
        <v>0</v>
      </c>
      <c r="L34" s="112">
        <f t="shared" si="9"/>
        <v>0</v>
      </c>
      <c r="M34" s="112">
        <f t="shared" si="9"/>
        <v>0</v>
      </c>
      <c r="N34" s="112">
        <f t="shared" si="9"/>
        <v>0</v>
      </c>
      <c r="O34" s="112">
        <f t="shared" si="9"/>
        <v>0</v>
      </c>
    </row>
    <row r="35" spans="2:15" ht="9" customHeight="1">
      <c r="B35" s="108" t="s">
        <v>290</v>
      </c>
      <c r="C35" s="855"/>
      <c r="D35" s="216">
        <f>giftshopincome</f>
        <v>1000</v>
      </c>
      <c r="E35" s="112">
        <f t="shared" ref="E35:O35" si="10">IF(E32&gt;0,($D35*((1+Inflation)^(E$2-1))),0)</f>
        <v>0</v>
      </c>
      <c r="F35" s="112">
        <f t="shared" si="10"/>
        <v>0</v>
      </c>
      <c r="G35" s="112">
        <f t="shared" si="10"/>
        <v>0</v>
      </c>
      <c r="H35" s="112">
        <f t="shared" si="10"/>
        <v>0</v>
      </c>
      <c r="I35" s="112">
        <f t="shared" si="10"/>
        <v>0</v>
      </c>
      <c r="J35" s="112">
        <f t="shared" si="10"/>
        <v>0</v>
      </c>
      <c r="K35" s="112">
        <f t="shared" si="10"/>
        <v>0</v>
      </c>
      <c r="L35" s="112">
        <f t="shared" si="10"/>
        <v>0</v>
      </c>
      <c r="M35" s="112">
        <f t="shared" si="10"/>
        <v>0</v>
      </c>
      <c r="N35" s="112">
        <f t="shared" si="10"/>
        <v>0</v>
      </c>
      <c r="O35" s="112">
        <f t="shared" si="10"/>
        <v>0</v>
      </c>
    </row>
    <row r="36" spans="2:15" ht="9" customHeight="1">
      <c r="B36" s="108" t="s">
        <v>193</v>
      </c>
      <c r="C36" s="855"/>
      <c r="D36" s="216">
        <f>cockpit!F83</f>
        <v>26533.333333333332</v>
      </c>
      <c r="E36" s="113">
        <f t="shared" ref="E36:O36" si="11">-IF(E32&gt;0,($D36*((1+Inflation)^(E$2-1))),0)</f>
        <v>0</v>
      </c>
      <c r="F36" s="113">
        <f t="shared" si="11"/>
        <v>0</v>
      </c>
      <c r="G36" s="113">
        <f t="shared" si="11"/>
        <v>0</v>
      </c>
      <c r="H36" s="113">
        <f t="shared" si="11"/>
        <v>0</v>
      </c>
      <c r="I36" s="113">
        <f t="shared" si="11"/>
        <v>0</v>
      </c>
      <c r="J36" s="113">
        <f t="shared" si="11"/>
        <v>0</v>
      </c>
      <c r="K36" s="113">
        <f t="shared" si="11"/>
        <v>0</v>
      </c>
      <c r="L36" s="113">
        <f t="shared" si="11"/>
        <v>0</v>
      </c>
      <c r="M36" s="113">
        <f t="shared" si="11"/>
        <v>0</v>
      </c>
      <c r="N36" s="113">
        <f t="shared" si="11"/>
        <v>0</v>
      </c>
      <c r="O36" s="113">
        <f t="shared" si="11"/>
        <v>0</v>
      </c>
    </row>
    <row r="37" spans="2:15" ht="9" customHeight="1">
      <c r="B37" s="114" t="s">
        <v>167</v>
      </c>
      <c r="C37" s="855"/>
      <c r="D37" s="106"/>
      <c r="E37" s="112">
        <f t="shared" ref="E37:O37" si="12">SUM(E34:E36)</f>
        <v>0</v>
      </c>
      <c r="F37" s="112">
        <f t="shared" si="12"/>
        <v>0</v>
      </c>
      <c r="G37" s="112">
        <f t="shared" si="12"/>
        <v>0</v>
      </c>
      <c r="H37" s="112">
        <f t="shared" si="12"/>
        <v>0</v>
      </c>
      <c r="I37" s="112">
        <f t="shared" si="12"/>
        <v>0</v>
      </c>
      <c r="J37" s="112">
        <f t="shared" si="12"/>
        <v>0</v>
      </c>
      <c r="K37" s="112">
        <f t="shared" si="12"/>
        <v>0</v>
      </c>
      <c r="L37" s="112">
        <f t="shared" si="12"/>
        <v>0</v>
      </c>
      <c r="M37" s="112">
        <f t="shared" si="12"/>
        <v>0</v>
      </c>
      <c r="N37" s="112">
        <f t="shared" si="12"/>
        <v>0</v>
      </c>
      <c r="O37" s="112">
        <f t="shared" si="12"/>
        <v>0</v>
      </c>
    </row>
    <row r="38" spans="2:15" ht="9" customHeight="1">
      <c r="B38" s="106"/>
      <c r="C38" s="855"/>
      <c r="D38" s="106"/>
      <c r="E38" s="187">
        <f t="shared" ref="E38:O38" si="13">IFERROR(E37/SUM(E34:E34),0)</f>
        <v>0</v>
      </c>
      <c r="F38" s="187">
        <f t="shared" si="13"/>
        <v>0</v>
      </c>
      <c r="G38" s="187">
        <f t="shared" si="13"/>
        <v>0</v>
      </c>
      <c r="H38" s="187">
        <f t="shared" si="13"/>
        <v>0</v>
      </c>
      <c r="I38" s="187">
        <f t="shared" si="13"/>
        <v>0</v>
      </c>
      <c r="J38" s="187">
        <f t="shared" si="13"/>
        <v>0</v>
      </c>
      <c r="K38" s="187">
        <f t="shared" si="13"/>
        <v>0</v>
      </c>
      <c r="L38" s="187">
        <f t="shared" si="13"/>
        <v>0</v>
      </c>
      <c r="M38" s="187">
        <f t="shared" si="13"/>
        <v>0</v>
      </c>
      <c r="N38" s="187">
        <f t="shared" si="13"/>
        <v>0</v>
      </c>
      <c r="O38" s="187">
        <f t="shared" si="13"/>
        <v>0</v>
      </c>
    </row>
    <row r="39" spans="2:15" ht="9" customHeight="1">
      <c r="B39" s="108" t="s">
        <v>168</v>
      </c>
      <c r="C39" s="855"/>
      <c r="D39" s="115">
        <f>INDEX(cockpit!$J$6:$Y$16,MATCH($D29,cockpit!$J$6:$J$16,0),MATCH($B39,cockpit!$J$6:$Y$6,0))</f>
        <v>0.1</v>
      </c>
      <c r="E39" s="113">
        <f>-E32*$D39</f>
        <v>0</v>
      </c>
      <c r="F39" s="113">
        <f t="shared" ref="F39:O39" si="14">-F32*$D39</f>
        <v>0</v>
      </c>
      <c r="G39" s="113">
        <f t="shared" si="14"/>
        <v>0</v>
      </c>
      <c r="H39" s="113">
        <f t="shared" si="14"/>
        <v>0</v>
      </c>
      <c r="I39" s="113">
        <f t="shared" si="14"/>
        <v>0</v>
      </c>
      <c r="J39" s="113">
        <f t="shared" si="14"/>
        <v>0</v>
      </c>
      <c r="K39" s="113">
        <f t="shared" si="14"/>
        <v>0</v>
      </c>
      <c r="L39" s="113">
        <f t="shared" si="14"/>
        <v>0</v>
      </c>
      <c r="M39" s="113">
        <f t="shared" si="14"/>
        <v>0</v>
      </c>
      <c r="N39" s="113">
        <f t="shared" si="14"/>
        <v>0</v>
      </c>
      <c r="O39" s="113">
        <f t="shared" si="14"/>
        <v>0</v>
      </c>
    </row>
    <row r="40" spans="2:15" ht="9" customHeight="1">
      <c r="B40" s="114" t="s">
        <v>195</v>
      </c>
      <c r="C40" s="855"/>
      <c r="D40" s="115"/>
      <c r="E40" s="112">
        <f t="shared" ref="E40:O40" si="15">SUM(E39:E39)</f>
        <v>0</v>
      </c>
      <c r="F40" s="112">
        <f t="shared" si="15"/>
        <v>0</v>
      </c>
      <c r="G40" s="112">
        <f t="shared" si="15"/>
        <v>0</v>
      </c>
      <c r="H40" s="112">
        <f t="shared" si="15"/>
        <v>0</v>
      </c>
      <c r="I40" s="112">
        <f t="shared" si="15"/>
        <v>0</v>
      </c>
      <c r="J40" s="112">
        <f t="shared" si="15"/>
        <v>0</v>
      </c>
      <c r="K40" s="112">
        <f t="shared" si="15"/>
        <v>0</v>
      </c>
      <c r="L40" s="112">
        <f t="shared" si="15"/>
        <v>0</v>
      </c>
      <c r="M40" s="112">
        <f t="shared" si="15"/>
        <v>0</v>
      </c>
      <c r="N40" s="112">
        <f t="shared" si="15"/>
        <v>0</v>
      </c>
      <c r="O40" s="112">
        <f t="shared" si="15"/>
        <v>0</v>
      </c>
    </row>
    <row r="41" spans="2:15" ht="9" customHeight="1">
      <c r="B41" s="108"/>
      <c r="C41" s="855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</row>
    <row r="42" spans="2:15" ht="9" customHeight="1">
      <c r="B42" s="108" t="s">
        <v>170</v>
      </c>
      <c r="C42" s="855"/>
      <c r="D42" s="111">
        <f>(publicspacesconstructioncostPSF*(1-$K28))+((publicspacesconstructioncostPSF*(1+premiumprices)*$K28))</f>
        <v>225</v>
      </c>
      <c r="E42" s="113">
        <f>-IF(OR(E$2=$H28,E$2=$H29,AND(E$2&gt;$H28,E$2&lt;$H29)),(INDEX(summary!$A$2:$D$24,MATCH($D29,summary!$A$2:$A$24,0),MATCH($D28,summary!$A$2:$D$2,0)))/constructiontimephase2)*($D42*((1+Inflation)^(E$2-1)))*(1+Developerfee)</f>
        <v>0</v>
      </c>
      <c r="F42" s="113">
        <f>-IF(OR(F$2=$H28,F$2=$H29,AND(F$2&gt;$H28,F$2&lt;$H29)),(INDEX(summary!$A$2:$D$24,MATCH($D29,summary!$A$2:$A$24,0),MATCH($D28,summary!$A$2:$D$2,0)))/constructiontimephase2)*($D42*((1+Inflation)^(F$2-1)))*(1+Developerfee)</f>
        <v>0</v>
      </c>
      <c r="G42" s="113">
        <f>-IF(OR(G$2=$H28,G$2=$H29,AND(G$2&gt;$H28,G$2&lt;$H29)),(INDEX(summary!$A$2:$D$24,MATCH($D29,summary!$A$2:$A$24,0),MATCH($D28,summary!$A$2:$D$2,0)))/constructiontimephase2)*($D42*((1+Inflation)^(G$2-1)))*(1+Developerfee)</f>
        <v>0</v>
      </c>
      <c r="H42" s="113">
        <f>-IF(OR(H$2=$H28,H$2=$H29,AND(H$2&gt;$H28,H$2&lt;$H29)),(INDEX(summary!$A$2:$D$24,MATCH($D29,summary!$A$2:$A$24,0),MATCH($D28,summary!$A$2:$D$2,0)))/constructiontimephase2)*($D42*((1+Inflation)^(H$2-1)))*(1+Developerfee)</f>
        <v>0</v>
      </c>
      <c r="I42" s="113">
        <f>-IF(OR(I$2=$H28,I$2=$H29,AND(I$2&gt;$H28,I$2&lt;$H29)),(INDEX(summary!$A$2:$D$24,MATCH($D29,summary!$A$2:$A$24,0),MATCH($D28,summary!$A$2:$D$2,0)))/constructiontimephase2)*($D42*((1+Inflation)^(I$2-1)))*(1+Developerfee)</f>
        <v>0</v>
      </c>
      <c r="J42" s="113">
        <f>-IF(OR(J$2=$H28,J$2=$H29,AND(J$2&gt;$H28,J$2&lt;$H29)),(INDEX(summary!$A$2:$D$24,MATCH($D29,summary!$A$2:$A$24,0),MATCH($D28,summary!$A$2:$D$2,0)))/constructiontimephase2)*($D42*((1+Inflation)^(J$2-1)))*(1+Developerfee)</f>
        <v>0</v>
      </c>
      <c r="K42" s="113">
        <f>-IF(OR(K$2=$H28,K$2=$H29,AND(K$2&gt;$H28,K$2&lt;$H29)),(INDEX(summary!$A$2:$D$24,MATCH($D29,summary!$A$2:$A$24,0),MATCH($D28,summary!$A$2:$D$2,0)))/constructiontimephase2)*($D42*((1+Inflation)^(K$2-1)))*(1+Developerfee)</f>
        <v>0</v>
      </c>
      <c r="L42" s="113">
        <f>-IF(OR(L$2=$H28,L$2=$H29,AND(L$2&gt;$H28,L$2&lt;$H29)),(INDEX(summary!$A$2:$D$24,MATCH($D29,summary!$A$2:$A$24,0),MATCH($D28,summary!$A$2:$D$2,0)))/constructiontimephase2)*($D42*((1+Inflation)^(L$2-1)))*(1+Developerfee)</f>
        <v>0</v>
      </c>
      <c r="M42" s="113">
        <f>-IF(OR(M$2=$H28,M$2=$H29,AND(M$2&gt;$H28,M$2&lt;$H29)),(INDEX(summary!$A$2:$D$24,MATCH($D29,summary!$A$2:$A$24,0),MATCH($D28,summary!$A$2:$D$2,0)))/constructiontimephase2)*($D42*((1+Inflation)^(M$2-1)))*(1+Developerfee)</f>
        <v>0</v>
      </c>
      <c r="N42" s="113">
        <f>-IF(OR(N$2=$H28,N$2=$H29,AND(N$2&gt;$H28,N$2&lt;$H29)),(INDEX(summary!$A$2:$D$24,MATCH($D29,summary!$A$2:$A$24,0),MATCH($D28,summary!$A$2:$D$2,0)))/constructiontimephase2)*($D42*((1+Inflation)^(N$2-1)))*(1+Developerfee)</f>
        <v>0</v>
      </c>
      <c r="O42" s="113">
        <f>-IF(OR(O$2=$H28,O$2=$H29,AND(O$2&gt;$H28,O$2&lt;$H29)),(INDEX(summary!$A$2:$D$24,MATCH($D29,summary!$A$2:$A$24,0),MATCH($D28,summary!$A$2:$D$2,0)))/constructiontimephase2)*($D42*((1+Inflation)^(O$2-1)))*(1+Developerfee)</f>
        <v>0</v>
      </c>
    </row>
    <row r="43" spans="2:15" ht="9" customHeight="1">
      <c r="B43" s="114" t="s">
        <v>196</v>
      </c>
      <c r="C43" s="855"/>
      <c r="D43" s="110"/>
      <c r="E43" s="112">
        <f t="shared" ref="E43:O43" si="16">SUM(E42:E42)</f>
        <v>0</v>
      </c>
      <c r="F43" s="112">
        <f t="shared" si="16"/>
        <v>0</v>
      </c>
      <c r="G43" s="112">
        <f t="shared" si="16"/>
        <v>0</v>
      </c>
      <c r="H43" s="112">
        <f t="shared" si="16"/>
        <v>0</v>
      </c>
      <c r="I43" s="112">
        <f t="shared" si="16"/>
        <v>0</v>
      </c>
      <c r="J43" s="112">
        <f t="shared" si="16"/>
        <v>0</v>
      </c>
      <c r="K43" s="112">
        <f t="shared" si="16"/>
        <v>0</v>
      </c>
      <c r="L43" s="112">
        <f t="shared" si="16"/>
        <v>0</v>
      </c>
      <c r="M43" s="112">
        <f t="shared" si="16"/>
        <v>0</v>
      </c>
      <c r="N43" s="112">
        <f t="shared" si="16"/>
        <v>0</v>
      </c>
      <c r="O43" s="112">
        <f t="shared" si="16"/>
        <v>0</v>
      </c>
    </row>
    <row r="44" spans="2:15" ht="9" customHeight="1">
      <c r="B44" s="108"/>
      <c r="C44" s="855"/>
      <c r="D44" s="110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</row>
    <row r="45" spans="2:15" ht="9" customHeight="1">
      <c r="B45" s="114" t="s">
        <v>169</v>
      </c>
      <c r="C45" s="856"/>
      <c r="D45" s="116"/>
      <c r="E45" s="117">
        <f t="shared" ref="E45:O45" si="17">SUM(E37,E40,E43)</f>
        <v>0</v>
      </c>
      <c r="F45" s="117">
        <f t="shared" si="17"/>
        <v>0</v>
      </c>
      <c r="G45" s="117">
        <f t="shared" si="17"/>
        <v>0</v>
      </c>
      <c r="H45" s="117">
        <f t="shared" si="17"/>
        <v>0</v>
      </c>
      <c r="I45" s="117">
        <f t="shared" si="17"/>
        <v>0</v>
      </c>
      <c r="J45" s="117">
        <f t="shared" si="17"/>
        <v>0</v>
      </c>
      <c r="K45" s="117">
        <f t="shared" si="17"/>
        <v>0</v>
      </c>
      <c r="L45" s="117">
        <f t="shared" si="17"/>
        <v>0</v>
      </c>
      <c r="M45" s="117">
        <f t="shared" si="17"/>
        <v>0</v>
      </c>
      <c r="N45" s="117">
        <f t="shared" si="17"/>
        <v>0</v>
      </c>
      <c r="O45" s="117">
        <f t="shared" si="17"/>
        <v>0</v>
      </c>
    </row>
    <row r="46" spans="2:15" ht="9" customHeight="1" thickBot="1">
      <c r="B46" s="114"/>
      <c r="C46" s="854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</row>
    <row r="47" spans="2:15" ht="9" customHeight="1">
      <c r="B47" s="123" t="s">
        <v>198</v>
      </c>
      <c r="C47" s="124"/>
      <c r="D47" s="124"/>
      <c r="E47" s="134"/>
      <c r="F47" s="135"/>
      <c r="G47" s="135"/>
      <c r="H47" s="135"/>
      <c r="I47" s="135"/>
      <c r="J47" s="135"/>
      <c r="K47" s="125"/>
      <c r="L47" s="107"/>
      <c r="M47" s="107"/>
      <c r="N47" s="107"/>
      <c r="O47" s="107"/>
    </row>
    <row r="48" spans="2:15" ht="9" customHeight="1">
      <c r="B48" s="126" t="s">
        <v>89</v>
      </c>
      <c r="C48" s="851"/>
      <c r="D48" s="133">
        <v>3</v>
      </c>
      <c r="E48" s="106"/>
      <c r="F48" s="106"/>
      <c r="G48" s="107" t="s">
        <v>204</v>
      </c>
      <c r="H48" s="133">
        <f>Phase3begin</f>
        <v>6</v>
      </c>
      <c r="I48" s="106"/>
      <c r="J48" s="107" t="s">
        <v>201</v>
      </c>
      <c r="K48" s="136">
        <f>summary!AF77</f>
        <v>0</v>
      </c>
      <c r="L48" s="106"/>
      <c r="M48" s="106"/>
      <c r="N48" s="106"/>
      <c r="O48" s="106"/>
    </row>
    <row r="49" spans="2:15" ht="9" customHeight="1">
      <c r="B49" s="126" t="s">
        <v>93</v>
      </c>
      <c r="C49" s="851"/>
      <c r="D49" s="130" t="s">
        <v>284</v>
      </c>
      <c r="E49" s="106"/>
      <c r="F49" s="106"/>
      <c r="G49" s="107" t="s">
        <v>205</v>
      </c>
      <c r="H49" s="133">
        <f>Phase3end</f>
        <v>7</v>
      </c>
      <c r="I49" s="106"/>
      <c r="J49" s="106"/>
      <c r="K49" s="127"/>
      <c r="L49" s="106"/>
      <c r="M49" s="106"/>
      <c r="N49" s="106"/>
      <c r="O49" s="106"/>
    </row>
    <row r="50" spans="2:15" ht="9" customHeight="1" thickBot="1">
      <c r="B50" s="137"/>
      <c r="C50" s="852"/>
      <c r="D50" s="138"/>
      <c r="E50" s="138"/>
      <c r="F50" s="138"/>
      <c r="G50" s="129" t="s">
        <v>199</v>
      </c>
      <c r="H50" s="131">
        <f>Phase3open</f>
        <v>8</v>
      </c>
      <c r="I50" s="138"/>
      <c r="J50" s="138"/>
      <c r="K50" s="128"/>
      <c r="L50" s="106"/>
      <c r="M50" s="106"/>
      <c r="N50" s="106"/>
      <c r="O50" s="106"/>
    </row>
    <row r="51" spans="2:15" ht="9" customHeight="1">
      <c r="B51" s="106"/>
      <c r="C51" s="853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2:15" ht="9" customHeight="1">
      <c r="B52" s="108" t="s">
        <v>182</v>
      </c>
      <c r="C52" s="854"/>
      <c r="D52" s="106"/>
      <c r="E52" s="109">
        <f>IF(OR(E$2=$H50,E$2&gt;$H50),INDEX(summary!$A$2:$D$24,MATCH($D49,summary!$A$2:$A$24,0),MATCH($D48,summary!$A$2:$D$2,0)),0)</f>
        <v>0</v>
      </c>
      <c r="F52" s="109">
        <f>IF(OR(F$2=$H50,F$2&gt;$H50),INDEX(summary!$A$2:$D$24,MATCH($D49,summary!$A$2:$A$24,0),MATCH($D48,summary!$A$2:$D$2,0)),0)</f>
        <v>0</v>
      </c>
      <c r="G52" s="109">
        <f>IF(OR(G$2=$H50,G$2&gt;$H50),INDEX(summary!$A$2:$D$24,MATCH($D49,summary!$A$2:$A$24,0),MATCH($D48,summary!$A$2:$D$2,0)),0)</f>
        <v>0</v>
      </c>
      <c r="H52" s="109">
        <f>IF(OR(H$2=$H50,H$2&gt;$H50),INDEX(summary!$A$2:$D$24,MATCH($D49,summary!$A$2:$A$24,0),MATCH($D48,summary!$A$2:$D$2,0)),0)</f>
        <v>0</v>
      </c>
      <c r="I52" s="109">
        <f>IF(OR(I$2=$H50,I$2&gt;$H50),INDEX(summary!$A$2:$D$24,MATCH($D49,summary!$A$2:$A$24,0),MATCH($D48,summary!$A$2:$D$2,0)),0)</f>
        <v>0</v>
      </c>
      <c r="J52" s="109">
        <f>IF(OR(J$2=$H50,J$2&gt;$H50),INDEX(summary!$A$2:$D$24,MATCH($D49,summary!$A$2:$A$24,0),MATCH($D48,summary!$A$2:$D$2,0)),0)</f>
        <v>0</v>
      </c>
      <c r="K52" s="109">
        <f>IF(OR(K$2=$H50,K$2&gt;$H50),INDEX(summary!$A$2:$D$24,MATCH($D49,summary!$A$2:$A$24,0),MATCH($D48,summary!$A$2:$D$2,0)),0)</f>
        <v>0</v>
      </c>
      <c r="L52" s="109">
        <f>IF(OR(L$2=$H50,L$2&gt;$H50),INDEX(summary!$A$2:$D$24,MATCH($D49,summary!$A$2:$A$24,0),MATCH($D48,summary!$A$2:$D$2,0)),0)</f>
        <v>0</v>
      </c>
      <c r="M52" s="109">
        <f>IF(OR(M$2=$H50,M$2&gt;$H50),INDEX(summary!$A$2:$D$24,MATCH($D49,summary!$A$2:$A$24,0),MATCH($D48,summary!$A$2:$D$2,0)),0)</f>
        <v>0</v>
      </c>
      <c r="N52" s="109">
        <f>IF(OR(N$2=$H50,N$2&gt;$H50),INDEX(summary!$A$2:$D$24,MATCH($D49,summary!$A$2:$A$24,0),MATCH($D48,summary!$A$2:$D$2,0)),0)</f>
        <v>0</v>
      </c>
      <c r="O52" s="109">
        <f>IF(OR(O$2=$H50,O$2&gt;$H50),INDEX(summary!$A$2:$D$24,MATCH($D49,summary!$A$2:$A$24,0),MATCH($D48,summary!$A$2:$D$2,0)),0)</f>
        <v>0</v>
      </c>
    </row>
    <row r="53" spans="2:15" ht="9" customHeight="1">
      <c r="B53" s="106"/>
      <c r="C53" s="855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</row>
    <row r="54" spans="2:15" ht="9" customHeight="1">
      <c r="B54" s="108" t="s">
        <v>288</v>
      </c>
      <c r="C54" s="855"/>
      <c r="D54" s="111">
        <f>entrancefee</f>
        <v>1</v>
      </c>
      <c r="E54" s="112">
        <f t="shared" ref="E54:O54" si="18">IF(E52&gt;0,annualvisitors*(($D54)*((1+Inflation)^(E$2-1))),0)</f>
        <v>0</v>
      </c>
      <c r="F54" s="112">
        <f t="shared" si="18"/>
        <v>0</v>
      </c>
      <c r="G54" s="112">
        <f t="shared" si="18"/>
        <v>0</v>
      </c>
      <c r="H54" s="112">
        <f t="shared" si="18"/>
        <v>0</v>
      </c>
      <c r="I54" s="112">
        <f t="shared" si="18"/>
        <v>0</v>
      </c>
      <c r="J54" s="112">
        <f t="shared" si="18"/>
        <v>0</v>
      </c>
      <c r="K54" s="112">
        <f t="shared" si="18"/>
        <v>0</v>
      </c>
      <c r="L54" s="112">
        <f t="shared" si="18"/>
        <v>0</v>
      </c>
      <c r="M54" s="112">
        <f t="shared" si="18"/>
        <v>0</v>
      </c>
      <c r="N54" s="112">
        <f t="shared" si="18"/>
        <v>0</v>
      </c>
      <c r="O54" s="112">
        <f t="shared" si="18"/>
        <v>0</v>
      </c>
    </row>
    <row r="55" spans="2:15" ht="9" customHeight="1">
      <c r="B55" s="108" t="s">
        <v>290</v>
      </c>
      <c r="C55" s="855"/>
      <c r="D55" s="216">
        <f>giftshopincome</f>
        <v>1000</v>
      </c>
      <c r="E55" s="112">
        <f t="shared" ref="E55:O55" si="19">IF(E52&gt;0,($D55*((1+Inflation)^(E$2-1))),0)</f>
        <v>0</v>
      </c>
      <c r="F55" s="112">
        <f t="shared" si="19"/>
        <v>0</v>
      </c>
      <c r="G55" s="112">
        <f t="shared" si="19"/>
        <v>0</v>
      </c>
      <c r="H55" s="112">
        <f t="shared" si="19"/>
        <v>0</v>
      </c>
      <c r="I55" s="112">
        <f t="shared" si="19"/>
        <v>0</v>
      </c>
      <c r="J55" s="112">
        <f t="shared" si="19"/>
        <v>0</v>
      </c>
      <c r="K55" s="112">
        <f t="shared" si="19"/>
        <v>0</v>
      </c>
      <c r="L55" s="112">
        <f t="shared" si="19"/>
        <v>0</v>
      </c>
      <c r="M55" s="112">
        <f t="shared" si="19"/>
        <v>0</v>
      </c>
      <c r="N55" s="112">
        <f t="shared" si="19"/>
        <v>0</v>
      </c>
      <c r="O55" s="112">
        <f t="shared" si="19"/>
        <v>0</v>
      </c>
    </row>
    <row r="56" spans="2:15" ht="9" customHeight="1">
      <c r="B56" s="108" t="s">
        <v>193</v>
      </c>
      <c r="C56" s="855"/>
      <c r="D56" s="216">
        <f>D13</f>
        <v>26533.333333333332</v>
      </c>
      <c r="E56" s="113">
        <f t="shared" ref="E56:O56" si="20">-IF(E52&gt;0,($D56*((1+Inflation)^(E$2-1))),0)</f>
        <v>0</v>
      </c>
      <c r="F56" s="113">
        <f t="shared" si="20"/>
        <v>0</v>
      </c>
      <c r="G56" s="113">
        <f t="shared" si="20"/>
        <v>0</v>
      </c>
      <c r="H56" s="113">
        <f t="shared" si="20"/>
        <v>0</v>
      </c>
      <c r="I56" s="113">
        <f t="shared" si="20"/>
        <v>0</v>
      </c>
      <c r="J56" s="113">
        <f t="shared" si="20"/>
        <v>0</v>
      </c>
      <c r="K56" s="113">
        <f t="shared" si="20"/>
        <v>0</v>
      </c>
      <c r="L56" s="113">
        <f t="shared" si="20"/>
        <v>0</v>
      </c>
      <c r="M56" s="113">
        <f t="shared" si="20"/>
        <v>0</v>
      </c>
      <c r="N56" s="113">
        <f t="shared" si="20"/>
        <v>0</v>
      </c>
      <c r="O56" s="113">
        <f t="shared" si="20"/>
        <v>0</v>
      </c>
    </row>
    <row r="57" spans="2:15" ht="9" customHeight="1">
      <c r="B57" s="114" t="s">
        <v>167</v>
      </c>
      <c r="C57" s="855"/>
      <c r="D57" s="106"/>
      <c r="E57" s="112">
        <f t="shared" ref="E57:O57" si="21">SUM(E54:E56)</f>
        <v>0</v>
      </c>
      <c r="F57" s="112">
        <f t="shared" si="21"/>
        <v>0</v>
      </c>
      <c r="G57" s="112">
        <f t="shared" si="21"/>
        <v>0</v>
      </c>
      <c r="H57" s="112">
        <f t="shared" si="21"/>
        <v>0</v>
      </c>
      <c r="I57" s="112">
        <f t="shared" si="21"/>
        <v>0</v>
      </c>
      <c r="J57" s="112">
        <f t="shared" si="21"/>
        <v>0</v>
      </c>
      <c r="K57" s="112">
        <f t="shared" si="21"/>
        <v>0</v>
      </c>
      <c r="L57" s="112">
        <f t="shared" si="21"/>
        <v>0</v>
      </c>
      <c r="M57" s="112">
        <f t="shared" si="21"/>
        <v>0</v>
      </c>
      <c r="N57" s="112">
        <f t="shared" si="21"/>
        <v>0</v>
      </c>
      <c r="O57" s="112">
        <f t="shared" si="21"/>
        <v>0</v>
      </c>
    </row>
    <row r="58" spans="2:15" ht="9" customHeight="1">
      <c r="B58" s="106"/>
      <c r="C58" s="855"/>
      <c r="D58" s="106"/>
      <c r="E58" s="187">
        <f t="shared" ref="E58:O58" si="22">IFERROR(E57/SUM(E54:E54),0)</f>
        <v>0</v>
      </c>
      <c r="F58" s="187">
        <f t="shared" si="22"/>
        <v>0</v>
      </c>
      <c r="G58" s="187">
        <f t="shared" si="22"/>
        <v>0</v>
      </c>
      <c r="H58" s="187">
        <f t="shared" si="22"/>
        <v>0</v>
      </c>
      <c r="I58" s="187">
        <f t="shared" si="22"/>
        <v>0</v>
      </c>
      <c r="J58" s="187">
        <f t="shared" si="22"/>
        <v>0</v>
      </c>
      <c r="K58" s="187">
        <f t="shared" si="22"/>
        <v>0</v>
      </c>
      <c r="L58" s="187">
        <f t="shared" si="22"/>
        <v>0</v>
      </c>
      <c r="M58" s="187">
        <f t="shared" si="22"/>
        <v>0</v>
      </c>
      <c r="N58" s="187">
        <f t="shared" si="22"/>
        <v>0</v>
      </c>
      <c r="O58" s="187">
        <f t="shared" si="22"/>
        <v>0</v>
      </c>
    </row>
    <row r="59" spans="2:15" ht="9" customHeight="1">
      <c r="B59" s="108" t="s">
        <v>168</v>
      </c>
      <c r="C59" s="855"/>
      <c r="D59" s="115">
        <f>INDEX(cockpit!$J$6:$Y$16,MATCH($D49,cockpit!$J$6:$J$16,0),MATCH($B59,cockpit!$J$6:$Y$6,0))</f>
        <v>0.1</v>
      </c>
      <c r="E59" s="113">
        <f>-E52*$D59</f>
        <v>0</v>
      </c>
      <c r="F59" s="113">
        <f t="shared" ref="F59:O59" si="23">-F52*$D59</f>
        <v>0</v>
      </c>
      <c r="G59" s="113">
        <f t="shared" si="23"/>
        <v>0</v>
      </c>
      <c r="H59" s="113">
        <f t="shared" si="23"/>
        <v>0</v>
      </c>
      <c r="I59" s="113">
        <f t="shared" si="23"/>
        <v>0</v>
      </c>
      <c r="J59" s="113">
        <f t="shared" si="23"/>
        <v>0</v>
      </c>
      <c r="K59" s="113">
        <f t="shared" si="23"/>
        <v>0</v>
      </c>
      <c r="L59" s="113">
        <f t="shared" si="23"/>
        <v>0</v>
      </c>
      <c r="M59" s="113">
        <f t="shared" si="23"/>
        <v>0</v>
      </c>
      <c r="N59" s="113">
        <f t="shared" si="23"/>
        <v>0</v>
      </c>
      <c r="O59" s="113">
        <f t="shared" si="23"/>
        <v>0</v>
      </c>
    </row>
    <row r="60" spans="2:15" ht="9" customHeight="1">
      <c r="B60" s="114" t="s">
        <v>195</v>
      </c>
      <c r="C60" s="855"/>
      <c r="D60" s="115"/>
      <c r="E60" s="112">
        <f t="shared" ref="E60:O60" si="24">SUM(E59:E59)</f>
        <v>0</v>
      </c>
      <c r="F60" s="112">
        <f t="shared" si="24"/>
        <v>0</v>
      </c>
      <c r="G60" s="112">
        <f t="shared" si="24"/>
        <v>0</v>
      </c>
      <c r="H60" s="112">
        <f t="shared" si="24"/>
        <v>0</v>
      </c>
      <c r="I60" s="112">
        <f t="shared" si="24"/>
        <v>0</v>
      </c>
      <c r="J60" s="112">
        <f t="shared" si="24"/>
        <v>0</v>
      </c>
      <c r="K60" s="112">
        <f t="shared" si="24"/>
        <v>0</v>
      </c>
      <c r="L60" s="112">
        <f t="shared" si="24"/>
        <v>0</v>
      </c>
      <c r="M60" s="112">
        <f t="shared" si="24"/>
        <v>0</v>
      </c>
      <c r="N60" s="112">
        <f t="shared" si="24"/>
        <v>0</v>
      </c>
      <c r="O60" s="112">
        <f t="shared" si="24"/>
        <v>0</v>
      </c>
    </row>
    <row r="61" spans="2:15" ht="9" customHeight="1">
      <c r="B61" s="108"/>
      <c r="C61" s="855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</row>
    <row r="62" spans="2:15" ht="9" customHeight="1">
      <c r="B62" s="108" t="s">
        <v>170</v>
      </c>
      <c r="C62" s="855"/>
      <c r="D62" s="111">
        <f>(publicspacesconstructioncostPSF*(1-$K48))+((publicspacesconstructioncostPSF*(1+premiumprices)*$K48))</f>
        <v>225</v>
      </c>
      <c r="E62" s="113">
        <f>-IF(OR(E$2=$H48,E$2=$H49,AND(E$2&gt;$H48,E$2&lt;$H49)),(INDEX(summary!$A$2:$D$24,MATCH($D49,summary!$A$2:$A$24,0),MATCH($D48,summary!$A$2:$D$2,0)))/constructiontimephase3)*($D62*((1+Inflation)^(E$2-1)))*(1+Developerfee)</f>
        <v>0</v>
      </c>
      <c r="F62" s="113">
        <f>-IF(OR(F$2=$H48,F$2=$H49,AND(F$2&gt;$H48,F$2&lt;$H49)),(INDEX(summary!$A$2:$D$24,MATCH($D49,summary!$A$2:$A$24,0),MATCH($D48,summary!$A$2:$D$2,0)))/constructiontimephase3)*($D62*((1+Inflation)^(F$2-1)))*(1+Developerfee)</f>
        <v>0</v>
      </c>
      <c r="G62" s="113">
        <f>-IF(OR(G$2=$H48,G$2=$H49,AND(G$2&gt;$H48,G$2&lt;$H49)),(INDEX(summary!$A$2:$D$24,MATCH($D49,summary!$A$2:$A$24,0),MATCH($D48,summary!$A$2:$D$2,0)))/constructiontimephase3)*($D62*((1+Inflation)^(G$2-1)))*(1+Developerfee)</f>
        <v>0</v>
      </c>
      <c r="H62" s="113">
        <f>-IF(OR(H$2=$H48,H$2=$H49,AND(H$2&gt;$H48,H$2&lt;$H49)),(INDEX(summary!$A$2:$D$24,MATCH($D49,summary!$A$2:$A$24,0),MATCH($D48,summary!$A$2:$D$2,0)))/constructiontimephase3)*($D62*((1+Inflation)^(H$2-1)))*(1+Developerfee)</f>
        <v>0</v>
      </c>
      <c r="I62" s="113">
        <f>-IF(OR(I$2=$H48,I$2=$H49,AND(I$2&gt;$H48,I$2&lt;$H49)),(INDEX(summary!$A$2:$D$24,MATCH($D49,summary!$A$2:$A$24,0),MATCH($D48,summary!$A$2:$D$2,0)))/constructiontimephase3)*($D62*((1+Inflation)^(I$2-1)))*(1+Developerfee)</f>
        <v>0</v>
      </c>
      <c r="J62" s="113">
        <f>-IF(OR(J$2=$H48,J$2=$H49,AND(J$2&gt;$H48,J$2&lt;$H49)),(INDEX(summary!$A$2:$D$24,MATCH($D49,summary!$A$2:$A$24,0),MATCH($D48,summary!$A$2:$D$2,0)))/constructiontimephase3)*($D62*((1+Inflation)^(J$2-1)))*(1+Developerfee)</f>
        <v>0</v>
      </c>
      <c r="K62" s="113">
        <f>-IF(OR(K$2=$H48,K$2=$H49,AND(K$2&gt;$H48,K$2&lt;$H49)),(INDEX(summary!$A$2:$D$24,MATCH($D49,summary!$A$2:$A$24,0),MATCH($D48,summary!$A$2:$D$2,0)))/constructiontimephase3)*($D62*((1+Inflation)^(K$2-1)))*(1+Developerfee)</f>
        <v>0</v>
      </c>
      <c r="L62" s="113">
        <f>-IF(OR(L$2=$H48,L$2=$H49,AND(L$2&gt;$H48,L$2&lt;$H49)),(INDEX(summary!$A$2:$D$24,MATCH($D49,summary!$A$2:$A$24,0),MATCH($D48,summary!$A$2:$D$2,0)))/constructiontimephase3)*($D62*((1+Inflation)^(L$2-1)))*(1+Developerfee)</f>
        <v>0</v>
      </c>
      <c r="M62" s="113">
        <f>-IF(OR(M$2=$H48,M$2=$H49,AND(M$2&gt;$H48,M$2&lt;$H49)),(INDEX(summary!$A$2:$D$24,MATCH($D49,summary!$A$2:$A$24,0),MATCH($D48,summary!$A$2:$D$2,0)))/constructiontimephase3)*($D62*((1+Inflation)^(M$2-1)))*(1+Developerfee)</f>
        <v>0</v>
      </c>
      <c r="N62" s="113">
        <f>-IF(OR(N$2=$H48,N$2=$H49,AND(N$2&gt;$H48,N$2&lt;$H49)),(INDEX(summary!$A$2:$D$24,MATCH($D49,summary!$A$2:$A$24,0),MATCH($D48,summary!$A$2:$D$2,0)))/constructiontimephase3)*($D62*((1+Inflation)^(N$2-1)))*(1+Developerfee)</f>
        <v>0</v>
      </c>
      <c r="O62" s="113">
        <f>-IF(OR(O$2=$H48,O$2=$H49,AND(O$2&gt;$H48,O$2&lt;$H49)),(INDEX(summary!$A$2:$D$24,MATCH($D49,summary!$A$2:$A$24,0),MATCH($D48,summary!$A$2:$D$2,0)))/constructiontimephase3)*($D62*((1+Inflation)^(O$2-1)))*(1+Developerfee)</f>
        <v>0</v>
      </c>
    </row>
    <row r="63" spans="2:15" ht="9" customHeight="1">
      <c r="B63" s="114" t="s">
        <v>196</v>
      </c>
      <c r="C63" s="855"/>
      <c r="D63" s="110"/>
      <c r="E63" s="112">
        <f t="shared" ref="E63:O63" si="25">SUM(E62:E62)</f>
        <v>0</v>
      </c>
      <c r="F63" s="112">
        <f t="shared" si="25"/>
        <v>0</v>
      </c>
      <c r="G63" s="112">
        <f t="shared" si="25"/>
        <v>0</v>
      </c>
      <c r="H63" s="112">
        <f t="shared" si="25"/>
        <v>0</v>
      </c>
      <c r="I63" s="112">
        <f t="shared" si="25"/>
        <v>0</v>
      </c>
      <c r="J63" s="112">
        <f t="shared" si="25"/>
        <v>0</v>
      </c>
      <c r="K63" s="112">
        <f t="shared" si="25"/>
        <v>0</v>
      </c>
      <c r="L63" s="112">
        <f t="shared" si="25"/>
        <v>0</v>
      </c>
      <c r="M63" s="112">
        <f t="shared" si="25"/>
        <v>0</v>
      </c>
      <c r="N63" s="112">
        <f t="shared" si="25"/>
        <v>0</v>
      </c>
      <c r="O63" s="112">
        <f t="shared" si="25"/>
        <v>0</v>
      </c>
    </row>
    <row r="64" spans="2:15" ht="9" customHeight="1">
      <c r="B64" s="108"/>
      <c r="C64" s="855"/>
      <c r="D64" s="110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</row>
    <row r="65" spans="2:15" ht="9" customHeight="1">
      <c r="B65" s="114" t="s">
        <v>169</v>
      </c>
      <c r="C65" s="856"/>
      <c r="D65" s="116"/>
      <c r="E65" s="117">
        <f t="shared" ref="E65:O65" si="26">SUM(E57,E60,E63)</f>
        <v>0</v>
      </c>
      <c r="F65" s="117">
        <f t="shared" si="26"/>
        <v>0</v>
      </c>
      <c r="G65" s="117">
        <f t="shared" si="26"/>
        <v>0</v>
      </c>
      <c r="H65" s="117">
        <f t="shared" si="26"/>
        <v>0</v>
      </c>
      <c r="I65" s="117">
        <f t="shared" si="26"/>
        <v>0</v>
      </c>
      <c r="J65" s="117">
        <f t="shared" si="26"/>
        <v>0</v>
      </c>
      <c r="K65" s="117">
        <f t="shared" si="26"/>
        <v>0</v>
      </c>
      <c r="L65" s="117">
        <f t="shared" si="26"/>
        <v>0</v>
      </c>
      <c r="M65" s="117">
        <f t="shared" si="26"/>
        <v>0</v>
      </c>
      <c r="N65" s="117">
        <f t="shared" si="26"/>
        <v>0</v>
      </c>
      <c r="O65" s="117">
        <f t="shared" si="26"/>
        <v>0</v>
      </c>
    </row>
    <row r="66" spans="2:15" ht="9" customHeight="1">
      <c r="B66" s="114"/>
      <c r="C66" s="856"/>
      <c r="D66" s="118"/>
      <c r="E66" s="106"/>
      <c r="F66" s="106"/>
      <c r="G66" s="106"/>
      <c r="H66" s="119"/>
      <c r="I66" s="106"/>
      <c r="J66" s="106"/>
      <c r="K66" s="106"/>
      <c r="L66" s="106"/>
      <c r="M66" s="106"/>
      <c r="N66" s="106"/>
      <c r="O66" s="106"/>
    </row>
    <row r="67" spans="2:15" ht="9" customHeight="1">
      <c r="B67" s="114"/>
      <c r="C67" s="856"/>
      <c r="D67" s="118"/>
      <c r="E67" s="106"/>
      <c r="F67" s="106"/>
      <c r="G67" s="106"/>
      <c r="H67" s="119"/>
      <c r="I67" s="106"/>
      <c r="J67" s="106"/>
      <c r="K67" s="106"/>
      <c r="L67" s="106"/>
      <c r="M67" s="106"/>
      <c r="N67" s="106"/>
      <c r="O67" s="106"/>
    </row>
    <row r="68" spans="2:15" ht="9" customHeight="1">
      <c r="B68" s="114"/>
      <c r="C68" s="851"/>
      <c r="D68" s="106"/>
      <c r="E68" s="106"/>
      <c r="F68" s="106"/>
      <c r="G68" s="106"/>
      <c r="H68" s="109"/>
      <c r="I68" s="106"/>
      <c r="J68" s="106"/>
      <c r="K68" s="106"/>
      <c r="L68" s="106"/>
      <c r="M68" s="106"/>
      <c r="N68" s="106"/>
      <c r="O68" s="106"/>
    </row>
    <row r="69" spans="2:15" ht="9" customHeight="1">
      <c r="B69" s="114"/>
      <c r="C69" s="854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</row>
    <row r="70" spans="2:15" ht="9" customHeight="1">
      <c r="B70" s="190"/>
      <c r="C70" s="854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</row>
    <row r="71" spans="2:15" ht="9" customHeight="1">
      <c r="B71" s="106"/>
      <c r="C71" s="85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</row>
    <row r="72" spans="2:15" ht="9" customHeight="1">
      <c r="B72" s="114"/>
      <c r="C72" s="85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</row>
    <row r="73" spans="2:15" ht="9" customHeight="1">
      <c r="B73" s="106"/>
      <c r="C73" s="851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</row>
    <row r="74" spans="2:15" ht="9" customHeight="1">
      <c r="B74" s="106"/>
      <c r="C74" s="85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1BFC-BF5D-42F2-B73B-EAE510502581}">
  <sheetPr>
    <tabColor theme="9" tint="0.59999389629810485"/>
  </sheetPr>
  <dimension ref="B2:S81"/>
  <sheetViews>
    <sheetView showGridLines="0" topLeftCell="H1" zoomScale="60" zoomScaleNormal="60" workbookViewId="0">
      <selection activeCell="O62" sqref="O62"/>
    </sheetView>
  </sheetViews>
  <sheetFormatPr defaultRowHeight="9" customHeight="1"/>
  <cols>
    <col min="2" max="2" width="24.1796875" bestFit="1" customWidth="1"/>
    <col min="3" max="3" width="1.1796875" style="857" customWidth="1"/>
    <col min="5" max="5" width="9" bestFit="1" customWidth="1"/>
    <col min="6" max="7" width="11.453125" bestFit="1" customWidth="1"/>
    <col min="8" max="8" width="10.36328125" bestFit="1" customWidth="1"/>
    <col min="9" max="14" width="11.08984375" bestFit="1" customWidth="1"/>
    <col min="15" max="15" width="11.7265625" bestFit="1" customWidth="1"/>
  </cols>
  <sheetData>
    <row r="2" spans="2:19" ht="9" customHeight="1" thickBot="1">
      <c r="B2" s="129" t="s">
        <v>175</v>
      </c>
      <c r="C2" s="849"/>
      <c r="D2" s="129"/>
      <c r="E2" s="129">
        <v>0</v>
      </c>
      <c r="F2" s="129">
        <v>1</v>
      </c>
      <c r="G2" s="129">
        <v>2</v>
      </c>
      <c r="H2" s="129">
        <v>3</v>
      </c>
      <c r="I2" s="129">
        <v>4</v>
      </c>
      <c r="J2" s="129">
        <v>5</v>
      </c>
      <c r="K2" s="129">
        <v>6</v>
      </c>
      <c r="L2" s="129">
        <v>7</v>
      </c>
      <c r="M2" s="129">
        <v>8</v>
      </c>
      <c r="N2" s="129">
        <v>9</v>
      </c>
      <c r="O2" s="129">
        <v>10</v>
      </c>
    </row>
    <row r="3" spans="2:19" ht="9" customHeight="1" thickBot="1">
      <c r="B3" s="107"/>
      <c r="C3" s="850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9" ht="9" customHeight="1">
      <c r="B4" s="123" t="s">
        <v>198</v>
      </c>
      <c r="C4" s="124"/>
      <c r="D4" s="124"/>
      <c r="E4" s="134"/>
      <c r="F4" s="135"/>
      <c r="G4" s="135"/>
      <c r="H4" s="135"/>
      <c r="I4" s="135"/>
      <c r="J4" s="135"/>
      <c r="K4" s="125"/>
      <c r="L4" s="107"/>
      <c r="M4" s="107"/>
      <c r="N4" s="107"/>
      <c r="O4" s="107"/>
    </row>
    <row r="5" spans="2:19" ht="9" customHeight="1">
      <c r="B5" s="126" t="s">
        <v>89</v>
      </c>
      <c r="C5" s="851"/>
      <c r="D5" s="133">
        <v>1</v>
      </c>
      <c r="E5" s="106"/>
      <c r="F5" s="106"/>
      <c r="G5" s="107" t="s">
        <v>204</v>
      </c>
      <c r="H5" s="133">
        <f>Phase1begin</f>
        <v>1</v>
      </c>
      <c r="I5" s="106"/>
      <c r="J5" s="107" t="s">
        <v>201</v>
      </c>
      <c r="K5" s="136">
        <v>0</v>
      </c>
      <c r="L5" s="106"/>
      <c r="M5" s="106"/>
      <c r="N5" s="106"/>
      <c r="O5" s="106"/>
    </row>
    <row r="6" spans="2:19" ht="9" customHeight="1">
      <c r="B6" s="126" t="s">
        <v>93</v>
      </c>
      <c r="C6" s="851"/>
      <c r="D6" s="130" t="s">
        <v>332</v>
      </c>
      <c r="E6" s="106"/>
      <c r="F6" s="106"/>
      <c r="G6" s="107" t="s">
        <v>205</v>
      </c>
      <c r="H6" s="133">
        <f>Phase1end</f>
        <v>3</v>
      </c>
      <c r="I6" s="106"/>
      <c r="J6" s="106"/>
      <c r="K6" s="127"/>
      <c r="L6" s="106"/>
      <c r="M6" s="106"/>
      <c r="N6" s="106"/>
      <c r="O6" s="106"/>
    </row>
    <row r="7" spans="2:19" ht="9" customHeight="1" thickBot="1">
      <c r="B7" s="137"/>
      <c r="C7" s="852"/>
      <c r="D7" s="138"/>
      <c r="E7" s="138"/>
      <c r="F7" s="138"/>
      <c r="G7" s="129" t="s">
        <v>199</v>
      </c>
      <c r="H7" s="131">
        <f>Phase1open</f>
        <v>4</v>
      </c>
      <c r="I7" s="138"/>
      <c r="J7" s="138"/>
      <c r="K7" s="128"/>
      <c r="L7" s="106"/>
      <c r="M7" s="106"/>
      <c r="N7" s="106"/>
      <c r="O7" s="106"/>
    </row>
    <row r="8" spans="2:19" ht="9" customHeight="1">
      <c r="B8" s="106"/>
      <c r="C8" s="853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2:19" ht="9" customHeight="1">
      <c r="B9" s="108" t="s">
        <v>182</v>
      </c>
      <c r="C9" s="854"/>
      <c r="D9" s="106"/>
      <c r="E9" s="109">
        <f>IF(OR(E$2=$H7,E$2&gt;$H7),INDEX(summary!$A$2:$D$24,MATCH($D6,summary!$A$2:$A$24,0),MATCH($D5,summary!$A$2:$D$2,0)),0)</f>
        <v>0</v>
      </c>
      <c r="F9" s="109">
        <f>IF(OR(F$2=$H7,F$2&gt;$H7),INDEX(summary!$A$2:$D$24,MATCH($D6,summary!$A$2:$A$24,0),MATCH($D5,summary!$A$2:$D$2,0)),0)</f>
        <v>0</v>
      </c>
      <c r="G9" s="109">
        <f>IF(OR(G$2=$H7,G$2&gt;$H7),INDEX(summary!$A$2:$D$24,MATCH($D6,summary!$A$2:$A$24,0),MATCH($D5,summary!$A$2:$D$2,0)),0)</f>
        <v>0</v>
      </c>
      <c r="H9" s="109">
        <f>IF(OR(H$2=$H7,H$2&gt;$H7),INDEX(summary!$A$2:$D$24,MATCH($D6,summary!$A$2:$A$24,0),MATCH($D5,summary!$A$2:$D$2,0)),0)</f>
        <v>0</v>
      </c>
      <c r="I9" s="109">
        <f>IF(OR(I$2=$H7,I$2&gt;$H7),INDEX(summary!$A$2:$D$24,MATCH($D6,summary!$A$2:$A$24,0),MATCH($D5,summary!$A$2:$D$2,0)),0)</f>
        <v>313427.08740000002</v>
      </c>
      <c r="J9" s="109">
        <f>IF(OR(J$2=$H7,J$2&gt;$H7),INDEX(summary!$A$2:$D$24,MATCH($D6,summary!$A$2:$A$24,0),MATCH($D5,summary!$A$2:$D$2,0)),0)</f>
        <v>313427.08740000002</v>
      </c>
      <c r="K9" s="109">
        <f>IF(OR(K$2=$H7,K$2&gt;$H7),INDEX(summary!$A$2:$D$24,MATCH($D6,summary!$A$2:$A$24,0),MATCH($D5,summary!$A$2:$D$2,0)),0)</f>
        <v>313427.08740000002</v>
      </c>
      <c r="L9" s="109">
        <f>IF(OR(L$2=$H7,L$2&gt;$H7),INDEX(summary!$A$2:$D$24,MATCH($D6,summary!$A$2:$A$24,0),MATCH($D5,summary!$A$2:$D$2,0)),0)</f>
        <v>313427.08740000002</v>
      </c>
      <c r="M9" s="109">
        <f>IF(OR(M$2=$H7,M$2&gt;$H7),INDEX(summary!$A$2:$D$24,MATCH($D6,summary!$A$2:$A$24,0),MATCH($D5,summary!$A$2:$D$2,0)),0)</f>
        <v>313427.08740000002</v>
      </c>
      <c r="N9" s="109">
        <f>IF(OR(N$2=$H7,N$2&gt;$H7),INDEX(summary!$A$2:$D$24,MATCH($D6,summary!$A$2:$A$24,0),MATCH($D5,summary!$A$2:$D$2,0)),0)</f>
        <v>313427.08740000002</v>
      </c>
      <c r="O9" s="109">
        <f>IF(OR(O$2=$H7,O$2&gt;$H7),INDEX(summary!$A$2:$D$24,MATCH($D6,summary!$A$2:$A$24,0),MATCH($D5,summary!$A$2:$D$2,0)),0)</f>
        <v>313427.08740000002</v>
      </c>
      <c r="S9" t="s">
        <v>953</v>
      </c>
    </row>
    <row r="10" spans="2:19" ht="9" customHeight="1">
      <c r="B10" s="108" t="s">
        <v>401</v>
      </c>
      <c r="C10" s="854"/>
      <c r="D10" s="106"/>
      <c r="E10" s="109">
        <f t="shared" ref="E10:O10" si="0">E9*(1-$D11)/parkingaveragespacesize</f>
        <v>0</v>
      </c>
      <c r="F10" s="109">
        <f t="shared" si="0"/>
        <v>0</v>
      </c>
      <c r="G10" s="109">
        <f t="shared" si="0"/>
        <v>0</v>
      </c>
      <c r="H10" s="109">
        <f t="shared" si="0"/>
        <v>0</v>
      </c>
      <c r="I10" s="109">
        <f t="shared" si="0"/>
        <v>940.28126220000001</v>
      </c>
      <c r="J10" s="109">
        <f t="shared" si="0"/>
        <v>940.28126220000001</v>
      </c>
      <c r="K10" s="109">
        <f t="shared" si="0"/>
        <v>940.28126220000001</v>
      </c>
      <c r="L10" s="109">
        <f t="shared" si="0"/>
        <v>940.28126220000001</v>
      </c>
      <c r="M10" s="109">
        <f t="shared" si="0"/>
        <v>940.28126220000001</v>
      </c>
      <c r="N10" s="109">
        <f t="shared" si="0"/>
        <v>940.28126220000001</v>
      </c>
      <c r="O10" s="109">
        <f t="shared" si="0"/>
        <v>940.28126220000001</v>
      </c>
      <c r="R10" t="s">
        <v>219</v>
      </c>
      <c r="S10" s="34">
        <f>O10</f>
        <v>940.28126220000001</v>
      </c>
    </row>
    <row r="11" spans="2:19" ht="9" customHeight="1">
      <c r="B11" s="108" t="s">
        <v>194</v>
      </c>
      <c r="C11" s="855" t="s">
        <v>191</v>
      </c>
      <c r="D11" s="110">
        <f>INDEX(cockpit!$J$6:$Y$16,MATCH($D6,cockpit!$J$6:$J$16,0),MATCH($C$11,cockpit!$J$6:$Y$6,0))</f>
        <v>0.4</v>
      </c>
      <c r="E11" s="109">
        <f t="shared" ref="E11:O11" si="1">E9*(1-$D11)</f>
        <v>0</v>
      </c>
      <c r="F11" s="109">
        <f t="shared" si="1"/>
        <v>0</v>
      </c>
      <c r="G11" s="109">
        <f t="shared" si="1"/>
        <v>0</v>
      </c>
      <c r="H11" s="109">
        <f t="shared" si="1"/>
        <v>0</v>
      </c>
      <c r="I11" s="109">
        <f t="shared" si="1"/>
        <v>188056.25244000001</v>
      </c>
      <c r="J11" s="109">
        <f t="shared" si="1"/>
        <v>188056.25244000001</v>
      </c>
      <c r="K11" s="109">
        <f t="shared" si="1"/>
        <v>188056.25244000001</v>
      </c>
      <c r="L11" s="109">
        <f t="shared" si="1"/>
        <v>188056.25244000001</v>
      </c>
      <c r="M11" s="109">
        <f t="shared" si="1"/>
        <v>188056.25244000001</v>
      </c>
      <c r="N11" s="109">
        <f t="shared" si="1"/>
        <v>188056.25244000001</v>
      </c>
      <c r="O11" s="109">
        <f t="shared" si="1"/>
        <v>188056.25244000001</v>
      </c>
      <c r="R11" t="s">
        <v>220</v>
      </c>
      <c r="S11" s="34">
        <f>O36</f>
        <v>394.90405620000007</v>
      </c>
    </row>
    <row r="12" spans="2:19" ht="9" customHeight="1">
      <c r="B12" s="108" t="s">
        <v>180</v>
      </c>
      <c r="C12" s="855" t="s">
        <v>152</v>
      </c>
      <c r="D12" s="122">
        <f>parkingrampup</f>
        <v>0.47499999999999998</v>
      </c>
      <c r="E12" s="109">
        <f>(IF(OR(E$2=$H7,AND(E$2&gt;$H7,E$2&lt;(SUM($H7,INDEX(cockpit!$J$6:$Y$16,MATCH($D6,cockpit!$J$6:$J$16,0),MATCH($C$12,cockpit!$J$6:$Y$6,0)))))),E11*$D12,0))/parkingaveragespacesize</f>
        <v>0</v>
      </c>
      <c r="F12" s="109">
        <f>(IF(OR(F$2=$H7,AND(F$2&gt;$H7,F$2&lt;(SUM($H7,INDEX(cockpit!$J$6:$Y$16,MATCH($D6,cockpit!$J$6:$J$16,0),MATCH($C$12,cockpit!$J$6:$Y$6,0)))))),F11*$D12,0))/parkingaveragespacesize</f>
        <v>0</v>
      </c>
      <c r="G12" s="109">
        <f>(IF(OR(G$2=$H7,AND(G$2&gt;$H7,G$2&lt;(SUM($H7,INDEX(cockpit!$J$6:$Y$16,MATCH($D6,cockpit!$J$6:$J$16,0),MATCH($C$12,cockpit!$J$6:$Y$6,0)))))),G11*$D12,0))/parkingaveragespacesize</f>
        <v>0</v>
      </c>
      <c r="H12" s="109">
        <f>(IF(OR(H$2=$H7,AND(H$2&gt;$H7,H$2&lt;(SUM($H7,INDEX(cockpit!$J$6:$Y$16,MATCH($D6,cockpit!$J$6:$J$16,0),MATCH($C$12,cockpit!$J$6:$Y$6,0)))))),H11*$D12,0))/parkingaveragespacesize</f>
        <v>0</v>
      </c>
      <c r="I12" s="109">
        <f>(IF(OR(I$2=$H7,AND(I$2&gt;$H7,I$2&lt;(SUM($H7,INDEX(cockpit!$J$6:$Y$16,MATCH($D6,cockpit!$J$6:$J$16,0),MATCH($C$12,cockpit!$J$6:$Y$6,0)))))),I11*$D12,0))/parkingaveragespacesize</f>
        <v>446.63359954500004</v>
      </c>
      <c r="J12" s="109">
        <f>(IF(OR(J$2=$H7,AND(J$2&gt;$H7,J$2&lt;(SUM($H7,INDEX(cockpit!$J$6:$Y$16,MATCH($D6,cockpit!$J$6:$J$16,0),MATCH($C$12,cockpit!$J$6:$Y$6,0)))))),J11*$D12,0))/parkingaveragespacesize</f>
        <v>446.63359954500004</v>
      </c>
      <c r="K12" s="109">
        <f>(IF(OR(K$2=$H7,AND(K$2&gt;$H7,K$2&lt;(SUM($H7,INDEX(cockpit!$J$6:$Y$16,MATCH($D6,cockpit!$J$6:$J$16,0),MATCH($C$12,cockpit!$J$6:$Y$6,0)))))),K11*$D12,0))/parkingaveragespacesize</f>
        <v>0</v>
      </c>
      <c r="L12" s="109">
        <f>(IF(OR(L$2=$H7,AND(L$2&gt;$H7,L$2&lt;(SUM($H7,INDEX(cockpit!$J$6:$Y$16,MATCH($D6,cockpit!$J$6:$J$16,0),MATCH($C$12,cockpit!$J$6:$Y$6,0)))))),L11*$D12,0))/parkingaveragespacesize</f>
        <v>0</v>
      </c>
      <c r="M12" s="109">
        <f>(IF(OR(M$2=$H7,AND(M$2&gt;$H7,M$2&lt;(SUM($H7,INDEX(cockpit!$J$6:$Y$16,MATCH($D6,cockpit!$J$6:$J$16,0),MATCH($C$12,cockpit!$J$6:$Y$6,0)))))),M11*$D12,0))/parkingaveragespacesize</f>
        <v>0</v>
      </c>
      <c r="N12" s="109">
        <f>(IF(OR(N$2=$H7,AND(N$2&gt;$H7,N$2&lt;(SUM($H7,INDEX(cockpit!$J$6:$Y$16,MATCH($D6,cockpit!$J$6:$J$16,0),MATCH($C$12,cockpit!$J$6:$Y$6,0)))))),N11*$D12,0))/parkingaveragespacesize</f>
        <v>0</v>
      </c>
      <c r="O12" s="109">
        <f>(IF(OR(O$2=$H7,AND(O$2&gt;$H7,O$2&lt;(SUM($H7,INDEX(cockpit!$J$6:$Y$16,MATCH($D6,cockpit!$J$6:$J$16,0),MATCH($C$12,cockpit!$J$6:$Y$6,0)))))),O11*$D12,0))/parkingaveragespacesize</f>
        <v>0</v>
      </c>
      <c r="R12" t="s">
        <v>321</v>
      </c>
      <c r="S12" s="34">
        <f>O62</f>
        <v>985.34014470000011</v>
      </c>
    </row>
    <row r="13" spans="2:19" ht="9" customHeight="1">
      <c r="B13" s="108" t="s">
        <v>399</v>
      </c>
      <c r="C13" s="855"/>
      <c r="D13" s="268">
        <f>parkingaveragespacesize</f>
        <v>200</v>
      </c>
      <c r="E13" s="109">
        <f>SUM($E12:E12)</f>
        <v>0</v>
      </c>
      <c r="F13" s="109">
        <f>SUM($E12:F12)</f>
        <v>0</v>
      </c>
      <c r="G13" s="109">
        <f>SUM($E12:G12)</f>
        <v>0</v>
      </c>
      <c r="H13" s="109">
        <f>SUM($E12:H12)</f>
        <v>0</v>
      </c>
      <c r="I13" s="109">
        <f>SUM($E12:I12)</f>
        <v>446.63359954500004</v>
      </c>
      <c r="J13" s="109">
        <f>SUM($E12:J12)</f>
        <v>893.26719909000008</v>
      </c>
      <c r="K13" s="109">
        <f>SUM($E12:K12)</f>
        <v>893.26719909000008</v>
      </c>
      <c r="L13" s="109">
        <f>SUM($E12:L12)</f>
        <v>893.26719909000008</v>
      </c>
      <c r="M13" s="109">
        <f>SUM($E12:M12)</f>
        <v>893.26719909000008</v>
      </c>
      <c r="N13" s="109">
        <f>SUM($E12:N12)</f>
        <v>893.26719909000008</v>
      </c>
      <c r="O13" s="109">
        <f>SUM($E12:O12)</f>
        <v>893.26719909000008</v>
      </c>
    </row>
    <row r="14" spans="2:19" ht="9" customHeight="1">
      <c r="B14" s="106"/>
      <c r="C14" s="855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</row>
    <row r="15" spans="2:19" ht="9" customHeight="1">
      <c r="B15" s="108" t="s">
        <v>166</v>
      </c>
      <c r="C15" s="855"/>
      <c r="D15" s="111">
        <f>parkingrevenueperspacepermonth</f>
        <v>324</v>
      </c>
      <c r="E15" s="112">
        <f t="shared" ref="E15:O15" si="2">(E13*12)*($D15*((1+Inflation)^(E$2-1)))</f>
        <v>0</v>
      </c>
      <c r="F15" s="112">
        <f t="shared" si="2"/>
        <v>0</v>
      </c>
      <c r="G15" s="112">
        <f t="shared" si="2"/>
        <v>0</v>
      </c>
      <c r="H15" s="112">
        <f t="shared" si="2"/>
        <v>0</v>
      </c>
      <c r="I15" s="112">
        <f t="shared" si="2"/>
        <v>1842799.8269463354</v>
      </c>
      <c r="J15" s="112">
        <f t="shared" si="2"/>
        <v>3759311.6469705245</v>
      </c>
      <c r="K15" s="112">
        <f t="shared" si="2"/>
        <v>3834497.8799099345</v>
      </c>
      <c r="L15" s="112">
        <f t="shared" si="2"/>
        <v>3911187.8375081331</v>
      </c>
      <c r="M15" s="112">
        <f t="shared" si="2"/>
        <v>3989411.5942582954</v>
      </c>
      <c r="N15" s="112">
        <f t="shared" si="2"/>
        <v>4069199.8261434617</v>
      </c>
      <c r="O15" s="112">
        <f t="shared" si="2"/>
        <v>4150583.8226663307</v>
      </c>
    </row>
    <row r="16" spans="2:19" ht="9" customHeight="1">
      <c r="B16" s="108" t="s">
        <v>216</v>
      </c>
      <c r="C16" s="855"/>
      <c r="D16" s="111">
        <f>IF(INDEX(cockpit!$J$6:$Y$16,MATCH($D6,cockpit!$J$6:$J$16,0),MATCH($B16,cockpit!$J$6:$Y$6,0))="Y",D17,0)</f>
        <v>0</v>
      </c>
      <c r="E16" s="112">
        <f t="shared" ref="E16:O16" si="3">-IF($D16&gt;0,E17,0)</f>
        <v>0</v>
      </c>
      <c r="F16" s="112">
        <f t="shared" si="3"/>
        <v>0</v>
      </c>
      <c r="G16" s="112">
        <f t="shared" si="3"/>
        <v>0</v>
      </c>
      <c r="H16" s="112">
        <f t="shared" si="3"/>
        <v>0</v>
      </c>
      <c r="I16" s="112">
        <f t="shared" si="3"/>
        <v>0</v>
      </c>
      <c r="J16" s="112">
        <f t="shared" si="3"/>
        <v>0</v>
      </c>
      <c r="K16" s="112">
        <f t="shared" si="3"/>
        <v>0</v>
      </c>
      <c r="L16" s="112">
        <f t="shared" si="3"/>
        <v>0</v>
      </c>
      <c r="M16" s="112">
        <f t="shared" si="3"/>
        <v>0</v>
      </c>
      <c r="N16" s="112">
        <f t="shared" si="3"/>
        <v>0</v>
      </c>
      <c r="O16" s="112">
        <f t="shared" si="3"/>
        <v>0</v>
      </c>
      <c r="P16" s="112"/>
    </row>
    <row r="17" spans="2:15" ht="9" customHeight="1">
      <c r="B17" s="108" t="s">
        <v>123</v>
      </c>
      <c r="C17" s="855"/>
      <c r="D17" s="122">
        <f>INDEX(cockpit!$J$6:$Y$16,MATCH($D6,cockpit!$J$6:$J$16,0),MATCH($B17,cockpit!$J$6:$Y$6,0))</f>
        <v>0.25</v>
      </c>
      <c r="E17" s="113">
        <f t="shared" ref="E17:O17" si="4">-IF($D17&gt;1,E9*($D17*((1+Inflation)^(E$2-1))),E15*(1-$D17))</f>
        <v>0</v>
      </c>
      <c r="F17" s="113">
        <f t="shared" si="4"/>
        <v>0</v>
      </c>
      <c r="G17" s="113">
        <f t="shared" si="4"/>
        <v>0</v>
      </c>
      <c r="H17" s="113">
        <f t="shared" si="4"/>
        <v>0</v>
      </c>
      <c r="I17" s="113">
        <f t="shared" si="4"/>
        <v>-1382099.8702097517</v>
      </c>
      <c r="J17" s="113">
        <f t="shared" si="4"/>
        <v>-2819483.7352278931</v>
      </c>
      <c r="K17" s="113">
        <f t="shared" si="4"/>
        <v>-2875873.4099324509</v>
      </c>
      <c r="L17" s="113">
        <f t="shared" si="4"/>
        <v>-2933390.8781311</v>
      </c>
      <c r="M17" s="113">
        <f t="shared" si="4"/>
        <v>-2992058.6956937215</v>
      </c>
      <c r="N17" s="113">
        <f t="shared" si="4"/>
        <v>-3051899.8696075962</v>
      </c>
      <c r="O17" s="113">
        <f t="shared" si="4"/>
        <v>-3112937.8669997482</v>
      </c>
    </row>
    <row r="18" spans="2:15" ht="9" customHeight="1">
      <c r="B18" s="114" t="s">
        <v>167</v>
      </c>
      <c r="C18" s="855"/>
      <c r="D18" s="106"/>
      <c r="E18" s="112">
        <f>SUM(E15:E17)</f>
        <v>0</v>
      </c>
      <c r="F18" s="112">
        <f t="shared" ref="F18:O18" si="5">SUM(F15:F17)</f>
        <v>0</v>
      </c>
      <c r="G18" s="112">
        <f t="shared" si="5"/>
        <v>0</v>
      </c>
      <c r="H18" s="112">
        <f t="shared" si="5"/>
        <v>0</v>
      </c>
      <c r="I18" s="112">
        <f t="shared" si="5"/>
        <v>460699.95673658373</v>
      </c>
      <c r="J18" s="112">
        <f t="shared" si="5"/>
        <v>939827.91174263135</v>
      </c>
      <c r="K18" s="112">
        <f t="shared" si="5"/>
        <v>958624.46997748362</v>
      </c>
      <c r="L18" s="112">
        <f t="shared" si="5"/>
        <v>977796.95937703317</v>
      </c>
      <c r="M18" s="112">
        <f t="shared" si="5"/>
        <v>997352.89856457384</v>
      </c>
      <c r="N18" s="112">
        <f t="shared" si="5"/>
        <v>1017299.9565358656</v>
      </c>
      <c r="O18" s="112">
        <f t="shared" si="5"/>
        <v>1037645.9556665826</v>
      </c>
    </row>
    <row r="19" spans="2:15" ht="9" customHeight="1">
      <c r="B19" s="106"/>
      <c r="C19" s="855"/>
      <c r="D19" s="106"/>
      <c r="E19" s="187">
        <f t="shared" ref="E19:O19" si="6">IFERROR(E18/SUM(E15:E16),0)</f>
        <v>0</v>
      </c>
      <c r="F19" s="187">
        <f t="shared" si="6"/>
        <v>0</v>
      </c>
      <c r="G19" s="187">
        <f t="shared" si="6"/>
        <v>0</v>
      </c>
      <c r="H19" s="187">
        <f t="shared" si="6"/>
        <v>0</v>
      </c>
      <c r="I19" s="187">
        <f t="shared" si="6"/>
        <v>0.24999999999999994</v>
      </c>
      <c r="J19" s="187">
        <f t="shared" si="6"/>
        <v>0.25000000000000006</v>
      </c>
      <c r="K19" s="187">
        <f t="shared" si="6"/>
        <v>0.25</v>
      </c>
      <c r="L19" s="187">
        <f t="shared" si="6"/>
        <v>0.24999999999999997</v>
      </c>
      <c r="M19" s="187">
        <f t="shared" si="6"/>
        <v>0.25</v>
      </c>
      <c r="N19" s="187">
        <f t="shared" si="6"/>
        <v>0.25000000000000006</v>
      </c>
      <c r="O19" s="187">
        <f t="shared" si="6"/>
        <v>0.24999999999999997</v>
      </c>
    </row>
    <row r="20" spans="2:15" ht="9" customHeight="1">
      <c r="B20" s="108" t="s">
        <v>168</v>
      </c>
      <c r="C20" s="855"/>
      <c r="D20" s="115">
        <f>INDEX(cockpit!$J$6:$Y$16,MATCH($D6,cockpit!$J$6:$J$16,0),MATCH($B20,cockpit!$J$6:$Y$6,0))</f>
        <v>2.5000000000000001E-2</v>
      </c>
      <c r="E20" s="112">
        <f>-E11*$D20</f>
        <v>0</v>
      </c>
      <c r="F20" s="112">
        <f t="shared" ref="F20:O20" si="7">-F11*$D20</f>
        <v>0</v>
      </c>
      <c r="G20" s="112">
        <f t="shared" si="7"/>
        <v>0</v>
      </c>
      <c r="H20" s="112">
        <f t="shared" si="7"/>
        <v>0</v>
      </c>
      <c r="I20" s="112">
        <f t="shared" si="7"/>
        <v>-4701.4063110000006</v>
      </c>
      <c r="J20" s="112">
        <f t="shared" si="7"/>
        <v>-4701.4063110000006</v>
      </c>
      <c r="K20" s="112">
        <f t="shared" si="7"/>
        <v>-4701.4063110000006</v>
      </c>
      <c r="L20" s="112">
        <f t="shared" si="7"/>
        <v>-4701.4063110000006</v>
      </c>
      <c r="M20" s="112">
        <f t="shared" si="7"/>
        <v>-4701.4063110000006</v>
      </c>
      <c r="N20" s="112">
        <f t="shared" si="7"/>
        <v>-4701.4063110000006</v>
      </c>
      <c r="O20" s="112">
        <f t="shared" si="7"/>
        <v>-4701.4063110000006</v>
      </c>
    </row>
    <row r="21" spans="2:15" ht="9" customHeight="1">
      <c r="B21" s="108" t="s">
        <v>162</v>
      </c>
      <c r="C21" s="855"/>
      <c r="D21" s="115">
        <f>INDEX(cockpit!$J$6:$Y$16,MATCH($D6,cockpit!$J$6:$J$16,0),MATCH($B21,cockpit!$J$6:$Y$6,0))</f>
        <v>0</v>
      </c>
      <c r="E21" s="113">
        <f>-E13*$D21</f>
        <v>0</v>
      </c>
      <c r="F21" s="113">
        <f t="shared" ref="F21:O21" si="8">-F13*$D21</f>
        <v>0</v>
      </c>
      <c r="G21" s="113">
        <f t="shared" si="8"/>
        <v>0</v>
      </c>
      <c r="H21" s="113">
        <f t="shared" si="8"/>
        <v>0</v>
      </c>
      <c r="I21" s="113">
        <f t="shared" si="8"/>
        <v>0</v>
      </c>
      <c r="J21" s="113">
        <f t="shared" si="8"/>
        <v>0</v>
      </c>
      <c r="K21" s="113">
        <f t="shared" si="8"/>
        <v>0</v>
      </c>
      <c r="L21" s="113">
        <f t="shared" si="8"/>
        <v>0</v>
      </c>
      <c r="M21" s="113">
        <f t="shared" si="8"/>
        <v>0</v>
      </c>
      <c r="N21" s="113">
        <f t="shared" si="8"/>
        <v>0</v>
      </c>
      <c r="O21" s="113">
        <f t="shared" si="8"/>
        <v>0</v>
      </c>
    </row>
    <row r="22" spans="2:15" ht="9" customHeight="1">
      <c r="B22" s="114" t="s">
        <v>195</v>
      </c>
      <c r="C22" s="855"/>
      <c r="D22" s="115"/>
      <c r="E22" s="112">
        <f>SUM(E20:E21)</f>
        <v>0</v>
      </c>
      <c r="F22" s="112">
        <f t="shared" ref="F22:O22" si="9">SUM(F20:F21)</f>
        <v>0</v>
      </c>
      <c r="G22" s="112">
        <f t="shared" si="9"/>
        <v>0</v>
      </c>
      <c r="H22" s="112">
        <f t="shared" si="9"/>
        <v>0</v>
      </c>
      <c r="I22" s="112">
        <f t="shared" si="9"/>
        <v>-4701.4063110000006</v>
      </c>
      <c r="J22" s="112">
        <f t="shared" si="9"/>
        <v>-4701.4063110000006</v>
      </c>
      <c r="K22" s="112">
        <f t="shared" si="9"/>
        <v>-4701.4063110000006</v>
      </c>
      <c r="L22" s="112">
        <f t="shared" si="9"/>
        <v>-4701.4063110000006</v>
      </c>
      <c r="M22" s="112">
        <f t="shared" si="9"/>
        <v>-4701.4063110000006</v>
      </c>
      <c r="N22" s="112">
        <f t="shared" si="9"/>
        <v>-4701.4063110000006</v>
      </c>
      <c r="O22" s="112">
        <f t="shared" si="9"/>
        <v>-4701.4063110000006</v>
      </c>
    </row>
    <row r="23" spans="2:15" ht="9" customHeight="1">
      <c r="B23" s="108"/>
      <c r="C23" s="855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</row>
    <row r="24" spans="2:15" ht="9" customHeight="1">
      <c r="B24" s="108" t="s">
        <v>170</v>
      </c>
      <c r="C24" s="855"/>
      <c r="D24" s="111">
        <f>(parkingconstructioncostPSF*(1-$K5))+((parkingconstructioncostPSF*(1+premiumprices)*$K5))</f>
        <v>70</v>
      </c>
      <c r="E24" s="112">
        <f>-IF(OR(E$2=$H5,E$2=$H6,AND(E$2&gt;$H5,E$2&lt;$H6)),(INDEX(summary!$A$2:$D$24,MATCH($D6,summary!$A$2:$A$24,0),MATCH($D5,summary!$A$2:$D$2,0)))/constructiontimephase1)*($D24*((1+Inflation)^(E$2-1)))*(1+Developerfee)</f>
        <v>0</v>
      </c>
      <c r="F24" s="112">
        <f>-IF(OR(F$2=$H5,F$2=$H6,AND(F$2&gt;$H5,F$2&lt;$H6)),(INDEX(summary!$A$2:$D$24,MATCH($D6,summary!$A$2:$A$24,0),MATCH($D5,summary!$A$2:$D$2,0)))/constructiontimephase1)*($D24*((1+Inflation)^(F$2-1)))*(1+Developerfee)</f>
        <v>-7532697.6671800008</v>
      </c>
      <c r="G24" s="112">
        <f>-IF(OR(G$2=$H5,G$2=$H6,AND(G$2&gt;$H5,G$2&lt;$H6)),(INDEX(summary!$A$2:$D$24,MATCH($D6,summary!$A$2:$A$24,0),MATCH($D5,summary!$A$2:$D$2,0)))/constructiontimephase1)*($D24*((1+Inflation)^(G$2-1)))*(1+Developerfee)</f>
        <v>-7683351.6205236008</v>
      </c>
      <c r="H24" s="112">
        <f>-IF(OR(H$2=$H5,H$2=$H6,AND(H$2&gt;$H5,H$2&lt;$H6)),(INDEX(summary!$A$2:$D$24,MATCH($D6,summary!$A$2:$A$24,0),MATCH($D5,summary!$A$2:$D$2,0)))/constructiontimephase1)*($D24*((1+Inflation)^(H$2-1)))*(1+Developerfee)</f>
        <v>-7837018.6529340725</v>
      </c>
      <c r="I24" s="112">
        <f>-IF(OR(I$2=$H5,I$2=$H6,AND(I$2&gt;$H5,I$2&lt;$H6)),(INDEX(summary!$A$2:$D$24,MATCH($D6,summary!$A$2:$A$24,0),MATCH($D5,summary!$A$2:$D$2,0)))/constructiontimephase1)*($D24*((1+Inflation)^(I$2-1)))*(1+Developerfee)</f>
        <v>0</v>
      </c>
      <c r="J24" s="112">
        <f>-IF(OR(J$2=$H5,J$2=$H6,AND(J$2&gt;$H5,J$2&lt;$H6)),(INDEX(summary!$A$2:$D$24,MATCH($D6,summary!$A$2:$A$24,0),MATCH($D5,summary!$A$2:$D$2,0)))/constructiontimephase1)*($D24*((1+Inflation)^(J$2-1)))*(1+Developerfee)</f>
        <v>0</v>
      </c>
      <c r="K24" s="112">
        <f>-IF(OR(K$2=$H5,K$2=$H6,AND(K$2&gt;$H5,K$2&lt;$H6)),(INDEX(summary!$A$2:$D$24,MATCH($D6,summary!$A$2:$A$24,0),MATCH($D5,summary!$A$2:$D$2,0)))/constructiontimephase1)*($D24*((1+Inflation)^(K$2-1)))*(1+Developerfee)</f>
        <v>0</v>
      </c>
      <c r="L24" s="112">
        <f>-IF(OR(L$2=$H5,L$2=$H6,AND(L$2&gt;$H5,L$2&lt;$H6)),(INDEX(summary!$A$2:$D$24,MATCH($D6,summary!$A$2:$A$24,0),MATCH($D5,summary!$A$2:$D$2,0)))/constructiontimephase1)*($D24*((1+Inflation)^(L$2-1)))*(1+Developerfee)</f>
        <v>0</v>
      </c>
      <c r="M24" s="112">
        <f>-IF(OR(M$2=$H5,M$2=$H6,AND(M$2&gt;$H5,M$2&lt;$H6)),(INDEX(summary!$A$2:$D$24,MATCH($D6,summary!$A$2:$A$24,0),MATCH($D5,summary!$A$2:$D$2,0)))/constructiontimephase1)*($D24*((1+Inflation)^(M$2-1)))*(1+Developerfee)</f>
        <v>0</v>
      </c>
      <c r="N24" s="112">
        <f>-IF(OR(N$2=$H5,N$2=$H6,AND(N$2&gt;$H5,N$2&lt;$H6)),(INDEX(summary!$A$2:$D$24,MATCH($D6,summary!$A$2:$A$24,0),MATCH($D5,summary!$A$2:$D$2,0)))/constructiontimephase1)*($D24*((1+Inflation)^(N$2-1)))*(1+Developerfee)</f>
        <v>0</v>
      </c>
      <c r="O24" s="112">
        <f>-IF(OR(O$2=$H5,O$2=$H6,AND(O$2&gt;$H5,O$2&lt;$H6)),(INDEX(summary!$A$2:$D$24,MATCH($D6,summary!$A$2:$A$24,0),MATCH($D5,summary!$A$2:$D$2,0)))/constructiontimephase1)*($D24*((1+Inflation)^(O$2-1)))*(1+Developerfee)</f>
        <v>0</v>
      </c>
    </row>
    <row r="25" spans="2:15" ht="9" customHeight="1">
      <c r="B25" s="108" t="s">
        <v>197</v>
      </c>
      <c r="C25" s="855" t="s">
        <v>189</v>
      </c>
      <c r="D25" s="122">
        <f>(INDEX(cockpit!$J$6:$Y$16,MATCH($D6,cockpit!$J$6:$J$16,0),MATCH($C25,cockpit!$J$6:$Y$6,0))*(1-$K5))+((INDEX(cockpit!$J$6:$Y$16,MATCH($D6,cockpit!$J$6:$J$16,0),MATCH($C25,cockpit!$J$6:$Y$6,0))-(Premiumexitcaprate))*$K5)</f>
        <v>0.09</v>
      </c>
      <c r="E25" s="113">
        <f t="shared" ref="E25:O25" si="10">IF(E$2=dispositionyear,E18/$D25,0)*(1-Closingcosts)</f>
        <v>0</v>
      </c>
      <c r="F25" s="113">
        <f t="shared" si="10"/>
        <v>0</v>
      </c>
      <c r="G25" s="113">
        <f t="shared" si="10"/>
        <v>0</v>
      </c>
      <c r="H25" s="113">
        <f t="shared" si="10"/>
        <v>0</v>
      </c>
      <c r="I25" s="113">
        <f t="shared" si="10"/>
        <v>0</v>
      </c>
      <c r="J25" s="113">
        <f t="shared" si="10"/>
        <v>0</v>
      </c>
      <c r="K25" s="113">
        <f t="shared" si="10"/>
        <v>0</v>
      </c>
      <c r="L25" s="113">
        <f t="shared" si="10"/>
        <v>0</v>
      </c>
      <c r="M25" s="113">
        <f t="shared" si="10"/>
        <v>0</v>
      </c>
      <c r="N25" s="113">
        <f t="shared" si="10"/>
        <v>0</v>
      </c>
      <c r="O25" s="113">
        <f t="shared" si="10"/>
        <v>11241164.519721311</v>
      </c>
    </row>
    <row r="26" spans="2:15" ht="9" customHeight="1">
      <c r="B26" s="114" t="s">
        <v>196</v>
      </c>
      <c r="C26" s="855"/>
      <c r="D26" s="110"/>
      <c r="E26" s="112">
        <f>SUM(E24:E25)</f>
        <v>0</v>
      </c>
      <c r="F26" s="112">
        <f t="shared" ref="F26:O26" si="11">SUM(F24:F25)</f>
        <v>-7532697.6671800008</v>
      </c>
      <c r="G26" s="112">
        <f t="shared" si="11"/>
        <v>-7683351.6205236008</v>
      </c>
      <c r="H26" s="112">
        <f t="shared" si="11"/>
        <v>-7837018.6529340725</v>
      </c>
      <c r="I26" s="112">
        <f t="shared" si="11"/>
        <v>0</v>
      </c>
      <c r="J26" s="112">
        <f t="shared" si="11"/>
        <v>0</v>
      </c>
      <c r="K26" s="112">
        <f t="shared" si="11"/>
        <v>0</v>
      </c>
      <c r="L26" s="112">
        <f t="shared" si="11"/>
        <v>0</v>
      </c>
      <c r="M26" s="112">
        <f t="shared" si="11"/>
        <v>0</v>
      </c>
      <c r="N26" s="112">
        <f t="shared" si="11"/>
        <v>0</v>
      </c>
      <c r="O26" s="112">
        <f t="shared" si="11"/>
        <v>11241164.519721311</v>
      </c>
    </row>
    <row r="27" spans="2:15" ht="9" customHeight="1">
      <c r="B27" s="108"/>
      <c r="C27" s="855"/>
      <c r="D27" s="110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</row>
    <row r="28" spans="2:15" ht="9" customHeight="1">
      <c r="B28" s="114" t="s">
        <v>169</v>
      </c>
      <c r="C28" s="856"/>
      <c r="D28" s="116">
        <f ca="1">IRR(OFFSET(E28,0,0,1,Investmenthorizon+1))</f>
        <v>-3.7556040841475458E-2</v>
      </c>
      <c r="E28" s="117">
        <f>SUM(E18,E22,E26)</f>
        <v>0</v>
      </c>
      <c r="F28" s="117">
        <f t="shared" ref="F28:O28" si="12">SUM(F18,F22,F26)</f>
        <v>-7532697.6671800008</v>
      </c>
      <c r="G28" s="117">
        <f t="shared" si="12"/>
        <v>-7683351.6205236008</v>
      </c>
      <c r="H28" s="117">
        <f t="shared" si="12"/>
        <v>-7837018.6529340725</v>
      </c>
      <c r="I28" s="117">
        <f t="shared" si="12"/>
        <v>455998.55042558373</v>
      </c>
      <c r="J28" s="117">
        <f t="shared" si="12"/>
        <v>935126.50543163135</v>
      </c>
      <c r="K28" s="117">
        <f t="shared" si="12"/>
        <v>953923.06366648362</v>
      </c>
      <c r="L28" s="117">
        <f t="shared" si="12"/>
        <v>973095.55306603317</v>
      </c>
      <c r="M28" s="117">
        <f t="shared" si="12"/>
        <v>992651.49225357384</v>
      </c>
      <c r="N28" s="117">
        <f t="shared" si="12"/>
        <v>1012598.5502248656</v>
      </c>
      <c r="O28" s="117">
        <f t="shared" si="12"/>
        <v>12274109.069076894</v>
      </c>
    </row>
    <row r="29" spans="2:15" ht="9" customHeight="1" thickBot="1">
      <c r="B29" s="114"/>
      <c r="C29" s="856"/>
      <c r="D29" s="118"/>
      <c r="E29" s="106"/>
      <c r="F29" s="106"/>
      <c r="G29" s="106"/>
      <c r="H29" s="119"/>
      <c r="I29" s="106"/>
      <c r="J29" s="106"/>
      <c r="K29" s="106"/>
      <c r="L29" s="106"/>
      <c r="M29" s="106"/>
      <c r="N29" s="106"/>
      <c r="O29" s="106"/>
    </row>
    <row r="30" spans="2:15" ht="9" customHeight="1">
      <c r="B30" s="123" t="s">
        <v>198</v>
      </c>
      <c r="C30" s="124"/>
      <c r="D30" s="124"/>
      <c r="E30" s="134"/>
      <c r="F30" s="135"/>
      <c r="G30" s="135"/>
      <c r="H30" s="135"/>
      <c r="I30" s="135"/>
      <c r="J30" s="135"/>
      <c r="K30" s="125"/>
      <c r="L30" s="107"/>
      <c r="M30" s="107"/>
      <c r="N30" s="107"/>
      <c r="O30" s="107"/>
    </row>
    <row r="31" spans="2:15" ht="9" customHeight="1">
      <c r="B31" s="126" t="s">
        <v>89</v>
      </c>
      <c r="C31" s="851"/>
      <c r="D31" s="133">
        <v>2</v>
      </c>
      <c r="E31" s="106"/>
      <c r="F31" s="106"/>
      <c r="G31" s="107" t="s">
        <v>204</v>
      </c>
      <c r="H31" s="133">
        <f>Phase2begin</f>
        <v>4</v>
      </c>
      <c r="I31" s="106"/>
      <c r="J31" s="107" t="s">
        <v>201</v>
      </c>
      <c r="K31" s="136">
        <v>0</v>
      </c>
      <c r="L31" s="106"/>
      <c r="M31" s="106"/>
      <c r="N31" s="106"/>
      <c r="O31" s="106"/>
    </row>
    <row r="32" spans="2:15" ht="9" customHeight="1">
      <c r="B32" s="126" t="s">
        <v>93</v>
      </c>
      <c r="C32" s="851"/>
      <c r="D32" s="130" t="s">
        <v>332</v>
      </c>
      <c r="E32" s="106"/>
      <c r="F32" s="106"/>
      <c r="G32" s="107" t="s">
        <v>205</v>
      </c>
      <c r="H32" s="133">
        <f>Phase2end</f>
        <v>5</v>
      </c>
      <c r="I32" s="106"/>
      <c r="J32" s="106"/>
      <c r="K32" s="127"/>
      <c r="L32" s="106"/>
      <c r="M32" s="106"/>
      <c r="N32" s="106"/>
      <c r="O32" s="106"/>
    </row>
    <row r="33" spans="2:16" ht="9" customHeight="1" thickBot="1">
      <c r="B33" s="137"/>
      <c r="C33" s="852"/>
      <c r="D33" s="138"/>
      <c r="E33" s="138"/>
      <c r="F33" s="138"/>
      <c r="G33" s="129" t="s">
        <v>199</v>
      </c>
      <c r="H33" s="131">
        <f>Phase2open</f>
        <v>6</v>
      </c>
      <c r="I33" s="138"/>
      <c r="J33" s="138"/>
      <c r="K33" s="128"/>
      <c r="L33" s="106"/>
      <c r="M33" s="106"/>
      <c r="N33" s="106"/>
      <c r="O33" s="106"/>
    </row>
    <row r="34" spans="2:16" ht="9" customHeight="1">
      <c r="B34" s="106"/>
      <c r="C34" s="853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</row>
    <row r="35" spans="2:16" ht="9" customHeight="1">
      <c r="B35" s="108" t="s">
        <v>182</v>
      </c>
      <c r="C35" s="854"/>
      <c r="D35" s="106"/>
      <c r="E35" s="109">
        <f>IF(OR(E$2=$H33,E$2&gt;$H33),INDEX(summary!$A$2:$D$24,MATCH($D32,summary!$A$2:$A$24,0),MATCH($D31,summary!$A$2:$D$2,0)),0)</f>
        <v>0</v>
      </c>
      <c r="F35" s="109">
        <f>IF(OR(F$2=$H33,F$2&gt;$H33),INDEX(summary!$A$2:$D$24,MATCH($D32,summary!$A$2:$A$24,0),MATCH($D31,summary!$A$2:$D$2,0)),0)</f>
        <v>0</v>
      </c>
      <c r="G35" s="109">
        <f>IF(OR(G$2=$H33,G$2&gt;$H33),INDEX(summary!$A$2:$D$24,MATCH($D32,summary!$A$2:$A$24,0),MATCH($D31,summary!$A$2:$D$2,0)),0)</f>
        <v>0</v>
      </c>
      <c r="H35" s="109">
        <f>IF(OR(H$2=$H33,H$2&gt;$H33),INDEX(summary!$A$2:$D$24,MATCH($D32,summary!$A$2:$A$24,0),MATCH($D31,summary!$A$2:$D$2,0)),0)</f>
        <v>0</v>
      </c>
      <c r="I35" s="109">
        <f>IF(OR(I$2=$H33,I$2&gt;$H33),INDEX(summary!$A$2:$D$24,MATCH($D32,summary!$A$2:$A$24,0),MATCH($D31,summary!$A$2:$D$2,0)),0)</f>
        <v>0</v>
      </c>
      <c r="J35" s="109">
        <f>IF(OR(J$2=$H33,J$2&gt;$H33),INDEX(summary!$A$2:$D$24,MATCH($D32,summary!$A$2:$A$24,0),MATCH($D31,summary!$A$2:$D$2,0)),0)</f>
        <v>0</v>
      </c>
      <c r="K35" s="109">
        <f>IF(OR(K$2=$H33,K$2&gt;$H33),INDEX(summary!$A$2:$D$24,MATCH($D32,summary!$A$2:$A$24,0),MATCH($D31,summary!$A$2:$D$2,0)),0)</f>
        <v>131634.68540000002</v>
      </c>
      <c r="L35" s="109">
        <f>IF(OR(L$2=$H33,L$2&gt;$H33),INDEX(summary!$A$2:$D$24,MATCH($D32,summary!$A$2:$A$24,0),MATCH($D31,summary!$A$2:$D$2,0)),0)</f>
        <v>131634.68540000002</v>
      </c>
      <c r="M35" s="109">
        <f>IF(OR(M$2=$H33,M$2&gt;$H33),INDEX(summary!$A$2:$D$24,MATCH($D32,summary!$A$2:$A$24,0),MATCH($D31,summary!$A$2:$D$2,0)),0)</f>
        <v>131634.68540000002</v>
      </c>
      <c r="N35" s="109">
        <f>IF(OR(N$2=$H33,N$2&gt;$H33),INDEX(summary!$A$2:$D$24,MATCH($D32,summary!$A$2:$A$24,0),MATCH($D31,summary!$A$2:$D$2,0)),0)</f>
        <v>131634.68540000002</v>
      </c>
      <c r="O35" s="109">
        <f>IF(OR(O$2=$H33,O$2&gt;$H33),INDEX(summary!$A$2:$D$24,MATCH($D32,summary!$A$2:$A$24,0),MATCH($D31,summary!$A$2:$D$2,0)),0)</f>
        <v>131634.68540000002</v>
      </c>
    </row>
    <row r="36" spans="2:16" ht="9" customHeight="1">
      <c r="B36" s="108" t="s">
        <v>401</v>
      </c>
      <c r="C36" s="854"/>
      <c r="D36" s="106"/>
      <c r="E36" s="109">
        <f t="shared" ref="E36:O36" si="13">E35*(1-$D37)/parkingaveragespacesize</f>
        <v>0</v>
      </c>
      <c r="F36" s="109">
        <f t="shared" si="13"/>
        <v>0</v>
      </c>
      <c r="G36" s="109">
        <f t="shared" si="13"/>
        <v>0</v>
      </c>
      <c r="H36" s="109">
        <f t="shared" si="13"/>
        <v>0</v>
      </c>
      <c r="I36" s="109">
        <f t="shared" si="13"/>
        <v>0</v>
      </c>
      <c r="J36" s="109">
        <f t="shared" si="13"/>
        <v>0</v>
      </c>
      <c r="K36" s="109">
        <f t="shared" si="13"/>
        <v>394.90405620000007</v>
      </c>
      <c r="L36" s="109">
        <f t="shared" si="13"/>
        <v>394.90405620000007</v>
      </c>
      <c r="M36" s="109">
        <f t="shared" si="13"/>
        <v>394.90405620000007</v>
      </c>
      <c r="N36" s="109">
        <f t="shared" si="13"/>
        <v>394.90405620000007</v>
      </c>
      <c r="O36" s="109">
        <f t="shared" si="13"/>
        <v>394.90405620000007</v>
      </c>
    </row>
    <row r="37" spans="2:16" s="272" customFormat="1" ht="9" customHeight="1">
      <c r="B37" s="108" t="s">
        <v>194</v>
      </c>
      <c r="C37" s="855" t="s">
        <v>191</v>
      </c>
      <c r="D37" s="110">
        <f>INDEX(cockpit!$J$6:$Y$16,MATCH($D32,cockpit!$J$6:$J$16,0),MATCH($C$11,cockpit!$J$6:$Y$6,0))</f>
        <v>0.4</v>
      </c>
      <c r="E37" s="109">
        <f t="shared" ref="E37:O37" si="14">E35*(1-$D37)</f>
        <v>0</v>
      </c>
      <c r="F37" s="109">
        <f t="shared" si="14"/>
        <v>0</v>
      </c>
      <c r="G37" s="109">
        <f t="shared" si="14"/>
        <v>0</v>
      </c>
      <c r="H37" s="109">
        <f t="shared" si="14"/>
        <v>0</v>
      </c>
      <c r="I37" s="109">
        <f t="shared" si="14"/>
        <v>0</v>
      </c>
      <c r="J37" s="109">
        <f t="shared" si="14"/>
        <v>0</v>
      </c>
      <c r="K37" s="109">
        <f t="shared" si="14"/>
        <v>78980.81124000001</v>
      </c>
      <c r="L37" s="109">
        <f t="shared" si="14"/>
        <v>78980.81124000001</v>
      </c>
      <c r="M37" s="109">
        <f t="shared" si="14"/>
        <v>78980.81124000001</v>
      </c>
      <c r="N37" s="109">
        <f t="shared" si="14"/>
        <v>78980.81124000001</v>
      </c>
      <c r="O37" s="109">
        <f t="shared" si="14"/>
        <v>78980.81124000001</v>
      </c>
      <c r="P37" s="271"/>
    </row>
    <row r="38" spans="2:16" ht="9" customHeight="1">
      <c r="B38" s="108" t="s">
        <v>180</v>
      </c>
      <c r="C38" s="855" t="s">
        <v>152</v>
      </c>
      <c r="D38" s="122">
        <f>parkingrampup</f>
        <v>0.47499999999999998</v>
      </c>
      <c r="E38" s="109">
        <f>(IF(OR(E$2=$H33,AND(E$2&gt;$H33,E$2&lt;(SUM($H33,INDEX(cockpit!$J$6:$Y$16,MATCH($D32,cockpit!$J$6:$J$16,0),MATCH($C$12,cockpit!$J$6:$Y$6,0)))))),E37*$D38,0))/parkingaveragespacesize</f>
        <v>0</v>
      </c>
      <c r="F38" s="109">
        <f>(IF(OR(F$2=$H33,AND(F$2&gt;$H33,F$2&lt;(SUM($H33,INDEX(cockpit!$J$6:$Y$16,MATCH($D32,cockpit!$J$6:$J$16,0),MATCH($C$12,cockpit!$J$6:$Y$6,0)))))),F37*$D38,0))/parkingaveragespacesize</f>
        <v>0</v>
      </c>
      <c r="G38" s="109">
        <f>(IF(OR(G$2=$H33,AND(G$2&gt;$H33,G$2&lt;(SUM($H33,INDEX(cockpit!$J$6:$Y$16,MATCH($D32,cockpit!$J$6:$J$16,0),MATCH($C$12,cockpit!$J$6:$Y$6,0)))))),G37*$D38,0))/parkingaveragespacesize</f>
        <v>0</v>
      </c>
      <c r="H38" s="109">
        <f>(IF(OR(H$2=$H33,AND(H$2&gt;$H33,H$2&lt;(SUM($H33,INDEX(cockpit!$J$6:$Y$16,MATCH($D32,cockpit!$J$6:$J$16,0),MATCH($C$12,cockpit!$J$6:$Y$6,0)))))),H37*$D38,0))/parkingaveragespacesize</f>
        <v>0</v>
      </c>
      <c r="I38" s="109">
        <f>(IF(OR(I$2=$H33,AND(I$2&gt;$H33,I$2&lt;(SUM($H33,INDEX(cockpit!$J$6:$Y$16,MATCH($D32,cockpit!$J$6:$J$16,0),MATCH($C$12,cockpit!$J$6:$Y$6,0)))))),I37*$D38,0))/parkingaveragespacesize</f>
        <v>0</v>
      </c>
      <c r="J38" s="109">
        <f>(IF(OR(J$2=$H33,AND(J$2&gt;$H33,J$2&lt;(SUM($H33,INDEX(cockpit!$J$6:$Y$16,MATCH($D32,cockpit!$J$6:$J$16,0),MATCH($C$12,cockpit!$J$6:$Y$6,0)))))),J37*$D38,0))/parkingaveragespacesize</f>
        <v>0</v>
      </c>
      <c r="K38" s="109">
        <f>(IF(OR(K$2=$H33,AND(K$2&gt;$H33,K$2&lt;(SUM($H33,INDEX(cockpit!$J$6:$Y$16,MATCH($D32,cockpit!$J$6:$J$16,0),MATCH($C$12,cockpit!$J$6:$Y$6,0)))))),K37*$D38,0))/parkingaveragespacesize</f>
        <v>187.579426695</v>
      </c>
      <c r="L38" s="109">
        <f>(IF(OR(L$2=$H33,AND(L$2&gt;$H33,L$2&lt;(SUM($H33,INDEX(cockpit!$J$6:$Y$16,MATCH($D32,cockpit!$J$6:$J$16,0),MATCH($C$12,cockpit!$J$6:$Y$6,0)))))),L37*$D38,0))/parkingaveragespacesize</f>
        <v>187.579426695</v>
      </c>
      <c r="M38" s="109">
        <f>(IF(OR(M$2=$H33,AND(M$2&gt;$H33,M$2&lt;(SUM($H33,INDEX(cockpit!$J$6:$Y$16,MATCH($D32,cockpit!$J$6:$J$16,0),MATCH($C$12,cockpit!$J$6:$Y$6,0)))))),M37*$D38,0))/parkingaveragespacesize</f>
        <v>0</v>
      </c>
      <c r="N38" s="109">
        <f>(IF(OR(N$2=$H33,AND(N$2&gt;$H33,N$2&lt;(SUM($H33,INDEX(cockpit!$J$6:$Y$16,MATCH($D32,cockpit!$J$6:$J$16,0),MATCH($C$12,cockpit!$J$6:$Y$6,0)))))),N37*$D38,0))/parkingaveragespacesize</f>
        <v>0</v>
      </c>
      <c r="O38" s="109">
        <f>(IF(OR(O$2=$H33,AND(O$2&gt;$H33,O$2&lt;(SUM($H33,INDEX(cockpit!$J$6:$Y$16,MATCH($D32,cockpit!$J$6:$J$16,0),MATCH($C$12,cockpit!$J$6:$Y$6,0)))))),O37*$D38,0))/parkingaveragespacesize</f>
        <v>0</v>
      </c>
    </row>
    <row r="39" spans="2:16" ht="9" customHeight="1">
      <c r="B39" s="108" t="s">
        <v>399</v>
      </c>
      <c r="C39" s="855"/>
      <c r="D39" s="268">
        <f>parkingaveragespacesize</f>
        <v>200</v>
      </c>
      <c r="E39" s="109">
        <f>SUM($E38:E38)</f>
        <v>0</v>
      </c>
      <c r="F39" s="109">
        <f>SUM($E38:F38)</f>
        <v>0</v>
      </c>
      <c r="G39" s="109">
        <f>SUM($E38:G38)</f>
        <v>0</v>
      </c>
      <c r="H39" s="109">
        <f>SUM($E38:H38)</f>
        <v>0</v>
      </c>
      <c r="I39" s="109">
        <f>SUM($E38:I38)</f>
        <v>0</v>
      </c>
      <c r="J39" s="109">
        <f>SUM($E38:J38)</f>
        <v>0</v>
      </c>
      <c r="K39" s="109">
        <f>SUM($E38:K38)</f>
        <v>187.579426695</v>
      </c>
      <c r="L39" s="109">
        <f>SUM($E38:L38)</f>
        <v>375.15885338999999</v>
      </c>
      <c r="M39" s="109">
        <f>SUM($E38:M38)</f>
        <v>375.15885338999999</v>
      </c>
      <c r="N39" s="109">
        <f>SUM($E38:N38)</f>
        <v>375.15885338999999</v>
      </c>
      <c r="O39" s="109">
        <f>SUM($E38:O38)</f>
        <v>375.15885338999999</v>
      </c>
    </row>
    <row r="40" spans="2:16" ht="9" customHeight="1">
      <c r="B40" s="106"/>
      <c r="C40" s="855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2:16" ht="9" customHeight="1">
      <c r="B41" s="108" t="s">
        <v>166</v>
      </c>
      <c r="C41" s="855"/>
      <c r="D41" s="111">
        <f>parkingrevenueperspacepermonth</f>
        <v>324</v>
      </c>
      <c r="E41" s="112">
        <f t="shared" ref="E41:O41" si="15">(E39*12)*($D41*((1+Inflation)^(E$2-1)))</f>
        <v>0</v>
      </c>
      <c r="F41" s="112">
        <f t="shared" si="15"/>
        <v>0</v>
      </c>
      <c r="G41" s="112">
        <f t="shared" si="15"/>
        <v>0</v>
      </c>
      <c r="H41" s="112">
        <f t="shared" si="15"/>
        <v>0</v>
      </c>
      <c r="I41" s="112">
        <f t="shared" si="15"/>
        <v>0</v>
      </c>
      <c r="J41" s="112">
        <f t="shared" si="15"/>
        <v>0</v>
      </c>
      <c r="K41" s="112">
        <f t="shared" si="15"/>
        <v>805215.85781885288</v>
      </c>
      <c r="L41" s="112">
        <f t="shared" si="15"/>
        <v>1642640.34995046</v>
      </c>
      <c r="M41" s="112">
        <f t="shared" si="15"/>
        <v>1675493.1569494689</v>
      </c>
      <c r="N41" s="112">
        <f t="shared" si="15"/>
        <v>1709003.0200884584</v>
      </c>
      <c r="O41" s="112">
        <f t="shared" si="15"/>
        <v>1743183.0804902276</v>
      </c>
    </row>
    <row r="42" spans="2:16" ht="9" customHeight="1">
      <c r="B42" s="108" t="s">
        <v>216</v>
      </c>
      <c r="C42" s="855"/>
      <c r="D42" s="111">
        <f>IF(INDEX(cockpit!$J$6:$Y$16,MATCH($D32,cockpit!$J$6:$J$16,0),MATCH($B42,cockpit!$J$6:$Y$6,0))="Y",D43,0)</f>
        <v>0</v>
      </c>
      <c r="E42" s="112">
        <f>-IF($D42&gt;0,E43,0)</f>
        <v>0</v>
      </c>
      <c r="F42" s="112">
        <f t="shared" ref="F42:O42" si="16">-IF($D42&gt;0,F43,0)</f>
        <v>0</v>
      </c>
      <c r="G42" s="112">
        <f t="shared" si="16"/>
        <v>0</v>
      </c>
      <c r="H42" s="112">
        <f t="shared" si="16"/>
        <v>0</v>
      </c>
      <c r="I42" s="112">
        <f t="shared" si="16"/>
        <v>0</v>
      </c>
      <c r="J42" s="112">
        <f t="shared" si="16"/>
        <v>0</v>
      </c>
      <c r="K42" s="112">
        <f t="shared" si="16"/>
        <v>0</v>
      </c>
      <c r="L42" s="112">
        <f t="shared" si="16"/>
        <v>0</v>
      </c>
      <c r="M42" s="112">
        <f t="shared" si="16"/>
        <v>0</v>
      </c>
      <c r="N42" s="112">
        <f t="shared" si="16"/>
        <v>0</v>
      </c>
      <c r="O42" s="112">
        <f t="shared" si="16"/>
        <v>0</v>
      </c>
    </row>
    <row r="43" spans="2:16" ht="9" customHeight="1">
      <c r="B43" s="108" t="s">
        <v>123</v>
      </c>
      <c r="C43" s="855"/>
      <c r="D43" s="122">
        <f>INDEX(cockpit!$J$6:$Y$16,MATCH($D32,cockpit!$J$6:$J$16,0),MATCH($B43,cockpit!$J$6:$Y$6,0))</f>
        <v>0.25</v>
      </c>
      <c r="E43" s="113">
        <f t="shared" ref="E43:O43" si="17">-IF($D43&gt;1,E35*($D43*((1+Inflation)^(E$2-1))),E41*(1-$D43))</f>
        <v>0</v>
      </c>
      <c r="F43" s="113">
        <f t="shared" si="17"/>
        <v>0</v>
      </c>
      <c r="G43" s="113">
        <f t="shared" si="17"/>
        <v>0</v>
      </c>
      <c r="H43" s="113">
        <f t="shared" si="17"/>
        <v>0</v>
      </c>
      <c r="I43" s="113">
        <f t="shared" si="17"/>
        <v>0</v>
      </c>
      <c r="J43" s="113">
        <f t="shared" si="17"/>
        <v>0</v>
      </c>
      <c r="K43" s="113">
        <f t="shared" si="17"/>
        <v>-603911.8933641396</v>
      </c>
      <c r="L43" s="113">
        <f t="shared" si="17"/>
        <v>-1231980.2624628451</v>
      </c>
      <c r="M43" s="113">
        <f t="shared" si="17"/>
        <v>-1256619.8677121017</v>
      </c>
      <c r="N43" s="113">
        <f t="shared" si="17"/>
        <v>-1281752.2650663438</v>
      </c>
      <c r="O43" s="113">
        <f t="shared" si="17"/>
        <v>-1307387.3103676706</v>
      </c>
    </row>
    <row r="44" spans="2:16" ht="9" customHeight="1">
      <c r="B44" s="114" t="s">
        <v>167</v>
      </c>
      <c r="C44" s="855"/>
      <c r="D44" s="106"/>
      <c r="E44" s="112">
        <f>SUM(E41:E43)</f>
        <v>0</v>
      </c>
      <c r="F44" s="112">
        <f t="shared" ref="F44:O44" si="18">SUM(F41:F43)</f>
        <v>0</v>
      </c>
      <c r="G44" s="112">
        <f t="shared" si="18"/>
        <v>0</v>
      </c>
      <c r="H44" s="112">
        <f t="shared" si="18"/>
        <v>0</v>
      </c>
      <c r="I44" s="112">
        <f t="shared" si="18"/>
        <v>0</v>
      </c>
      <c r="J44" s="112">
        <f t="shared" si="18"/>
        <v>0</v>
      </c>
      <c r="K44" s="112">
        <f t="shared" si="18"/>
        <v>201303.96445471328</v>
      </c>
      <c r="L44" s="112">
        <f t="shared" si="18"/>
        <v>410660.08748761495</v>
      </c>
      <c r="M44" s="112">
        <f t="shared" si="18"/>
        <v>418873.28923736722</v>
      </c>
      <c r="N44" s="112">
        <f t="shared" si="18"/>
        <v>427250.75502211461</v>
      </c>
      <c r="O44" s="112">
        <f t="shared" si="18"/>
        <v>435795.77012255695</v>
      </c>
    </row>
    <row r="45" spans="2:16" ht="9" customHeight="1">
      <c r="B45" s="106"/>
      <c r="C45" s="855"/>
      <c r="D45" s="106"/>
      <c r="E45" s="187">
        <f t="shared" ref="E45:O45" si="19">IFERROR(E44/SUM(E41:E42),0)</f>
        <v>0</v>
      </c>
      <c r="F45" s="187">
        <f t="shared" si="19"/>
        <v>0</v>
      </c>
      <c r="G45" s="187">
        <f t="shared" si="19"/>
        <v>0</v>
      </c>
      <c r="H45" s="187">
        <f t="shared" si="19"/>
        <v>0</v>
      </c>
      <c r="I45" s="187">
        <f t="shared" si="19"/>
        <v>0</v>
      </c>
      <c r="J45" s="187">
        <f t="shared" si="19"/>
        <v>0</v>
      </c>
      <c r="K45" s="187">
        <f t="shared" si="19"/>
        <v>0.25000000000000006</v>
      </c>
      <c r="L45" s="187">
        <f t="shared" si="19"/>
        <v>0.24999999999999997</v>
      </c>
      <c r="M45" s="187">
        <f t="shared" si="19"/>
        <v>0.25</v>
      </c>
      <c r="N45" s="187">
        <f t="shared" si="19"/>
        <v>0.25</v>
      </c>
      <c r="O45" s="187">
        <f t="shared" si="19"/>
        <v>0.25000000000000006</v>
      </c>
    </row>
    <row r="46" spans="2:16" ht="9" customHeight="1">
      <c r="B46" s="108" t="s">
        <v>168</v>
      </c>
      <c r="C46" s="855"/>
      <c r="D46" s="115">
        <f>INDEX(cockpit!$J$6:$Y$16,MATCH($D32,cockpit!$J$6:$J$16,0),MATCH($B46,cockpit!$J$6:$Y$6,0))</f>
        <v>2.5000000000000001E-2</v>
      </c>
      <c r="E46" s="112">
        <f>-E37*$D46</f>
        <v>0</v>
      </c>
      <c r="F46" s="112">
        <f t="shared" ref="F46:O46" si="20">-F37*$D46</f>
        <v>0</v>
      </c>
      <c r="G46" s="112">
        <f t="shared" si="20"/>
        <v>0</v>
      </c>
      <c r="H46" s="112">
        <f t="shared" si="20"/>
        <v>0</v>
      </c>
      <c r="I46" s="112">
        <f t="shared" si="20"/>
        <v>0</v>
      </c>
      <c r="J46" s="112">
        <f t="shared" si="20"/>
        <v>0</v>
      </c>
      <c r="K46" s="112">
        <f t="shared" si="20"/>
        <v>-1974.5202810000003</v>
      </c>
      <c r="L46" s="112">
        <f t="shared" si="20"/>
        <v>-1974.5202810000003</v>
      </c>
      <c r="M46" s="112">
        <f t="shared" si="20"/>
        <v>-1974.5202810000003</v>
      </c>
      <c r="N46" s="112">
        <f t="shared" si="20"/>
        <v>-1974.5202810000003</v>
      </c>
      <c r="O46" s="112">
        <f t="shared" si="20"/>
        <v>-1974.5202810000003</v>
      </c>
    </row>
    <row r="47" spans="2:16" ht="9" customHeight="1">
      <c r="B47" s="108" t="s">
        <v>162</v>
      </c>
      <c r="C47" s="855"/>
      <c r="D47" s="115">
        <f>INDEX(cockpit!$J$6:$Y$16,MATCH($D32,cockpit!$J$6:$J$16,0),MATCH($B47,cockpit!$J$6:$Y$6,0))</f>
        <v>0</v>
      </c>
      <c r="E47" s="113">
        <f>-E39*$D47</f>
        <v>0</v>
      </c>
      <c r="F47" s="113">
        <f t="shared" ref="F47:O47" si="21">-F39*$D47</f>
        <v>0</v>
      </c>
      <c r="G47" s="113">
        <f t="shared" si="21"/>
        <v>0</v>
      </c>
      <c r="H47" s="113">
        <f t="shared" si="21"/>
        <v>0</v>
      </c>
      <c r="I47" s="113">
        <f t="shared" si="21"/>
        <v>0</v>
      </c>
      <c r="J47" s="113">
        <f t="shared" si="21"/>
        <v>0</v>
      </c>
      <c r="K47" s="113">
        <f t="shared" si="21"/>
        <v>0</v>
      </c>
      <c r="L47" s="113">
        <f t="shared" si="21"/>
        <v>0</v>
      </c>
      <c r="M47" s="113">
        <f t="shared" si="21"/>
        <v>0</v>
      </c>
      <c r="N47" s="113">
        <f t="shared" si="21"/>
        <v>0</v>
      </c>
      <c r="O47" s="113">
        <f t="shared" si="21"/>
        <v>0</v>
      </c>
    </row>
    <row r="48" spans="2:16" ht="9" customHeight="1">
      <c r="B48" s="114" t="s">
        <v>195</v>
      </c>
      <c r="C48" s="855"/>
      <c r="D48" s="115"/>
      <c r="E48" s="112">
        <f>SUM(E46:E47)</f>
        <v>0</v>
      </c>
      <c r="F48" s="112">
        <f t="shared" ref="F48:O48" si="22">SUM(F46:F47)</f>
        <v>0</v>
      </c>
      <c r="G48" s="112">
        <f t="shared" si="22"/>
        <v>0</v>
      </c>
      <c r="H48" s="112">
        <f t="shared" si="22"/>
        <v>0</v>
      </c>
      <c r="I48" s="112">
        <f t="shared" si="22"/>
        <v>0</v>
      </c>
      <c r="J48" s="112">
        <f t="shared" si="22"/>
        <v>0</v>
      </c>
      <c r="K48" s="112">
        <f t="shared" si="22"/>
        <v>-1974.5202810000003</v>
      </c>
      <c r="L48" s="112">
        <f t="shared" si="22"/>
        <v>-1974.5202810000003</v>
      </c>
      <c r="M48" s="112">
        <f t="shared" si="22"/>
        <v>-1974.5202810000003</v>
      </c>
      <c r="N48" s="112">
        <f t="shared" si="22"/>
        <v>-1974.5202810000003</v>
      </c>
      <c r="O48" s="112">
        <f t="shared" si="22"/>
        <v>-1974.5202810000003</v>
      </c>
    </row>
    <row r="49" spans="2:15" ht="9" customHeight="1">
      <c r="B49" s="108"/>
      <c r="C49" s="855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</row>
    <row r="50" spans="2:15" ht="9" customHeight="1">
      <c r="B50" s="108" t="s">
        <v>170</v>
      </c>
      <c r="C50" s="855"/>
      <c r="D50" s="111">
        <f>(parkingconstructioncostPSF*(1-$K31))+((parkingconstructioncostPSF*(1+premiumprices)*$K31))</f>
        <v>70</v>
      </c>
      <c r="E50" s="112">
        <f>-IF(OR(E$2=$H31,E$2=$H32,AND(E$2&gt;$H31,E$2&lt;$H32)),(INDEX(summary!$A$2:$D$24,MATCH($D32,summary!$A$2:$A$24,0),MATCH($D31,summary!$A$2:$D$2,0)))/constructiontimephase2)*($D50*((1+Inflation)^(E$2-1)))*(1+Developerfee)</f>
        <v>0</v>
      </c>
      <c r="F50" s="112">
        <f>-IF(OR(F$2=$H31,F$2=$H32,AND(F$2&gt;$H31,F$2&lt;$H32)),(INDEX(summary!$A$2:$D$24,MATCH($D32,summary!$A$2:$A$24,0),MATCH($D31,summary!$A$2:$D$2,0)))/constructiontimephase2)*($D50*((1+Inflation)^(F$2-1)))*(1+Developerfee)</f>
        <v>0</v>
      </c>
      <c r="G50" s="112">
        <f>-IF(OR(G$2=$H31,G$2=$H32,AND(G$2&gt;$H31,G$2&lt;$H32)),(INDEX(summary!$A$2:$D$24,MATCH($D32,summary!$A$2:$A$24,0),MATCH($D31,summary!$A$2:$D$2,0)))/constructiontimephase2)*($D50*((1+Inflation)^(G$2-1)))*(1+Developerfee)</f>
        <v>0</v>
      </c>
      <c r="H50" s="112">
        <f>-IF(OR(H$2=$H31,H$2=$H32,AND(H$2&gt;$H31,H$2&lt;$H32)),(INDEX(summary!$A$2:$D$24,MATCH($D32,summary!$A$2:$A$24,0),MATCH($D31,summary!$A$2:$D$2,0)))/constructiontimephase2)*($D50*((1+Inflation)^(H$2-1)))*(1+Developerfee)</f>
        <v>0</v>
      </c>
      <c r="I50" s="112">
        <f>-IF(OR(I$2=$H31,I$2=$H32,AND(I$2&gt;$H31,I$2&lt;$H32)),(INDEX(summary!$A$2:$D$24,MATCH($D32,summary!$A$2:$A$24,0),MATCH($D31,summary!$A$2:$D$2,0)))/constructiontimephase2)*($D50*((1+Inflation)^(I$2-1)))*(1+Developerfee)</f>
        <v>-5035888.7131238747</v>
      </c>
      <c r="J50" s="112">
        <f>-IF(OR(J$2=$H31,J$2=$H32,AND(J$2&gt;$H31,J$2&lt;$H32)),(INDEX(summary!$A$2:$D$24,MATCH($D32,summary!$A$2:$A$24,0),MATCH($D31,summary!$A$2:$D$2,0)))/constructiontimephase2)*($D50*((1+Inflation)^(J$2-1)))*(1+Developerfee)</f>
        <v>-5136606.4873863524</v>
      </c>
      <c r="K50" s="112">
        <f>-IF(OR(K$2=$H31,K$2=$H32,AND(K$2&gt;$H31,K$2&lt;$H32)),(INDEX(summary!$A$2:$D$24,MATCH($D32,summary!$A$2:$A$24,0),MATCH($D31,summary!$A$2:$D$2,0)))/constructiontimephase2)*($D50*((1+Inflation)^(K$2-1)))*(1+Developerfee)</f>
        <v>0</v>
      </c>
      <c r="L50" s="112">
        <f>-IF(OR(L$2=$H31,L$2=$H32,AND(L$2&gt;$H31,L$2&lt;$H32)),(INDEX(summary!$A$2:$D$24,MATCH($D32,summary!$A$2:$A$24,0),MATCH($D31,summary!$A$2:$D$2,0)))/constructiontimephase2)*($D50*((1+Inflation)^(L$2-1)))*(1+Developerfee)</f>
        <v>0</v>
      </c>
      <c r="M50" s="112">
        <f>-IF(OR(M$2=$H31,M$2=$H32,AND(M$2&gt;$H31,M$2&lt;$H32)),(INDEX(summary!$A$2:$D$24,MATCH($D32,summary!$A$2:$A$24,0),MATCH($D31,summary!$A$2:$D$2,0)))/constructiontimephase2)*($D50*((1+Inflation)^(M$2-1)))*(1+Developerfee)</f>
        <v>0</v>
      </c>
      <c r="N50" s="112">
        <f>-IF(OR(N$2=$H31,N$2=$H32,AND(N$2&gt;$H31,N$2&lt;$H32)),(INDEX(summary!$A$2:$D$24,MATCH($D32,summary!$A$2:$A$24,0),MATCH($D31,summary!$A$2:$D$2,0)))/constructiontimephase2)*($D50*((1+Inflation)^(N$2-1)))*(1+Developerfee)</f>
        <v>0</v>
      </c>
      <c r="O50" s="112">
        <f>-IF(OR(O$2=$H31,O$2=$H32,AND(O$2&gt;$H31,O$2&lt;$H32)),(INDEX(summary!$A$2:$D$24,MATCH($D32,summary!$A$2:$A$24,0),MATCH($D31,summary!$A$2:$D$2,0)))/constructiontimephase2)*($D50*((1+Inflation)^(O$2-1)))*(1+Developerfee)</f>
        <v>0</v>
      </c>
    </row>
    <row r="51" spans="2:15" ht="9" customHeight="1">
      <c r="B51" s="108" t="s">
        <v>197</v>
      </c>
      <c r="C51" s="855" t="s">
        <v>189</v>
      </c>
      <c r="D51" s="122">
        <f>(INDEX(cockpit!$J$6:$Y$16,MATCH($D32,cockpit!$J$6:$J$16,0),MATCH($C51,cockpit!$J$6:$Y$6,0))*(1-$K31))+((INDEX(cockpit!$J$6:$Y$16,MATCH($D32,cockpit!$J$6:$J$16,0),MATCH($C51,cockpit!$J$6:$Y$6,0))-(Premiumexitcaprate))*$K31)</f>
        <v>0.09</v>
      </c>
      <c r="E51" s="113">
        <f t="shared" ref="E51:O51" si="23">IF(E$2=dispositionyear,E44/$D51,0)*(1-Closingcosts)</f>
        <v>0</v>
      </c>
      <c r="F51" s="113">
        <f t="shared" si="23"/>
        <v>0</v>
      </c>
      <c r="G51" s="113">
        <f t="shared" si="23"/>
        <v>0</v>
      </c>
      <c r="H51" s="113">
        <f t="shared" si="23"/>
        <v>0</v>
      </c>
      <c r="I51" s="113">
        <f t="shared" si="23"/>
        <v>0</v>
      </c>
      <c r="J51" s="113">
        <f t="shared" si="23"/>
        <v>0</v>
      </c>
      <c r="K51" s="113">
        <f t="shared" si="23"/>
        <v>0</v>
      </c>
      <c r="L51" s="113">
        <f t="shared" si="23"/>
        <v>0</v>
      </c>
      <c r="M51" s="113">
        <f t="shared" si="23"/>
        <v>0</v>
      </c>
      <c r="N51" s="113">
        <f t="shared" si="23"/>
        <v>0</v>
      </c>
      <c r="O51" s="113">
        <f t="shared" si="23"/>
        <v>4721120.8429943668</v>
      </c>
    </row>
    <row r="52" spans="2:15" ht="9" customHeight="1">
      <c r="B52" s="114" t="s">
        <v>196</v>
      </c>
      <c r="C52" s="855"/>
      <c r="D52" s="110"/>
      <c r="E52" s="112">
        <f>SUM(E50:E51)</f>
        <v>0</v>
      </c>
      <c r="F52" s="112">
        <f t="shared" ref="F52:O52" si="24">SUM(F50:F51)</f>
        <v>0</v>
      </c>
      <c r="G52" s="112">
        <f t="shared" si="24"/>
        <v>0</v>
      </c>
      <c r="H52" s="112">
        <f t="shared" si="24"/>
        <v>0</v>
      </c>
      <c r="I52" s="112">
        <f t="shared" si="24"/>
        <v>-5035888.7131238747</v>
      </c>
      <c r="J52" s="112">
        <f t="shared" si="24"/>
        <v>-5136606.4873863524</v>
      </c>
      <c r="K52" s="112">
        <f t="shared" si="24"/>
        <v>0</v>
      </c>
      <c r="L52" s="112">
        <f t="shared" si="24"/>
        <v>0</v>
      </c>
      <c r="M52" s="112">
        <f t="shared" si="24"/>
        <v>0</v>
      </c>
      <c r="N52" s="112">
        <f t="shared" si="24"/>
        <v>0</v>
      </c>
      <c r="O52" s="112">
        <f t="shared" si="24"/>
        <v>4721120.8429943668</v>
      </c>
    </row>
    <row r="53" spans="2:15" ht="9" customHeight="1">
      <c r="B53" s="108"/>
      <c r="C53" s="855"/>
      <c r="D53" s="110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</row>
    <row r="54" spans="2:15" ht="9" customHeight="1">
      <c r="B54" s="114" t="s">
        <v>169</v>
      </c>
      <c r="C54" s="856"/>
      <c r="D54" s="116">
        <f ca="1">IRR(OFFSET(E54,0,0,1,Investmenthorizon+1))</f>
        <v>-8.2237277595013092E-2</v>
      </c>
      <c r="E54" s="117">
        <f>SUM(E44,E48,E52)</f>
        <v>0</v>
      </c>
      <c r="F54" s="117">
        <f t="shared" ref="F54:O54" si="25">SUM(F44,F48,F52)</f>
        <v>0</v>
      </c>
      <c r="G54" s="117">
        <f t="shared" si="25"/>
        <v>0</v>
      </c>
      <c r="H54" s="117">
        <f t="shared" si="25"/>
        <v>0</v>
      </c>
      <c r="I54" s="117">
        <f t="shared" si="25"/>
        <v>-5035888.7131238747</v>
      </c>
      <c r="J54" s="117">
        <f t="shared" si="25"/>
        <v>-5136606.4873863524</v>
      </c>
      <c r="K54" s="117">
        <f t="shared" si="25"/>
        <v>199329.44417371327</v>
      </c>
      <c r="L54" s="117">
        <f t="shared" si="25"/>
        <v>408685.56720661494</v>
      </c>
      <c r="M54" s="117">
        <f t="shared" si="25"/>
        <v>416898.76895636722</v>
      </c>
      <c r="N54" s="117">
        <f t="shared" si="25"/>
        <v>425276.2347411146</v>
      </c>
      <c r="O54" s="117">
        <f t="shared" si="25"/>
        <v>5154942.0928359237</v>
      </c>
    </row>
    <row r="55" spans="2:15" ht="9" customHeight="1" thickBot="1"/>
    <row r="56" spans="2:15" ht="9" customHeight="1">
      <c r="B56" s="123" t="s">
        <v>198</v>
      </c>
      <c r="C56" s="124"/>
      <c r="D56" s="124"/>
      <c r="E56" s="134"/>
      <c r="F56" s="135"/>
      <c r="G56" s="135"/>
      <c r="H56" s="135"/>
      <c r="I56" s="135"/>
      <c r="J56" s="135"/>
      <c r="K56" s="125"/>
      <c r="L56" s="107"/>
      <c r="M56" s="107"/>
      <c r="N56" s="107"/>
      <c r="O56" s="107"/>
    </row>
    <row r="57" spans="2:15" ht="9" customHeight="1">
      <c r="B57" s="126" t="s">
        <v>89</v>
      </c>
      <c r="C57" s="851"/>
      <c r="D57" s="133">
        <v>3</v>
      </c>
      <c r="E57" s="106"/>
      <c r="F57" s="106"/>
      <c r="G57" s="107" t="s">
        <v>204</v>
      </c>
      <c r="H57" s="133">
        <f>Phase3begin</f>
        <v>6</v>
      </c>
      <c r="I57" s="106"/>
      <c r="J57" s="107" t="s">
        <v>201</v>
      </c>
      <c r="K57" s="136">
        <v>0</v>
      </c>
      <c r="L57" s="106"/>
      <c r="M57" s="106"/>
      <c r="N57" s="106"/>
      <c r="O57" s="106"/>
    </row>
    <row r="58" spans="2:15" ht="9" customHeight="1">
      <c r="B58" s="126" t="s">
        <v>93</v>
      </c>
      <c r="C58" s="851"/>
      <c r="D58" s="130" t="s">
        <v>332</v>
      </c>
      <c r="E58" s="106"/>
      <c r="F58" s="106"/>
      <c r="G58" s="107" t="s">
        <v>205</v>
      </c>
      <c r="H58" s="133">
        <f>Phase3end</f>
        <v>7</v>
      </c>
      <c r="I58" s="106"/>
      <c r="J58" s="106"/>
      <c r="K58" s="127"/>
      <c r="L58" s="106"/>
      <c r="M58" s="106"/>
      <c r="N58" s="106"/>
      <c r="O58" s="106"/>
    </row>
    <row r="59" spans="2:15" ht="9" customHeight="1" thickBot="1">
      <c r="B59" s="137"/>
      <c r="C59" s="852"/>
      <c r="D59" s="138"/>
      <c r="E59" s="138"/>
      <c r="F59" s="138"/>
      <c r="G59" s="129" t="s">
        <v>199</v>
      </c>
      <c r="H59" s="131">
        <f>Phase3open</f>
        <v>8</v>
      </c>
      <c r="I59" s="138"/>
      <c r="J59" s="138"/>
      <c r="K59" s="128"/>
      <c r="L59" s="106"/>
      <c r="M59" s="106"/>
      <c r="N59" s="106"/>
      <c r="O59" s="106"/>
    </row>
    <row r="60" spans="2:15" ht="9" customHeight="1">
      <c r="B60" s="106"/>
      <c r="C60" s="853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</row>
    <row r="61" spans="2:15" ht="9" customHeight="1">
      <c r="B61" s="108" t="s">
        <v>182</v>
      </c>
      <c r="C61" s="854"/>
      <c r="D61" s="106"/>
      <c r="E61" s="109">
        <f>IF(OR(E$2=$H59,E$2&gt;$H59),INDEX(summary!$A$2:$D$24,MATCH($D58,summary!$A$2:$A$24,0),MATCH($D57,summary!$A$2:$D$2,0)),0)</f>
        <v>0</v>
      </c>
      <c r="F61" s="109">
        <f>IF(OR(F$2=$H59,F$2&gt;$H59),INDEX(summary!$A$2:$D$24,MATCH($D58,summary!$A$2:$A$24,0),MATCH($D57,summary!$A$2:$D$2,0)),0)</f>
        <v>0</v>
      </c>
      <c r="G61" s="109">
        <f>IF(OR(G$2=$H59,G$2&gt;$H59),INDEX(summary!$A$2:$D$24,MATCH($D58,summary!$A$2:$A$24,0),MATCH($D57,summary!$A$2:$D$2,0)),0)</f>
        <v>0</v>
      </c>
      <c r="H61" s="109">
        <f>IF(OR(H$2=$H59,H$2&gt;$H59),INDEX(summary!$A$2:$D$24,MATCH($D58,summary!$A$2:$A$24,0),MATCH($D57,summary!$A$2:$D$2,0)),0)</f>
        <v>0</v>
      </c>
      <c r="I61" s="109">
        <f>IF(OR(I$2=$H59,I$2&gt;$H59),INDEX(summary!$A$2:$D$24,MATCH($D58,summary!$A$2:$A$24,0),MATCH($D57,summary!$A$2:$D$2,0)),0)</f>
        <v>0</v>
      </c>
      <c r="J61" s="109">
        <f>IF(OR(J$2=$H59,J$2&gt;$H59),INDEX(summary!$A$2:$D$24,MATCH($D58,summary!$A$2:$A$24,0),MATCH($D57,summary!$A$2:$D$2,0)),0)</f>
        <v>0</v>
      </c>
      <c r="K61" s="109">
        <f>IF(OR(K$2=$H59,K$2&gt;$H59),INDEX(summary!$A$2:$D$24,MATCH($D58,summary!$A$2:$A$24,0),MATCH($D57,summary!$A$2:$D$2,0)),0)</f>
        <v>0</v>
      </c>
      <c r="L61" s="109">
        <f>IF(OR(L$2=$H59,L$2&gt;$H59),INDEX(summary!$A$2:$D$24,MATCH($D58,summary!$A$2:$A$24,0),MATCH($D57,summary!$A$2:$D$2,0)),0)</f>
        <v>0</v>
      </c>
      <c r="M61" s="109">
        <f>IF(OR(M$2=$H59,M$2&gt;$H59),INDEX(summary!$A$2:$D$24,MATCH($D58,summary!$A$2:$A$24,0),MATCH($D57,summary!$A$2:$D$2,0)),0)</f>
        <v>328446.71490000002</v>
      </c>
      <c r="N61" s="109">
        <f>IF(OR(N$2=$H59,N$2&gt;$H59),INDEX(summary!$A$2:$D$24,MATCH($D58,summary!$A$2:$A$24,0),MATCH($D57,summary!$A$2:$D$2,0)),0)</f>
        <v>328446.71490000002</v>
      </c>
      <c r="O61" s="109">
        <f>IF(OR(O$2=$H59,O$2&gt;$H59),INDEX(summary!$A$2:$D$24,MATCH($D58,summary!$A$2:$A$24,0),MATCH($D57,summary!$A$2:$D$2,0)),0)</f>
        <v>328446.71490000002</v>
      </c>
    </row>
    <row r="62" spans="2:15" ht="9" customHeight="1">
      <c r="B62" s="108" t="s">
        <v>401</v>
      </c>
      <c r="C62" s="854"/>
      <c r="D62" s="106"/>
      <c r="E62" s="109">
        <f t="shared" ref="E62:O62" si="26">E61*(1-$D63)/parkingaveragespacesize</f>
        <v>0</v>
      </c>
      <c r="F62" s="109">
        <f t="shared" si="26"/>
        <v>0</v>
      </c>
      <c r="G62" s="109">
        <f t="shared" si="26"/>
        <v>0</v>
      </c>
      <c r="H62" s="109">
        <f t="shared" si="26"/>
        <v>0</v>
      </c>
      <c r="I62" s="109">
        <f t="shared" si="26"/>
        <v>0</v>
      </c>
      <c r="J62" s="109">
        <f t="shared" si="26"/>
        <v>0</v>
      </c>
      <c r="K62" s="109">
        <f t="shared" si="26"/>
        <v>0</v>
      </c>
      <c r="L62" s="109">
        <f t="shared" si="26"/>
        <v>0</v>
      </c>
      <c r="M62" s="109">
        <f t="shared" si="26"/>
        <v>985.34014470000011</v>
      </c>
      <c r="N62" s="109">
        <f t="shared" si="26"/>
        <v>985.34014470000011</v>
      </c>
      <c r="O62" s="109">
        <f t="shared" si="26"/>
        <v>985.34014470000011</v>
      </c>
    </row>
    <row r="63" spans="2:15" ht="9" customHeight="1">
      <c r="B63" s="108" t="s">
        <v>194</v>
      </c>
      <c r="C63" s="855" t="s">
        <v>191</v>
      </c>
      <c r="D63" s="110">
        <f>INDEX(cockpit!$J$6:$Y$16,MATCH($D58,cockpit!$J$6:$J$16,0),MATCH($C$11,cockpit!$J$6:$Y$6,0))</f>
        <v>0.4</v>
      </c>
      <c r="E63" s="109">
        <f t="shared" ref="E63:O63" si="27">E61*(1-$D63)</f>
        <v>0</v>
      </c>
      <c r="F63" s="109">
        <f t="shared" si="27"/>
        <v>0</v>
      </c>
      <c r="G63" s="109">
        <f t="shared" si="27"/>
        <v>0</v>
      </c>
      <c r="H63" s="109">
        <f t="shared" si="27"/>
        <v>0</v>
      </c>
      <c r="I63" s="109">
        <f t="shared" si="27"/>
        <v>0</v>
      </c>
      <c r="J63" s="109">
        <f t="shared" si="27"/>
        <v>0</v>
      </c>
      <c r="K63" s="109">
        <f t="shared" si="27"/>
        <v>0</v>
      </c>
      <c r="L63" s="109">
        <f t="shared" si="27"/>
        <v>0</v>
      </c>
      <c r="M63" s="109">
        <f t="shared" si="27"/>
        <v>197068.02894000002</v>
      </c>
      <c r="N63" s="109">
        <f t="shared" si="27"/>
        <v>197068.02894000002</v>
      </c>
      <c r="O63" s="109">
        <f t="shared" si="27"/>
        <v>197068.02894000002</v>
      </c>
    </row>
    <row r="64" spans="2:15" ht="9" customHeight="1">
      <c r="B64" s="108" t="s">
        <v>180</v>
      </c>
      <c r="C64" s="855" t="s">
        <v>152</v>
      </c>
      <c r="D64" s="122">
        <f>parkingrampup</f>
        <v>0.47499999999999998</v>
      </c>
      <c r="E64" s="109">
        <f>(IF(OR(E$2=$H59,AND(E$2&gt;$H59,E$2&lt;(SUM($H59,INDEX(cockpit!$J$6:$Y$16,MATCH($D58,cockpit!$J$6:$J$16,0),MATCH($C$12,cockpit!$J$6:$Y$6,0)))))),E63*$D64,0))/parkingaveragespacesize</f>
        <v>0</v>
      </c>
      <c r="F64" s="109">
        <f>(IF(OR(F$2=$H59,AND(F$2&gt;$H59,F$2&lt;(SUM($H59,INDEX(cockpit!$J$6:$Y$16,MATCH($D58,cockpit!$J$6:$J$16,0),MATCH($C$12,cockpit!$J$6:$Y$6,0)))))),F63*$D64,0))/parkingaveragespacesize</f>
        <v>0</v>
      </c>
      <c r="G64" s="109">
        <f>(IF(OR(G$2=$H59,AND(G$2&gt;$H59,G$2&lt;(SUM($H59,INDEX(cockpit!$J$6:$Y$16,MATCH($D58,cockpit!$J$6:$J$16,0),MATCH($C$12,cockpit!$J$6:$Y$6,0)))))),G63*$D64,0))/parkingaveragespacesize</f>
        <v>0</v>
      </c>
      <c r="H64" s="109">
        <f>(IF(OR(H$2=$H59,AND(H$2&gt;$H59,H$2&lt;(SUM($H59,INDEX(cockpit!$J$6:$Y$16,MATCH($D58,cockpit!$J$6:$J$16,0),MATCH($C$12,cockpit!$J$6:$Y$6,0)))))),H63*$D64,0))/parkingaveragespacesize</f>
        <v>0</v>
      </c>
      <c r="I64" s="109">
        <f>(IF(OR(I$2=$H59,AND(I$2&gt;$H59,I$2&lt;(SUM($H59,INDEX(cockpit!$J$6:$Y$16,MATCH($D58,cockpit!$J$6:$J$16,0),MATCH($C$12,cockpit!$J$6:$Y$6,0)))))),I63*$D64,0))/parkingaveragespacesize</f>
        <v>0</v>
      </c>
      <c r="J64" s="109">
        <f>(IF(OR(J$2=$H59,AND(J$2&gt;$H59,J$2&lt;(SUM($H59,INDEX(cockpit!$J$6:$Y$16,MATCH($D58,cockpit!$J$6:$J$16,0),MATCH($C$12,cockpit!$J$6:$Y$6,0)))))),J63*$D64,0))/parkingaveragespacesize</f>
        <v>0</v>
      </c>
      <c r="K64" s="109">
        <f>(IF(OR(K$2=$H59,AND(K$2&gt;$H59,K$2&lt;(SUM($H59,INDEX(cockpit!$J$6:$Y$16,MATCH($D58,cockpit!$J$6:$J$16,0),MATCH($C$12,cockpit!$J$6:$Y$6,0)))))),K63*$D64,0))/parkingaveragespacesize</f>
        <v>0</v>
      </c>
      <c r="L64" s="109">
        <f>(IF(OR(L$2=$H59,AND(L$2&gt;$H59,L$2&lt;(SUM($H59,INDEX(cockpit!$J$6:$Y$16,MATCH($D58,cockpit!$J$6:$J$16,0),MATCH($C$12,cockpit!$J$6:$Y$6,0)))))),L63*$D64,0))/parkingaveragespacesize</f>
        <v>0</v>
      </c>
      <c r="M64" s="109">
        <f>(IF(OR(M$2=$H59,AND(M$2&gt;$H59,M$2&lt;(SUM($H59,INDEX(cockpit!$J$6:$Y$16,MATCH($D58,cockpit!$J$6:$J$16,0),MATCH($C$12,cockpit!$J$6:$Y$6,0)))))),M63*$D64,0))/parkingaveragespacesize</f>
        <v>468.03656873250003</v>
      </c>
      <c r="N64" s="109">
        <f>(IF(OR(N$2=$H59,AND(N$2&gt;$H59,N$2&lt;(SUM($H59,INDEX(cockpit!$J$6:$Y$16,MATCH($D58,cockpit!$J$6:$J$16,0),MATCH($C$12,cockpit!$J$6:$Y$6,0)))))),N63*$D64,0))/parkingaveragespacesize</f>
        <v>468.03656873250003</v>
      </c>
      <c r="O64" s="109">
        <f>(IF(OR(O$2=$H59,AND(O$2&gt;$H59,O$2&lt;(SUM($H59,INDEX(cockpit!$J$6:$Y$16,MATCH($D58,cockpit!$J$6:$J$16,0),MATCH($C$12,cockpit!$J$6:$Y$6,0)))))),O63*$D64,0))/parkingaveragespacesize</f>
        <v>0</v>
      </c>
    </row>
    <row r="65" spans="2:15" ht="9" customHeight="1">
      <c r="B65" s="108" t="s">
        <v>399</v>
      </c>
      <c r="C65" s="855"/>
      <c r="D65" s="268">
        <f>parkingaveragespacesize</f>
        <v>200</v>
      </c>
      <c r="E65" s="109">
        <f>SUM($E64:E64)</f>
        <v>0</v>
      </c>
      <c r="F65" s="109">
        <f>SUM($E64:F64)</f>
        <v>0</v>
      </c>
      <c r="G65" s="109">
        <f>SUM($E64:G64)</f>
        <v>0</v>
      </c>
      <c r="H65" s="109">
        <f>SUM($E64:H64)</f>
        <v>0</v>
      </c>
      <c r="I65" s="109">
        <f>SUM($E64:I64)</f>
        <v>0</v>
      </c>
      <c r="J65" s="109">
        <f>SUM($E64:J64)</f>
        <v>0</v>
      </c>
      <c r="K65" s="109">
        <f>SUM($E64:K64)</f>
        <v>0</v>
      </c>
      <c r="L65" s="109">
        <f>SUM($E64:L64)</f>
        <v>0</v>
      </c>
      <c r="M65" s="109">
        <f>SUM($E64:M64)</f>
        <v>468.03656873250003</v>
      </c>
      <c r="N65" s="109">
        <f>SUM($E64:N64)</f>
        <v>936.07313746500006</v>
      </c>
      <c r="O65" s="109">
        <f>SUM($E64:O64)</f>
        <v>936.07313746500006</v>
      </c>
    </row>
    <row r="66" spans="2:15" ht="9" customHeight="1">
      <c r="B66" s="106"/>
      <c r="C66" s="855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</row>
    <row r="67" spans="2:15" ht="9" customHeight="1">
      <c r="B67" s="108" t="s">
        <v>166</v>
      </c>
      <c r="C67" s="855"/>
      <c r="D67" s="111">
        <f>parkingrevenueperspacepermonth</f>
        <v>324</v>
      </c>
      <c r="E67" s="112">
        <f t="shared" ref="E67:O67" si="28">(E65*12)*($D67*((1+Inflation)^(E$2-1)))</f>
        <v>0</v>
      </c>
      <c r="F67" s="112">
        <f t="shared" si="28"/>
        <v>0</v>
      </c>
      <c r="G67" s="112">
        <f t="shared" si="28"/>
        <v>0</v>
      </c>
      <c r="H67" s="112">
        <f t="shared" si="28"/>
        <v>0</v>
      </c>
      <c r="I67" s="112">
        <f t="shared" si="28"/>
        <v>0</v>
      </c>
      <c r="J67" s="112">
        <f t="shared" si="28"/>
        <v>0</v>
      </c>
      <c r="K67" s="112">
        <f t="shared" si="28"/>
        <v>0</v>
      </c>
      <c r="L67" s="112">
        <f t="shared" si="28"/>
        <v>0</v>
      </c>
      <c r="M67" s="112">
        <f t="shared" si="28"/>
        <v>2090293.3811299372</v>
      </c>
      <c r="N67" s="112">
        <f t="shared" si="28"/>
        <v>4264198.4975050725</v>
      </c>
      <c r="O67" s="112">
        <f t="shared" si="28"/>
        <v>4349482.4674551738</v>
      </c>
    </row>
    <row r="68" spans="2:15" ht="9" customHeight="1">
      <c r="B68" s="108" t="s">
        <v>216</v>
      </c>
      <c r="C68" s="855"/>
      <c r="D68" s="111">
        <f>IF(INDEX(cockpit!$J$6:$Y$16,MATCH($D58,cockpit!$J$6:$J$16,0),MATCH($B68,cockpit!$J$6:$Y$6,0))="Y",D69,0)</f>
        <v>0</v>
      </c>
      <c r="E68" s="112">
        <f t="shared" ref="E68:O68" si="29">-IF($D68&gt;0,E69,0)</f>
        <v>0</v>
      </c>
      <c r="F68" s="112">
        <f t="shared" si="29"/>
        <v>0</v>
      </c>
      <c r="G68" s="112">
        <f t="shared" si="29"/>
        <v>0</v>
      </c>
      <c r="H68" s="112">
        <f t="shared" si="29"/>
        <v>0</v>
      </c>
      <c r="I68" s="112">
        <f t="shared" si="29"/>
        <v>0</v>
      </c>
      <c r="J68" s="112">
        <f t="shared" si="29"/>
        <v>0</v>
      </c>
      <c r="K68" s="112">
        <f t="shared" si="29"/>
        <v>0</v>
      </c>
      <c r="L68" s="112">
        <f t="shared" si="29"/>
        <v>0</v>
      </c>
      <c r="M68" s="112">
        <f t="shared" si="29"/>
        <v>0</v>
      </c>
      <c r="N68" s="112">
        <f t="shared" si="29"/>
        <v>0</v>
      </c>
      <c r="O68" s="112">
        <f t="shared" si="29"/>
        <v>0</v>
      </c>
    </row>
    <row r="69" spans="2:15" ht="9" customHeight="1">
      <c r="B69" s="108" t="s">
        <v>123</v>
      </c>
      <c r="C69" s="855"/>
      <c r="D69" s="122">
        <f>INDEX(cockpit!$J$6:$Y$16,MATCH($D58,cockpit!$J$6:$J$16,0),MATCH($B69,cockpit!$J$6:$Y$6,0))</f>
        <v>0.25</v>
      </c>
      <c r="E69" s="113">
        <f t="shared" ref="E69:O69" si="30">-IF($D69&gt;1,E61*($D69*((1+Inflation)^(E$2-1))),E67*(1-$D69))</f>
        <v>0</v>
      </c>
      <c r="F69" s="113">
        <f t="shared" si="30"/>
        <v>0</v>
      </c>
      <c r="G69" s="113">
        <f t="shared" si="30"/>
        <v>0</v>
      </c>
      <c r="H69" s="113">
        <f t="shared" si="30"/>
        <v>0</v>
      </c>
      <c r="I69" s="113">
        <f t="shared" si="30"/>
        <v>0</v>
      </c>
      <c r="J69" s="113">
        <f t="shared" si="30"/>
        <v>0</v>
      </c>
      <c r="K69" s="113">
        <f t="shared" si="30"/>
        <v>0</v>
      </c>
      <c r="L69" s="113">
        <f t="shared" si="30"/>
        <v>0</v>
      </c>
      <c r="M69" s="113">
        <f t="shared" si="30"/>
        <v>-1567720.0358474529</v>
      </c>
      <c r="N69" s="113">
        <f t="shared" si="30"/>
        <v>-3198148.8731288044</v>
      </c>
      <c r="O69" s="113">
        <f t="shared" si="30"/>
        <v>-3262111.8505913801</v>
      </c>
    </row>
    <row r="70" spans="2:15" ht="9" customHeight="1">
      <c r="B70" s="114" t="s">
        <v>167</v>
      </c>
      <c r="C70" s="855"/>
      <c r="D70" s="106"/>
      <c r="E70" s="112">
        <f>SUM(E67:E69)</f>
        <v>0</v>
      </c>
      <c r="F70" s="112">
        <f t="shared" ref="F70:O70" si="31">SUM(F67:F69)</f>
        <v>0</v>
      </c>
      <c r="G70" s="112">
        <f t="shared" si="31"/>
        <v>0</v>
      </c>
      <c r="H70" s="112">
        <f t="shared" si="31"/>
        <v>0</v>
      </c>
      <c r="I70" s="112">
        <f t="shared" si="31"/>
        <v>0</v>
      </c>
      <c r="J70" s="112">
        <f t="shared" si="31"/>
        <v>0</v>
      </c>
      <c r="K70" s="112">
        <f t="shared" si="31"/>
        <v>0</v>
      </c>
      <c r="L70" s="112">
        <f t="shared" si="31"/>
        <v>0</v>
      </c>
      <c r="M70" s="112">
        <f t="shared" si="31"/>
        <v>522573.34528248431</v>
      </c>
      <c r="N70" s="112">
        <f t="shared" si="31"/>
        <v>1066049.6243762681</v>
      </c>
      <c r="O70" s="112">
        <f t="shared" si="31"/>
        <v>1087370.6168637937</v>
      </c>
    </row>
    <row r="71" spans="2:15" ht="9" customHeight="1">
      <c r="B71" s="106"/>
      <c r="C71" s="855"/>
      <c r="D71" s="106"/>
      <c r="E71" s="187">
        <f t="shared" ref="E71:O71" si="32">IFERROR(E70/SUM(E67:E68),0)</f>
        <v>0</v>
      </c>
      <c r="F71" s="187">
        <f t="shared" si="32"/>
        <v>0</v>
      </c>
      <c r="G71" s="187">
        <f t="shared" si="32"/>
        <v>0</v>
      </c>
      <c r="H71" s="187">
        <f t="shared" si="32"/>
        <v>0</v>
      </c>
      <c r="I71" s="187">
        <f t="shared" si="32"/>
        <v>0</v>
      </c>
      <c r="J71" s="187">
        <f t="shared" si="32"/>
        <v>0</v>
      </c>
      <c r="K71" s="187">
        <f t="shared" si="32"/>
        <v>0</v>
      </c>
      <c r="L71" s="187">
        <f t="shared" si="32"/>
        <v>0</v>
      </c>
      <c r="M71" s="187">
        <f t="shared" si="32"/>
        <v>0.25</v>
      </c>
      <c r="N71" s="187">
        <f t="shared" si="32"/>
        <v>0.25</v>
      </c>
      <c r="O71" s="187">
        <f t="shared" si="32"/>
        <v>0.25000000000000006</v>
      </c>
    </row>
    <row r="72" spans="2:15" ht="9" customHeight="1">
      <c r="B72" s="108" t="s">
        <v>168</v>
      </c>
      <c r="C72" s="855"/>
      <c r="D72" s="115">
        <f>INDEX(cockpit!$J$6:$Y$16,MATCH($D58,cockpit!$J$6:$J$16,0),MATCH($B72,cockpit!$J$6:$Y$6,0))</f>
        <v>2.5000000000000001E-2</v>
      </c>
      <c r="E72" s="112">
        <f>-E63*$D72</f>
        <v>0</v>
      </c>
      <c r="F72" s="112">
        <f t="shared" ref="F72:O72" si="33">-F63*$D72</f>
        <v>0</v>
      </c>
      <c r="G72" s="112">
        <f t="shared" si="33"/>
        <v>0</v>
      </c>
      <c r="H72" s="112">
        <f t="shared" si="33"/>
        <v>0</v>
      </c>
      <c r="I72" s="112">
        <f t="shared" si="33"/>
        <v>0</v>
      </c>
      <c r="J72" s="112">
        <f t="shared" si="33"/>
        <v>0</v>
      </c>
      <c r="K72" s="112">
        <f t="shared" si="33"/>
        <v>0</v>
      </c>
      <c r="L72" s="112">
        <f t="shared" si="33"/>
        <v>0</v>
      </c>
      <c r="M72" s="112">
        <f t="shared" si="33"/>
        <v>-4926.700723500001</v>
      </c>
      <c r="N72" s="112">
        <f t="shared" si="33"/>
        <v>-4926.700723500001</v>
      </c>
      <c r="O72" s="112">
        <f t="shared" si="33"/>
        <v>-4926.700723500001</v>
      </c>
    </row>
    <row r="73" spans="2:15" ht="9" customHeight="1">
      <c r="B73" s="108" t="s">
        <v>162</v>
      </c>
      <c r="C73" s="855"/>
      <c r="D73" s="115">
        <f>INDEX(cockpit!$J$6:$Y$16,MATCH($D58,cockpit!$J$6:$J$16,0),MATCH($B73,cockpit!$J$6:$Y$6,0))</f>
        <v>0</v>
      </c>
      <c r="E73" s="113">
        <f>-E65*$D73</f>
        <v>0</v>
      </c>
      <c r="F73" s="113">
        <f t="shared" ref="F73:O73" si="34">-F65*$D73</f>
        <v>0</v>
      </c>
      <c r="G73" s="113">
        <f t="shared" si="34"/>
        <v>0</v>
      </c>
      <c r="H73" s="113">
        <f t="shared" si="34"/>
        <v>0</v>
      </c>
      <c r="I73" s="113">
        <f t="shared" si="34"/>
        <v>0</v>
      </c>
      <c r="J73" s="113">
        <f t="shared" si="34"/>
        <v>0</v>
      </c>
      <c r="K73" s="113">
        <f t="shared" si="34"/>
        <v>0</v>
      </c>
      <c r="L73" s="113">
        <f t="shared" si="34"/>
        <v>0</v>
      </c>
      <c r="M73" s="113">
        <f t="shared" si="34"/>
        <v>0</v>
      </c>
      <c r="N73" s="113">
        <f t="shared" si="34"/>
        <v>0</v>
      </c>
      <c r="O73" s="113">
        <f t="shared" si="34"/>
        <v>0</v>
      </c>
    </row>
    <row r="74" spans="2:15" ht="9" customHeight="1">
      <c r="B74" s="114" t="s">
        <v>195</v>
      </c>
      <c r="C74" s="855"/>
      <c r="D74" s="115"/>
      <c r="E74" s="112">
        <f>SUM(E72:E73)</f>
        <v>0</v>
      </c>
      <c r="F74" s="112">
        <f t="shared" ref="F74:O74" si="35">SUM(F72:F73)</f>
        <v>0</v>
      </c>
      <c r="G74" s="112">
        <f t="shared" si="35"/>
        <v>0</v>
      </c>
      <c r="H74" s="112">
        <f t="shared" si="35"/>
        <v>0</v>
      </c>
      <c r="I74" s="112">
        <f t="shared" si="35"/>
        <v>0</v>
      </c>
      <c r="J74" s="112">
        <f t="shared" si="35"/>
        <v>0</v>
      </c>
      <c r="K74" s="112">
        <f t="shared" si="35"/>
        <v>0</v>
      </c>
      <c r="L74" s="112">
        <f t="shared" si="35"/>
        <v>0</v>
      </c>
      <c r="M74" s="112">
        <f t="shared" si="35"/>
        <v>-4926.700723500001</v>
      </c>
      <c r="N74" s="112">
        <f t="shared" si="35"/>
        <v>-4926.700723500001</v>
      </c>
      <c r="O74" s="112">
        <f t="shared" si="35"/>
        <v>-4926.700723500001</v>
      </c>
    </row>
    <row r="75" spans="2:15" ht="9" customHeight="1">
      <c r="B75" s="108"/>
      <c r="C75" s="855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</row>
    <row r="76" spans="2:15" ht="9" customHeight="1">
      <c r="B76" s="108" t="s">
        <v>170</v>
      </c>
      <c r="C76" s="855"/>
      <c r="D76" s="111">
        <f>(parkingconstructioncostPSF*(1-$K57))+((parkingconstructioncostPSF*(1+premiumprices)*$K57))</f>
        <v>70</v>
      </c>
      <c r="E76" s="112">
        <f>-IF(OR(E$2=$H57,E$2=$H58,AND(E$2&gt;$H57,E$2&lt;$H58)),(INDEX(summary!$A$2:$D$24,MATCH($D58,summary!$A$2:$A$24,0),MATCH($D57,summary!$A$2:$D$2,0)))/constructiontimephase3)*($D76*((1+Inflation)^(E$2-1)))*(1+Developerfee)</f>
        <v>0</v>
      </c>
      <c r="F76" s="112">
        <f>-IF(OR(F$2=$H57,F$2=$H58,AND(F$2&gt;$H57,F$2&lt;$H58)),(INDEX(summary!$A$2:$D$24,MATCH($D58,summary!$A$2:$A$24,0),MATCH($D57,summary!$A$2:$D$2,0)))/constructiontimephase3)*($D76*((1+Inflation)^(F$2-1)))*(1+Developerfee)</f>
        <v>0</v>
      </c>
      <c r="G76" s="112">
        <f>-IF(OR(G$2=$H57,G$2=$H58,AND(G$2&gt;$H57,G$2&lt;$H58)),(INDEX(summary!$A$2:$D$24,MATCH($D58,summary!$A$2:$A$24,0),MATCH($D57,summary!$A$2:$D$2,0)))/constructiontimephase3)*($D76*((1+Inflation)^(G$2-1)))*(1+Developerfee)</f>
        <v>0</v>
      </c>
      <c r="H76" s="112">
        <f>-IF(OR(H$2=$H57,H$2=$H58,AND(H$2&gt;$H57,H$2&lt;$H58)),(INDEX(summary!$A$2:$D$24,MATCH($D58,summary!$A$2:$A$24,0),MATCH($D57,summary!$A$2:$D$2,0)))/constructiontimephase3)*($D76*((1+Inflation)^(H$2-1)))*(1+Developerfee)</f>
        <v>0</v>
      </c>
      <c r="I76" s="112">
        <f>-IF(OR(I$2=$H57,I$2=$H58,AND(I$2&gt;$H57,I$2&lt;$H58)),(INDEX(summary!$A$2:$D$24,MATCH($D58,summary!$A$2:$A$24,0),MATCH($D57,summary!$A$2:$D$2,0)))/constructiontimephase3)*($D76*((1+Inflation)^(I$2-1)))*(1+Developerfee)</f>
        <v>0</v>
      </c>
      <c r="J76" s="112">
        <f>-IF(OR(J$2=$H57,J$2=$H58,AND(J$2&gt;$H57,J$2&lt;$H58)),(INDEX(summary!$A$2:$D$24,MATCH($D58,summary!$A$2:$A$24,0),MATCH($D57,summary!$A$2:$D$2,0)))/constructiontimephase3)*($D76*((1+Inflation)^(J$2-1)))*(1+Developerfee)</f>
        <v>0</v>
      </c>
      <c r="K76" s="112">
        <f>-IF(OR(K$2=$H57,K$2=$H58,AND(K$2&gt;$H57,K$2&lt;$H58)),(INDEX(summary!$A$2:$D$24,MATCH($D58,summary!$A$2:$A$24,0),MATCH($D57,summary!$A$2:$D$2,0)))/constructiontimephase3)*($D76*((1+Inflation)^(K$2-1)))*(1+Developerfee)</f>
        <v>-13072873.246266725</v>
      </c>
      <c r="L76" s="112">
        <f>-IF(OR(L$2=$H57,L$2=$H58,AND(L$2&gt;$H57,L$2&lt;$H58)),(INDEX(summary!$A$2:$D$24,MATCH($D58,summary!$A$2:$A$24,0),MATCH($D57,summary!$A$2:$D$2,0)))/constructiontimephase3)*($D76*((1+Inflation)^(L$2-1)))*(1+Developerfee)</f>
        <v>-13334330.71119206</v>
      </c>
      <c r="M76" s="112">
        <f>-IF(OR(M$2=$H57,M$2=$H58,AND(M$2&gt;$H57,M$2&lt;$H58)),(INDEX(summary!$A$2:$D$24,MATCH($D58,summary!$A$2:$A$24,0),MATCH($D57,summary!$A$2:$D$2,0)))/constructiontimephase3)*($D76*((1+Inflation)^(M$2-1)))*(1+Developerfee)</f>
        <v>0</v>
      </c>
      <c r="N76" s="112">
        <f>-IF(OR(N$2=$H57,N$2=$H58,AND(N$2&gt;$H57,N$2&lt;$H58)),(INDEX(summary!$A$2:$D$24,MATCH($D58,summary!$A$2:$A$24,0),MATCH($D57,summary!$A$2:$D$2,0)))/constructiontimephase3)*($D76*((1+Inflation)^(N$2-1)))*(1+Developerfee)</f>
        <v>0</v>
      </c>
      <c r="O76" s="112">
        <f>-IF(OR(O$2=$H57,O$2=$H58,AND(O$2&gt;$H57,O$2&lt;$H58)),(INDEX(summary!$A$2:$D$24,MATCH($D58,summary!$A$2:$A$24,0),MATCH($D57,summary!$A$2:$D$2,0)))/constructiontimephase3)*($D76*((1+Inflation)^(O$2-1)))*(1+Developerfee)</f>
        <v>0</v>
      </c>
    </row>
    <row r="77" spans="2:15" ht="9" customHeight="1">
      <c r="B77" s="108" t="s">
        <v>197</v>
      </c>
      <c r="C77" s="855" t="s">
        <v>189</v>
      </c>
      <c r="D77" s="122">
        <f>(INDEX(cockpit!$J$6:$Y$16,MATCH($D58,cockpit!$J$6:$J$16,0),MATCH($C77,cockpit!$J$6:$Y$6,0))*(1-$K57))+((INDEX(cockpit!$J$6:$Y$16,MATCH($D58,cockpit!$J$6:$J$16,0),MATCH($C77,cockpit!$J$6:$Y$6,0))-(Premiumexitcaprate))*$K57)</f>
        <v>0.09</v>
      </c>
      <c r="E77" s="113">
        <f t="shared" ref="E77:O77" si="36">IF(E$2=dispositionyear,E70/$D77,0)*(1-Closingcosts)</f>
        <v>0</v>
      </c>
      <c r="F77" s="113">
        <f t="shared" si="36"/>
        <v>0</v>
      </c>
      <c r="G77" s="113">
        <f t="shared" si="36"/>
        <v>0</v>
      </c>
      <c r="H77" s="113">
        <f t="shared" si="36"/>
        <v>0</v>
      </c>
      <c r="I77" s="113">
        <f t="shared" si="36"/>
        <v>0</v>
      </c>
      <c r="J77" s="113">
        <f t="shared" si="36"/>
        <v>0</v>
      </c>
      <c r="K77" s="113">
        <f t="shared" si="36"/>
        <v>0</v>
      </c>
      <c r="L77" s="113">
        <f t="shared" si="36"/>
        <v>0</v>
      </c>
      <c r="M77" s="113">
        <f t="shared" si="36"/>
        <v>0</v>
      </c>
      <c r="N77" s="113">
        <f t="shared" si="36"/>
        <v>0</v>
      </c>
      <c r="O77" s="113">
        <f t="shared" si="36"/>
        <v>11779848.349357765</v>
      </c>
    </row>
    <row r="78" spans="2:15" ht="9" customHeight="1">
      <c r="B78" s="114" t="s">
        <v>196</v>
      </c>
      <c r="C78" s="855"/>
      <c r="D78" s="110"/>
      <c r="E78" s="112">
        <f>SUM(E76:E77)</f>
        <v>0</v>
      </c>
      <c r="F78" s="112">
        <f t="shared" ref="F78:O78" si="37">SUM(F76:F77)</f>
        <v>0</v>
      </c>
      <c r="G78" s="112">
        <f t="shared" si="37"/>
        <v>0</v>
      </c>
      <c r="H78" s="112">
        <f t="shared" si="37"/>
        <v>0</v>
      </c>
      <c r="I78" s="112">
        <f t="shared" si="37"/>
        <v>0</v>
      </c>
      <c r="J78" s="112">
        <f t="shared" si="37"/>
        <v>0</v>
      </c>
      <c r="K78" s="112">
        <f t="shared" si="37"/>
        <v>-13072873.246266725</v>
      </c>
      <c r="L78" s="112">
        <f t="shared" si="37"/>
        <v>-13334330.71119206</v>
      </c>
      <c r="M78" s="112">
        <f t="shared" si="37"/>
        <v>0</v>
      </c>
      <c r="N78" s="112">
        <f t="shared" si="37"/>
        <v>0</v>
      </c>
      <c r="O78" s="112">
        <f t="shared" si="37"/>
        <v>11779848.349357765</v>
      </c>
    </row>
    <row r="79" spans="2:15" ht="9" customHeight="1">
      <c r="B79" s="108"/>
      <c r="C79" s="855"/>
      <c r="D79" s="110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</row>
    <row r="80" spans="2:15" ht="9" customHeight="1">
      <c r="B80" s="114" t="s">
        <v>169</v>
      </c>
      <c r="C80" s="856"/>
      <c r="D80" s="116">
        <f ca="1">IRR(OFFSET(E80,0,0,1,Investmenthorizon+1))</f>
        <v>-0.16515592411533642</v>
      </c>
      <c r="E80" s="117">
        <f>SUM(E70,E74,E78)</f>
        <v>0</v>
      </c>
      <c r="F80" s="117">
        <f t="shared" ref="F80:O80" si="38">SUM(F70,F74,F78)</f>
        <v>0</v>
      </c>
      <c r="G80" s="117">
        <f t="shared" si="38"/>
        <v>0</v>
      </c>
      <c r="H80" s="117">
        <f t="shared" si="38"/>
        <v>0</v>
      </c>
      <c r="I80" s="117">
        <f t="shared" si="38"/>
        <v>0</v>
      </c>
      <c r="J80" s="117">
        <f t="shared" si="38"/>
        <v>0</v>
      </c>
      <c r="K80" s="117">
        <f t="shared" si="38"/>
        <v>-13072873.246266725</v>
      </c>
      <c r="L80" s="117">
        <f t="shared" si="38"/>
        <v>-13334330.71119206</v>
      </c>
      <c r="M80" s="117">
        <f t="shared" si="38"/>
        <v>517646.64455898432</v>
      </c>
      <c r="N80" s="117">
        <f t="shared" si="38"/>
        <v>1061122.9236527681</v>
      </c>
      <c r="O80" s="117">
        <f t="shared" si="38"/>
        <v>12862292.265498059</v>
      </c>
    </row>
    <row r="81" spans="2:15" ht="9" customHeight="1">
      <c r="B81" s="114"/>
      <c r="C81" s="856"/>
      <c r="D81" s="118"/>
      <c r="E81" s="106"/>
      <c r="F81" s="106"/>
      <c r="G81" s="106"/>
      <c r="H81" s="119"/>
      <c r="I81" s="106"/>
      <c r="J81" s="106"/>
      <c r="K81" s="106"/>
      <c r="L81" s="106"/>
      <c r="M81" s="106"/>
      <c r="N81" s="106"/>
      <c r="O81" s="106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BCA96-FAF1-4540-8E24-2570E99B1BFE}">
  <sheetPr>
    <tabColor theme="2" tint="-0.499984740745262"/>
  </sheetPr>
  <dimension ref="B2:V37"/>
  <sheetViews>
    <sheetView showGridLines="0" zoomScale="60" zoomScaleNormal="60" workbookViewId="0">
      <selection activeCell="H38" sqref="H38"/>
    </sheetView>
  </sheetViews>
  <sheetFormatPr defaultRowHeight="14.5"/>
  <cols>
    <col min="2" max="2" width="29.90625" bestFit="1" customWidth="1"/>
    <col min="3" max="3" width="68.08984375" customWidth="1"/>
    <col min="4" max="14" width="16.81640625" customWidth="1"/>
    <col min="15" max="16" width="11.7265625" customWidth="1"/>
    <col min="17" max="17" width="15.36328125" customWidth="1"/>
    <col min="18" max="18" width="15" bestFit="1" customWidth="1"/>
    <col min="19" max="19" width="15" customWidth="1"/>
    <col min="21" max="21" width="20.453125" customWidth="1"/>
    <col min="22" max="22" width="21" bestFit="1" customWidth="1"/>
  </cols>
  <sheetData>
    <row r="2" spans="2:22">
      <c r="B2" s="258" t="s">
        <v>392</v>
      </c>
      <c r="C2" s="259">
        <v>43560</v>
      </c>
    </row>
    <row r="3" spans="2:22">
      <c r="B3" s="258"/>
      <c r="C3" s="259"/>
    </row>
    <row r="4" spans="2:22">
      <c r="B4" s="260" t="s">
        <v>393</v>
      </c>
    </row>
    <row r="5" spans="2:22" ht="35" customHeight="1">
      <c r="B5" s="262" t="s">
        <v>234</v>
      </c>
      <c r="C5" s="262" t="s">
        <v>253</v>
      </c>
      <c r="D5" s="262" t="s">
        <v>249</v>
      </c>
      <c r="E5" s="262" t="s">
        <v>241</v>
      </c>
      <c r="F5" s="262" t="s">
        <v>242</v>
      </c>
      <c r="G5" s="262" t="s">
        <v>243</v>
      </c>
      <c r="H5" s="262" t="s">
        <v>269</v>
      </c>
      <c r="I5" s="262" t="s">
        <v>235</v>
      </c>
      <c r="J5" s="262" t="s">
        <v>123</v>
      </c>
      <c r="K5" s="262" t="s">
        <v>239</v>
      </c>
      <c r="L5" s="262" t="s">
        <v>271</v>
      </c>
      <c r="M5" s="262" t="s">
        <v>236</v>
      </c>
      <c r="N5" s="262" t="s">
        <v>256</v>
      </c>
      <c r="O5" s="262" t="s">
        <v>244</v>
      </c>
      <c r="P5" s="262" t="s">
        <v>260</v>
      </c>
      <c r="Q5" s="262" t="s">
        <v>279</v>
      </c>
      <c r="R5" s="262" t="s">
        <v>245</v>
      </c>
      <c r="S5" s="262" t="s">
        <v>276</v>
      </c>
      <c r="T5" s="262" t="s">
        <v>89</v>
      </c>
      <c r="U5" s="262" t="s">
        <v>275</v>
      </c>
      <c r="V5" s="262" t="s">
        <v>455</v>
      </c>
    </row>
    <row r="6" spans="2:22" ht="22.5" customHeight="1">
      <c r="B6" t="s">
        <v>238</v>
      </c>
      <c r="C6" t="s">
        <v>389</v>
      </c>
      <c r="D6" t="s">
        <v>250</v>
      </c>
      <c r="E6" s="194">
        <v>0.41599999999999998</v>
      </c>
      <c r="F6" s="14">
        <f>$C$2*E6</f>
        <v>18120.96</v>
      </c>
      <c r="G6" s="14">
        <v>12478</v>
      </c>
      <c r="H6" t="s">
        <v>141</v>
      </c>
      <c r="I6" s="193">
        <f>RetailrentalratePSF</f>
        <v>29.661463552384863</v>
      </c>
      <c r="J6" s="193">
        <f>retailopex</f>
        <v>11</v>
      </c>
      <c r="K6" t="s">
        <v>240</v>
      </c>
      <c r="L6" s="261">
        <f>((I6-J6+J6)*(1-Retailvacancy))*G6</f>
        <v>351609.95509632543</v>
      </c>
      <c r="M6">
        <f>retailentrycap</f>
        <v>7.0000000000000007E-2</v>
      </c>
      <c r="N6" s="193">
        <f>L6/M6</f>
        <v>5022999.3585189339</v>
      </c>
      <c r="O6" t="s">
        <v>223</v>
      </c>
      <c r="P6" t="s">
        <v>278</v>
      </c>
      <c r="Q6" t="s">
        <v>278</v>
      </c>
      <c r="R6" s="193">
        <f>demolitionbuildingPSF*G6</f>
        <v>62390</v>
      </c>
      <c r="S6" s="193"/>
      <c r="T6" s="12">
        <v>1</v>
      </c>
      <c r="U6" s="261">
        <f>N6+R6</f>
        <v>5085389.3585189339</v>
      </c>
      <c r="V6" t="s">
        <v>280</v>
      </c>
    </row>
    <row r="7" spans="2:22">
      <c r="B7" t="s">
        <v>252</v>
      </c>
      <c r="C7" t="s">
        <v>254</v>
      </c>
      <c r="D7" t="s">
        <v>251</v>
      </c>
      <c r="E7" s="194">
        <f>F7/C2</f>
        <v>1.9283746556473829</v>
      </c>
      <c r="F7" s="14">
        <f>200*420</f>
        <v>84000</v>
      </c>
      <c r="G7" s="14">
        <v>27416</v>
      </c>
      <c r="H7" t="s">
        <v>255</v>
      </c>
      <c r="I7" s="193">
        <f>OfficemarketratePSF</f>
        <v>25</v>
      </c>
      <c r="J7" s="193">
        <f>officeopex</f>
        <v>10</v>
      </c>
      <c r="K7" t="s">
        <v>240</v>
      </c>
      <c r="L7" s="261">
        <f>((I7-J7+J7)*(1-Officevacancy))*G7</f>
        <v>616860</v>
      </c>
      <c r="M7">
        <f>officeentrycaprate</f>
        <v>7.0000000000000007E-2</v>
      </c>
      <c r="N7" s="193">
        <f>L7/M7</f>
        <v>8812285.7142857127</v>
      </c>
      <c r="O7" t="s">
        <v>223</v>
      </c>
      <c r="P7" t="s">
        <v>278</v>
      </c>
      <c r="Q7" t="s">
        <v>278</v>
      </c>
      <c r="R7" s="193">
        <f>demolitionbuildingPSF*G7</f>
        <v>137080</v>
      </c>
      <c r="S7" s="193"/>
      <c r="T7" s="12">
        <v>1</v>
      </c>
      <c r="U7" s="261">
        <f>N7+R7</f>
        <v>8949365.7142857127</v>
      </c>
      <c r="V7" t="s">
        <v>224</v>
      </c>
    </row>
    <row r="8" spans="2:22">
      <c r="B8" t="s">
        <v>261</v>
      </c>
      <c r="C8" t="s">
        <v>388</v>
      </c>
      <c r="D8" t="s">
        <v>262</v>
      </c>
      <c r="E8" s="194"/>
      <c r="F8" s="14"/>
      <c r="G8" s="14">
        <f>(90*90)*3</f>
        <v>24300</v>
      </c>
      <c r="H8" t="s">
        <v>141</v>
      </c>
      <c r="I8" s="193">
        <f>RetailrentalratePSF</f>
        <v>29.661463552384863</v>
      </c>
      <c r="J8" s="193">
        <f>retailopex</f>
        <v>11</v>
      </c>
      <c r="K8" t="s">
        <v>240</v>
      </c>
      <c r="L8" s="261">
        <f>((I8-J8+J8)*(1-Officevacancy))*G8</f>
        <v>648696.20789065701</v>
      </c>
      <c r="M8">
        <f>retailentrycap</f>
        <v>7.0000000000000007E-2</v>
      </c>
      <c r="N8" s="193">
        <f>L8/M8</f>
        <v>9267088.6841522418</v>
      </c>
      <c r="O8" t="s">
        <v>263</v>
      </c>
      <c r="P8" t="s">
        <v>223</v>
      </c>
      <c r="Q8" t="s">
        <v>109</v>
      </c>
      <c r="S8" s="201">
        <f>G8*Repurposecost</f>
        <v>850500</v>
      </c>
      <c r="T8" s="12">
        <v>1</v>
      </c>
      <c r="U8" s="261">
        <f>N8+S8</f>
        <v>10117588.684152242</v>
      </c>
      <c r="V8" t="s">
        <v>224</v>
      </c>
    </row>
    <row r="9" spans="2:22">
      <c r="B9" t="s">
        <v>257</v>
      </c>
      <c r="C9" t="s">
        <v>390</v>
      </c>
      <c r="D9" t="s">
        <v>259</v>
      </c>
      <c r="E9" s="194"/>
      <c r="F9" s="14"/>
      <c r="G9" s="257">
        <v>18007</v>
      </c>
      <c r="H9" t="s">
        <v>141</v>
      </c>
      <c r="I9" s="193">
        <f>RetailrentalratePSF</f>
        <v>29.661463552384863</v>
      </c>
      <c r="J9" s="193">
        <f>retailopex</f>
        <v>11</v>
      </c>
      <c r="K9" t="s">
        <v>240</v>
      </c>
      <c r="L9" s="261">
        <f>((I9-J9+J9)*(1-Officevacancy))*G9</f>
        <v>480702.57676901482</v>
      </c>
      <c r="M9" s="198" t="s">
        <v>278</v>
      </c>
      <c r="N9" t="s">
        <v>278</v>
      </c>
      <c r="O9" t="s">
        <v>263</v>
      </c>
      <c r="P9" t="s">
        <v>223</v>
      </c>
      <c r="Q9" t="s">
        <v>141</v>
      </c>
      <c r="S9" s="201">
        <f>G9*Repurposecost</f>
        <v>630245</v>
      </c>
      <c r="T9" s="12">
        <v>1</v>
      </c>
      <c r="U9" s="261">
        <f>S9</f>
        <v>630245</v>
      </c>
      <c r="V9" t="s">
        <v>222</v>
      </c>
    </row>
    <row r="10" spans="2:22">
      <c r="B10" t="s">
        <v>258</v>
      </c>
      <c r="C10" t="s">
        <v>391</v>
      </c>
      <c r="D10" t="s">
        <v>259</v>
      </c>
      <c r="E10" s="194"/>
      <c r="F10" s="14"/>
      <c r="G10" s="14">
        <f>6850+768</f>
        <v>7618</v>
      </c>
      <c r="H10" t="s">
        <v>141</v>
      </c>
      <c r="I10" t="s">
        <v>278</v>
      </c>
      <c r="J10" s="193" t="s">
        <v>278</v>
      </c>
      <c r="K10" t="s">
        <v>278</v>
      </c>
      <c r="L10" s="261" t="s">
        <v>278</v>
      </c>
      <c r="M10" t="s">
        <v>278</v>
      </c>
      <c r="N10" t="s">
        <v>278</v>
      </c>
      <c r="O10" t="s">
        <v>223</v>
      </c>
      <c r="P10" t="s">
        <v>278</v>
      </c>
      <c r="Q10" t="s">
        <v>278</v>
      </c>
      <c r="R10" s="193">
        <f>demolitionbuildingPSF*G10</f>
        <v>38090</v>
      </c>
      <c r="T10" s="12">
        <v>1</v>
      </c>
      <c r="U10" s="261">
        <f>G10*Repurposecost</f>
        <v>266630</v>
      </c>
      <c r="V10" t="s">
        <v>326</v>
      </c>
    </row>
    <row r="15" spans="2:22">
      <c r="B15" s="203" t="s">
        <v>387</v>
      </c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191"/>
    </row>
    <row r="16" spans="2:22">
      <c r="G16" s="14"/>
    </row>
    <row r="22" spans="2:21"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4" spans="2:21">
      <c r="G24" s="194"/>
      <c r="I24" s="193"/>
      <c r="L24" s="193"/>
      <c r="M24" s="198"/>
    </row>
    <row r="35" spans="3:3">
      <c r="C35" s="14"/>
    </row>
    <row r="36" spans="3:3">
      <c r="C36" s="14"/>
    </row>
    <row r="37" spans="3:3">
      <c r="C37" s="14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A8151-FFCD-4311-A0E1-BBF3CBAED144}">
  <sheetPr>
    <tabColor theme="2" tint="-0.499984740745262"/>
  </sheetPr>
  <dimension ref="A2:Z48"/>
  <sheetViews>
    <sheetView showGridLines="0" topLeftCell="B1" zoomScale="90" zoomScaleNormal="90" workbookViewId="0">
      <pane xSplit="3" ySplit="8" topLeftCell="F30" activePane="bottomRight" state="frozen"/>
      <selection activeCell="H38" sqref="H38"/>
      <selection pane="topRight" activeCell="H38" sqref="H38"/>
      <selection pane="bottomLeft" activeCell="H38" sqref="H38"/>
      <selection pane="bottomRight" activeCell="D34" sqref="D34"/>
    </sheetView>
  </sheetViews>
  <sheetFormatPr defaultRowHeight="10.5"/>
  <cols>
    <col min="1" max="1" width="19" style="39" customWidth="1"/>
    <col min="2" max="2" width="13.7265625" style="39" customWidth="1"/>
    <col min="3" max="3" width="46.453125" style="39" customWidth="1"/>
    <col min="4" max="5" width="27.1796875" style="39" customWidth="1"/>
    <col min="6" max="6" width="22.54296875" style="39" customWidth="1"/>
    <col min="7" max="7" width="16" style="39" customWidth="1"/>
    <col min="8" max="8" width="15.90625" style="39" customWidth="1"/>
    <col min="9" max="14" width="17.7265625" style="46" customWidth="1"/>
    <col min="15" max="15" width="31.81640625" style="39" customWidth="1"/>
    <col min="16" max="16" width="27" style="39" customWidth="1"/>
    <col min="17" max="17" width="19.453125" style="39" customWidth="1"/>
    <col min="18" max="18" width="13.54296875" style="39" customWidth="1"/>
    <col min="19" max="19" width="13.54296875" style="157" customWidth="1"/>
    <col min="20" max="23" width="13.54296875" style="39" customWidth="1"/>
    <col min="24" max="24" width="17.90625" style="157" customWidth="1"/>
    <col min="25" max="26" width="17.90625" style="39" customWidth="1"/>
    <col min="27" max="27" width="15.453125" style="39" customWidth="1"/>
    <col min="28" max="28" width="16.453125" style="39" customWidth="1"/>
    <col min="29" max="16384" width="8.7265625" style="39"/>
  </cols>
  <sheetData>
    <row r="2" spans="1:26">
      <c r="B2" s="39" t="s">
        <v>582</v>
      </c>
      <c r="F2" s="71">
        <v>0.35</v>
      </c>
    </row>
    <row r="3" spans="1:26">
      <c r="B3" s="39" t="s">
        <v>630</v>
      </c>
      <c r="F3" s="45">
        <v>43560</v>
      </c>
    </row>
    <row r="4" spans="1:26">
      <c r="F4" s="348"/>
    </row>
    <row r="5" spans="1:26">
      <c r="B5" s="39" t="s">
        <v>638</v>
      </c>
      <c r="F5" s="71">
        <v>0.1</v>
      </c>
    </row>
    <row r="7" spans="1:26">
      <c r="I7" s="916" t="s">
        <v>576</v>
      </c>
      <c r="J7" s="916"/>
      <c r="K7" s="916"/>
      <c r="L7" s="916"/>
      <c r="M7" s="916"/>
      <c r="N7" s="916"/>
      <c r="O7" s="331" t="s">
        <v>605</v>
      </c>
      <c r="P7" s="331" t="s">
        <v>628</v>
      </c>
      <c r="Q7" s="331"/>
    </row>
    <row r="8" spans="1:26" s="60" customFormat="1" ht="21">
      <c r="B8" s="349" t="s">
        <v>568</v>
      </c>
      <c r="C8" s="349" t="s">
        <v>253</v>
      </c>
      <c r="D8" s="349" t="s">
        <v>249</v>
      </c>
      <c r="E8" s="349" t="s">
        <v>631</v>
      </c>
      <c r="F8" s="349" t="s">
        <v>560</v>
      </c>
      <c r="G8" s="349" t="s">
        <v>570</v>
      </c>
      <c r="H8" s="349" t="s">
        <v>569</v>
      </c>
      <c r="I8" s="350" t="s">
        <v>577</v>
      </c>
      <c r="J8" s="350" t="s">
        <v>578</v>
      </c>
      <c r="K8" s="350" t="s">
        <v>579</v>
      </c>
      <c r="L8" s="350" t="s">
        <v>627</v>
      </c>
      <c r="M8" s="350" t="s">
        <v>580</v>
      </c>
      <c r="N8" s="350" t="s">
        <v>581</v>
      </c>
      <c r="O8" s="142" t="s">
        <v>639</v>
      </c>
      <c r="P8" s="142" t="s">
        <v>640</v>
      </c>
      <c r="Q8" s="142" t="s">
        <v>641</v>
      </c>
      <c r="R8" s="349" t="s">
        <v>635</v>
      </c>
      <c r="S8" s="351" t="s">
        <v>634</v>
      </c>
      <c r="T8" s="349" t="s">
        <v>635</v>
      </c>
      <c r="U8" s="351" t="s">
        <v>634</v>
      </c>
      <c r="V8" s="349" t="s">
        <v>635</v>
      </c>
      <c r="W8" s="351" t="s">
        <v>634</v>
      </c>
      <c r="X8" s="350">
        <v>1</v>
      </c>
      <c r="Y8" s="350">
        <v>2</v>
      </c>
      <c r="Z8" s="350">
        <v>3</v>
      </c>
    </row>
    <row r="9" spans="1:26">
      <c r="A9" s="39" t="s">
        <v>567</v>
      </c>
      <c r="B9" s="39" t="s">
        <v>629</v>
      </c>
      <c r="C9" s="39" t="s">
        <v>306</v>
      </c>
      <c r="D9" s="39" t="s">
        <v>588</v>
      </c>
      <c r="E9" s="39" t="s">
        <v>632</v>
      </c>
      <c r="F9" s="352" t="s">
        <v>571</v>
      </c>
      <c r="G9" s="49">
        <f>H9*sfacre</f>
        <v>49658</v>
      </c>
      <c r="H9" s="46">
        <v>1.1399908172635445</v>
      </c>
      <c r="I9" s="353"/>
      <c r="J9" s="353"/>
      <c r="K9" s="354">
        <f>H9*$H$41</f>
        <v>2333307.3070143396</v>
      </c>
      <c r="L9" s="353"/>
      <c r="M9" s="353">
        <v>0</v>
      </c>
      <c r="N9" s="353"/>
      <c r="P9" s="39" t="s">
        <v>642</v>
      </c>
      <c r="Q9" s="148">
        <f>IF(P9="cagis",K9*(1+$F$5),O9)</f>
        <v>2566638.0377157736</v>
      </c>
      <c r="R9" s="39">
        <v>1</v>
      </c>
      <c r="S9" s="157">
        <v>1</v>
      </c>
      <c r="X9" s="50">
        <f>IF($R9=X$8,$Q9*$S9,IF($T9=X$8,$Q9*$U9,IF($V9=X$8,$Q9*$W9,0)))</f>
        <v>2566638.0377157736</v>
      </c>
      <c r="Y9" s="50">
        <f t="shared" ref="Y9:Z25" si="0">IF($R9=Y$8,$Q9*$S9,IF($T9=Y$8,$Q9*$U9,IF($V9=Y$8,$Q9*$W9,0)))</f>
        <v>0</v>
      </c>
      <c r="Z9" s="50">
        <f t="shared" si="0"/>
        <v>0</v>
      </c>
    </row>
    <row r="10" spans="1:26">
      <c r="B10" s="39" t="s">
        <v>646</v>
      </c>
      <c r="C10" s="39" t="s">
        <v>306</v>
      </c>
      <c r="D10" s="39" t="s">
        <v>588</v>
      </c>
      <c r="E10" s="39" t="s">
        <v>632</v>
      </c>
      <c r="F10" s="352" t="s">
        <v>572</v>
      </c>
      <c r="G10" s="49">
        <f>H10*sfacre</f>
        <v>48787</v>
      </c>
      <c r="H10" s="46">
        <v>1.1199954086317723</v>
      </c>
      <c r="I10" s="353"/>
      <c r="J10" s="353"/>
      <c r="K10" s="354">
        <f>H10*$H$41</f>
        <v>2292381.1588728619</v>
      </c>
      <c r="L10" s="353"/>
      <c r="M10" s="353">
        <v>0</v>
      </c>
      <c r="N10" s="353"/>
      <c r="P10" s="39" t="s">
        <v>642</v>
      </c>
      <c r="Q10" s="148">
        <f t="shared" ref="Q10:Q12" si="1">IF(P10="cagis",K10*(1+$F$5),O10)</f>
        <v>2521619.2747601485</v>
      </c>
      <c r="R10" s="39">
        <v>1</v>
      </c>
      <c r="S10" s="157">
        <v>1</v>
      </c>
      <c r="X10" s="50">
        <f t="shared" ref="X10:Z26" si="2">IF($R10=X$8,$Q10*$S10,IF($T10=X$8,$Q10*$U10,IF($V10=X$8,$Q10*$W10,0)))</f>
        <v>2521619.2747601485</v>
      </c>
      <c r="Y10" s="50">
        <f t="shared" si="0"/>
        <v>0</v>
      </c>
      <c r="Z10" s="50">
        <f t="shared" si="0"/>
        <v>0</v>
      </c>
    </row>
    <row r="11" spans="1:26">
      <c r="B11" s="39" t="s">
        <v>644</v>
      </c>
      <c r="C11" s="39" t="s">
        <v>306</v>
      </c>
      <c r="D11" s="39" t="s">
        <v>588</v>
      </c>
      <c r="E11" s="39" t="s">
        <v>632</v>
      </c>
      <c r="F11" s="352" t="s">
        <v>573</v>
      </c>
      <c r="G11" s="49">
        <f>H11*sfacre</f>
        <v>48352</v>
      </c>
      <c r="H11" s="46">
        <v>1.1100091827364555</v>
      </c>
      <c r="I11" s="353"/>
      <c r="J11" s="353"/>
      <c r="K11" s="354">
        <f>H11*$H$41</f>
        <v>2271941.5785725834</v>
      </c>
      <c r="L11" s="353"/>
      <c r="M11" s="353">
        <v>0</v>
      </c>
      <c r="N11" s="353"/>
      <c r="P11" s="39" t="s">
        <v>642</v>
      </c>
      <c r="Q11" s="148">
        <f t="shared" si="1"/>
        <v>2499135.7364298417</v>
      </c>
      <c r="R11" s="39">
        <v>1</v>
      </c>
      <c r="S11" s="157">
        <v>1</v>
      </c>
      <c r="X11" s="50">
        <f t="shared" si="2"/>
        <v>2499135.7364298417</v>
      </c>
      <c r="Y11" s="50">
        <f t="shared" si="0"/>
        <v>0</v>
      </c>
      <c r="Z11" s="50">
        <f t="shared" si="0"/>
        <v>0</v>
      </c>
    </row>
    <row r="12" spans="1:26">
      <c r="B12" s="39" t="s">
        <v>645</v>
      </c>
      <c r="C12" s="39" t="s">
        <v>306</v>
      </c>
      <c r="D12" s="39" t="s">
        <v>588</v>
      </c>
      <c r="E12" s="39" t="s">
        <v>632</v>
      </c>
      <c r="F12" s="352" t="s">
        <v>574</v>
      </c>
      <c r="G12" s="49">
        <f>H12*sfacre</f>
        <v>51401</v>
      </c>
      <c r="H12" s="46">
        <v>1.1800045913682278</v>
      </c>
      <c r="I12" s="353"/>
      <c r="J12" s="353"/>
      <c r="K12" s="354">
        <f>H12*$H$41</f>
        <v>2415206.5908382148</v>
      </c>
      <c r="L12" s="353"/>
      <c r="M12" s="353">
        <v>0</v>
      </c>
      <c r="N12" s="353"/>
      <c r="P12" s="39" t="s">
        <v>642</v>
      </c>
      <c r="Q12" s="148">
        <f t="shared" si="1"/>
        <v>2656727.2499220367</v>
      </c>
      <c r="R12" s="39">
        <v>1</v>
      </c>
      <c r="S12" s="157">
        <v>1</v>
      </c>
      <c r="X12" s="50">
        <f t="shared" si="2"/>
        <v>2656727.2499220367</v>
      </c>
      <c r="Y12" s="50">
        <f t="shared" si="0"/>
        <v>0</v>
      </c>
      <c r="Z12" s="50">
        <f t="shared" si="0"/>
        <v>0</v>
      </c>
    </row>
    <row r="13" spans="1:26">
      <c r="G13" s="49"/>
      <c r="H13" s="46"/>
      <c r="K13" s="47"/>
      <c r="Q13" s="49"/>
    </row>
    <row r="14" spans="1:26">
      <c r="B14" s="39" t="s">
        <v>561</v>
      </c>
      <c r="C14" s="39" t="s">
        <v>583</v>
      </c>
      <c r="D14" s="39" t="s">
        <v>588</v>
      </c>
      <c r="E14" s="39" t="s">
        <v>632</v>
      </c>
      <c r="F14" s="352" t="s">
        <v>575</v>
      </c>
      <c r="G14" s="49">
        <f t="shared" ref="G14:G19" si="3">H14*sfacre</f>
        <v>51792.840000000004</v>
      </c>
      <c r="H14" s="46">
        <v>1.1890000000000001</v>
      </c>
      <c r="I14" s="46">
        <v>1294700</v>
      </c>
      <c r="J14" s="46">
        <v>37800</v>
      </c>
      <c r="K14" s="47">
        <f>SUM(I14:J14)</f>
        <v>1332500</v>
      </c>
      <c r="L14" s="46">
        <v>466380</v>
      </c>
      <c r="M14" s="46">
        <v>23026.22</v>
      </c>
      <c r="N14" s="46">
        <v>96.515000000000001</v>
      </c>
      <c r="P14" s="39" t="s">
        <v>642</v>
      </c>
      <c r="Q14" s="148">
        <f t="shared" ref="Q14:Q23" si="4">IF(P14="cagis",K14*(1+$F$5),O14)</f>
        <v>1465750.0000000002</v>
      </c>
      <c r="R14" s="39">
        <v>3</v>
      </c>
      <c r="S14" s="157">
        <v>1</v>
      </c>
      <c r="X14" s="50">
        <f t="shared" si="2"/>
        <v>0</v>
      </c>
      <c r="Y14" s="50">
        <f t="shared" si="0"/>
        <v>0</v>
      </c>
      <c r="Z14" s="50">
        <f t="shared" si="0"/>
        <v>1465750.0000000002</v>
      </c>
    </row>
    <row r="15" spans="1:26">
      <c r="B15" s="39" t="s">
        <v>562</v>
      </c>
      <c r="C15" s="39" t="s">
        <v>583</v>
      </c>
      <c r="D15" s="39" t="s">
        <v>588</v>
      </c>
      <c r="E15" s="39" t="s">
        <v>632</v>
      </c>
      <c r="F15" s="39" t="s">
        <v>584</v>
      </c>
      <c r="G15" s="49">
        <f t="shared" si="3"/>
        <v>103455</v>
      </c>
      <c r="H15" s="46">
        <v>2.375</v>
      </c>
      <c r="I15" s="46">
        <v>2468780</v>
      </c>
      <c r="J15" s="46">
        <v>79800</v>
      </c>
      <c r="K15" s="47">
        <f>SUM(I15:J15)</f>
        <v>2548580</v>
      </c>
      <c r="L15" s="46">
        <v>892000</v>
      </c>
      <c r="M15" s="46">
        <v>44085.67</v>
      </c>
      <c r="N15" s="46">
        <v>96.515000000000001</v>
      </c>
      <c r="P15" s="39" t="s">
        <v>642</v>
      </c>
      <c r="Q15" s="148">
        <f t="shared" si="4"/>
        <v>2803438</v>
      </c>
      <c r="R15" s="39">
        <v>3</v>
      </c>
      <c r="S15" s="157">
        <v>1</v>
      </c>
      <c r="X15" s="50">
        <f t="shared" si="2"/>
        <v>0</v>
      </c>
      <c r="Y15" s="50">
        <f t="shared" si="0"/>
        <v>0</v>
      </c>
      <c r="Z15" s="50">
        <f t="shared" si="0"/>
        <v>2803438</v>
      </c>
    </row>
    <row r="16" spans="1:26">
      <c r="B16" s="39" t="s">
        <v>563</v>
      </c>
      <c r="C16" s="39" t="s">
        <v>583</v>
      </c>
      <c r="D16" s="39" t="s">
        <v>588</v>
      </c>
      <c r="E16" s="39" t="s">
        <v>632</v>
      </c>
      <c r="F16" s="352" t="s">
        <v>589</v>
      </c>
      <c r="G16" s="49">
        <f t="shared" si="3"/>
        <v>28488.240000000002</v>
      </c>
      <c r="H16" s="46">
        <v>0.65400000000000003</v>
      </c>
      <c r="I16" s="46">
        <v>699150</v>
      </c>
      <c r="J16" s="46">
        <v>21000</v>
      </c>
      <c r="K16" s="47">
        <f>SUM(I16:J16)</f>
        <v>720150</v>
      </c>
      <c r="L16" s="46">
        <v>252050</v>
      </c>
      <c r="M16" s="46">
        <v>12449</v>
      </c>
      <c r="N16" s="46">
        <v>96.515000000000001</v>
      </c>
      <c r="P16" s="39" t="s">
        <v>642</v>
      </c>
      <c r="Q16" s="148">
        <f t="shared" si="4"/>
        <v>792165.00000000012</v>
      </c>
      <c r="R16" s="39">
        <v>2</v>
      </c>
      <c r="S16" s="157">
        <v>1</v>
      </c>
      <c r="X16" s="50">
        <f t="shared" si="2"/>
        <v>0</v>
      </c>
      <c r="Y16" s="50">
        <f t="shared" si="0"/>
        <v>792165.00000000012</v>
      </c>
      <c r="Z16" s="50">
        <f t="shared" si="0"/>
        <v>0</v>
      </c>
    </row>
    <row r="17" spans="2:26">
      <c r="B17" s="39" t="s">
        <v>564</v>
      </c>
      <c r="C17" s="39" t="s">
        <v>583</v>
      </c>
      <c r="D17" s="39" t="s">
        <v>591</v>
      </c>
      <c r="E17" s="39" t="s">
        <v>632</v>
      </c>
      <c r="F17" s="39" t="s">
        <v>594</v>
      </c>
      <c r="G17" s="49">
        <f t="shared" si="3"/>
        <v>113168.87999999999</v>
      </c>
      <c r="H17" s="46">
        <v>2.5979999999999999</v>
      </c>
      <c r="I17" s="353"/>
      <c r="J17" s="353"/>
      <c r="K17" s="354">
        <f>H17*$H$41</f>
        <v>5317527.3798910333</v>
      </c>
      <c r="L17" s="353"/>
      <c r="M17" s="353"/>
      <c r="N17" s="353"/>
      <c r="P17" s="39" t="s">
        <v>642</v>
      </c>
      <c r="Q17" s="148">
        <f t="shared" si="4"/>
        <v>5849280.1178801367</v>
      </c>
      <c r="R17" s="39">
        <v>2</v>
      </c>
      <c r="S17" s="157">
        <v>1</v>
      </c>
      <c r="X17" s="50">
        <f t="shared" si="2"/>
        <v>0</v>
      </c>
      <c r="Y17" s="50">
        <f t="shared" si="0"/>
        <v>5849280.1178801367</v>
      </c>
      <c r="Z17" s="50">
        <f t="shared" si="0"/>
        <v>0</v>
      </c>
    </row>
    <row r="18" spans="2:26">
      <c r="B18" s="39" t="s">
        <v>565</v>
      </c>
      <c r="C18" s="39" t="s">
        <v>595</v>
      </c>
      <c r="D18" s="39" t="s">
        <v>596</v>
      </c>
      <c r="E18" s="39" t="s">
        <v>633</v>
      </c>
      <c r="F18" s="352" t="s">
        <v>597</v>
      </c>
      <c r="G18" s="49">
        <f t="shared" si="3"/>
        <v>18120.96</v>
      </c>
      <c r="H18" s="46">
        <v>0.41599999999999998</v>
      </c>
      <c r="I18" s="46">
        <v>942970</v>
      </c>
      <c r="J18" s="46">
        <v>0</v>
      </c>
      <c r="K18" s="47">
        <f>SUM(I18:J18)</f>
        <v>942970</v>
      </c>
      <c r="L18" s="46">
        <v>330040</v>
      </c>
      <c r="M18" s="46">
        <v>17412.580000000002</v>
      </c>
      <c r="N18" s="46">
        <v>96.515000000000001</v>
      </c>
      <c r="P18" s="39" t="s">
        <v>642</v>
      </c>
      <c r="Q18" s="148">
        <f t="shared" si="4"/>
        <v>1037267.0000000001</v>
      </c>
      <c r="R18" s="39">
        <v>1</v>
      </c>
      <c r="S18" s="157">
        <v>1</v>
      </c>
      <c r="X18" s="50">
        <f t="shared" si="2"/>
        <v>1037267.0000000001</v>
      </c>
      <c r="Y18" s="50">
        <f t="shared" si="0"/>
        <v>0</v>
      </c>
      <c r="Z18" s="50">
        <f t="shared" si="0"/>
        <v>0</v>
      </c>
    </row>
    <row r="19" spans="2:26">
      <c r="B19" s="39" t="s">
        <v>566</v>
      </c>
      <c r="C19" s="39" t="s">
        <v>595</v>
      </c>
      <c r="D19" s="39" t="s">
        <v>591</v>
      </c>
      <c r="E19" s="39" t="s">
        <v>632</v>
      </c>
      <c r="F19" s="39" t="s">
        <v>598</v>
      </c>
      <c r="G19" s="49">
        <f t="shared" si="3"/>
        <v>30056.399999999998</v>
      </c>
      <c r="H19" s="46">
        <v>0.69</v>
      </c>
      <c r="I19" s="353"/>
      <c r="J19" s="353"/>
      <c r="K19" s="354">
        <f>H19*$H$41</f>
        <v>1412276.3249133229</v>
      </c>
      <c r="L19" s="353"/>
      <c r="M19" s="353"/>
      <c r="N19" s="353"/>
      <c r="P19" s="39" t="s">
        <v>642</v>
      </c>
      <c r="Q19" s="148">
        <f t="shared" si="4"/>
        <v>1553503.9574046554</v>
      </c>
      <c r="R19" s="39">
        <v>1</v>
      </c>
      <c r="S19" s="157">
        <v>1</v>
      </c>
      <c r="X19" s="50">
        <f t="shared" si="2"/>
        <v>1553503.9574046554</v>
      </c>
      <c r="Y19" s="50">
        <f t="shared" si="0"/>
        <v>0</v>
      </c>
      <c r="Z19" s="50">
        <f t="shared" si="0"/>
        <v>0</v>
      </c>
    </row>
    <row r="20" spans="2:26">
      <c r="G20" s="49"/>
      <c r="H20" s="46"/>
      <c r="K20" s="47"/>
      <c r="Q20" s="148"/>
    </row>
    <row r="21" spans="2:26">
      <c r="B21" s="39" t="s">
        <v>585</v>
      </c>
      <c r="C21" s="39" t="s">
        <v>583</v>
      </c>
      <c r="D21" s="39" t="s">
        <v>591</v>
      </c>
      <c r="E21" s="39" t="s">
        <v>632</v>
      </c>
      <c r="F21" s="39" t="s">
        <v>590</v>
      </c>
      <c r="G21" s="49">
        <f>H21*sfacre</f>
        <v>11717.640000000001</v>
      </c>
      <c r="H21" s="46">
        <v>0.26900000000000002</v>
      </c>
      <c r="I21" s="353"/>
      <c r="J21" s="353"/>
      <c r="K21" s="354">
        <f>H21*$H$41</f>
        <v>550583.08898794767</v>
      </c>
      <c r="L21" s="353"/>
      <c r="M21" s="353"/>
      <c r="N21" s="353"/>
      <c r="P21" s="39" t="s">
        <v>642</v>
      </c>
      <c r="Q21" s="148">
        <f t="shared" si="4"/>
        <v>605641.39788674249</v>
      </c>
      <c r="R21" s="39">
        <v>2</v>
      </c>
      <c r="S21" s="157">
        <v>1</v>
      </c>
      <c r="X21" s="50">
        <f t="shared" si="2"/>
        <v>0</v>
      </c>
      <c r="Y21" s="50">
        <f t="shared" si="0"/>
        <v>605641.39788674249</v>
      </c>
      <c r="Z21" s="50">
        <f t="shared" si="0"/>
        <v>0</v>
      </c>
    </row>
    <row r="22" spans="2:26">
      <c r="B22" s="39" t="s">
        <v>586</v>
      </c>
      <c r="C22" s="39" t="s">
        <v>583</v>
      </c>
      <c r="D22" s="39" t="s">
        <v>591</v>
      </c>
      <c r="E22" s="39" t="s">
        <v>632</v>
      </c>
      <c r="F22" s="352" t="s">
        <v>592</v>
      </c>
      <c r="G22" s="49">
        <f>H22*sfacre</f>
        <v>76883.399999999994</v>
      </c>
      <c r="H22" s="46">
        <v>1.7649999999999999</v>
      </c>
      <c r="I22" s="46">
        <v>1907930</v>
      </c>
      <c r="J22" s="46">
        <v>58800</v>
      </c>
      <c r="K22" s="47">
        <f>SUM(I22:J22)</f>
        <v>1966730</v>
      </c>
      <c r="L22" s="46">
        <v>688360</v>
      </c>
      <c r="M22" s="46">
        <v>33991.21</v>
      </c>
      <c r="N22" s="46">
        <v>96.515000000000001</v>
      </c>
      <c r="P22" s="39" t="s">
        <v>642</v>
      </c>
      <c r="Q22" s="148">
        <f t="shared" si="4"/>
        <v>2163403</v>
      </c>
      <c r="R22" s="39">
        <v>1</v>
      </c>
      <c r="S22" s="157">
        <v>1</v>
      </c>
      <c r="X22" s="50">
        <f t="shared" si="2"/>
        <v>2163403</v>
      </c>
      <c r="Y22" s="50">
        <f t="shared" si="0"/>
        <v>0</v>
      </c>
      <c r="Z22" s="50">
        <f t="shared" si="0"/>
        <v>0</v>
      </c>
    </row>
    <row r="23" spans="2:26">
      <c r="B23" s="39" t="s">
        <v>587</v>
      </c>
      <c r="C23" s="39" t="s">
        <v>583</v>
      </c>
      <c r="D23" s="39" t="s">
        <v>591</v>
      </c>
      <c r="E23" s="39" t="s">
        <v>632</v>
      </c>
      <c r="F23" s="39" t="s">
        <v>593</v>
      </c>
      <c r="G23" s="49">
        <f>H23*sfacre</f>
        <v>74923.199999999997</v>
      </c>
      <c r="H23" s="46">
        <v>1.72</v>
      </c>
      <c r="I23" s="353"/>
      <c r="J23" s="353"/>
      <c r="K23" s="354">
        <f>H23*$H$41</f>
        <v>3520456.9258708921</v>
      </c>
      <c r="L23" s="353"/>
      <c r="M23" s="353"/>
      <c r="N23" s="353"/>
      <c r="P23" s="39" t="s">
        <v>642</v>
      </c>
      <c r="Q23" s="148">
        <f t="shared" si="4"/>
        <v>3872502.6184579819</v>
      </c>
      <c r="R23" s="39">
        <v>1</v>
      </c>
      <c r="S23" s="157">
        <v>1</v>
      </c>
      <c r="X23" s="50">
        <f t="shared" si="2"/>
        <v>3872502.6184579819</v>
      </c>
      <c r="Y23" s="50">
        <f t="shared" si="0"/>
        <v>0</v>
      </c>
      <c r="Z23" s="50">
        <f t="shared" si="0"/>
        <v>0</v>
      </c>
    </row>
    <row r="24" spans="2:26">
      <c r="G24" s="49"/>
      <c r="H24" s="46"/>
      <c r="K24" s="47"/>
      <c r="Q24" s="49"/>
    </row>
    <row r="25" spans="2:26">
      <c r="B25" s="39" t="s">
        <v>599</v>
      </c>
      <c r="C25" s="39" t="s">
        <v>595</v>
      </c>
      <c r="D25" s="39" t="s">
        <v>591</v>
      </c>
      <c r="E25" s="39" t="s">
        <v>632</v>
      </c>
      <c r="F25" s="39" t="s">
        <v>600</v>
      </c>
      <c r="G25" s="49">
        <f t="shared" ref="G25:G30" si="5">H25*sfacre</f>
        <v>29054.52</v>
      </c>
      <c r="H25" s="46">
        <v>0.66700000000000004</v>
      </c>
      <c r="I25" s="46">
        <v>1510600</v>
      </c>
      <c r="J25" s="46">
        <v>0</v>
      </c>
      <c r="K25" s="47">
        <f t="shared" ref="K25:K30" si="6">SUM(I25:J25)</f>
        <v>1510600</v>
      </c>
      <c r="L25" s="46">
        <v>528710</v>
      </c>
      <c r="M25" s="46">
        <v>26158.06</v>
      </c>
      <c r="N25" s="46">
        <v>96.515000000000001</v>
      </c>
      <c r="P25" s="39" t="s">
        <v>642</v>
      </c>
      <c r="Q25" s="148">
        <f t="shared" ref="Q25:Q32" si="7">IF(P25="cagis",K25*(1+$F$5),O25)</f>
        <v>1661660.0000000002</v>
      </c>
      <c r="R25" s="39">
        <v>1</v>
      </c>
      <c r="S25" s="157">
        <v>1</v>
      </c>
      <c r="X25" s="50">
        <f t="shared" si="2"/>
        <v>1661660.0000000002</v>
      </c>
      <c r="Y25" s="50">
        <f t="shared" si="0"/>
        <v>0</v>
      </c>
      <c r="Z25" s="50">
        <f t="shared" si="0"/>
        <v>0</v>
      </c>
    </row>
    <row r="26" spans="2:26">
      <c r="B26" s="39" t="s">
        <v>601</v>
      </c>
      <c r="C26" s="39" t="s">
        <v>602</v>
      </c>
      <c r="D26" s="39" t="s">
        <v>604</v>
      </c>
      <c r="E26" s="39" t="s">
        <v>633</v>
      </c>
      <c r="F26" s="39" t="s">
        <v>603</v>
      </c>
      <c r="G26" s="49">
        <f t="shared" si="5"/>
        <v>18120.96</v>
      </c>
      <c r="H26" s="46">
        <v>0.41599999999999998</v>
      </c>
      <c r="I26" s="46">
        <v>942970</v>
      </c>
      <c r="J26" s="46">
        <v>3056890</v>
      </c>
      <c r="K26" s="47">
        <f t="shared" si="6"/>
        <v>3999860</v>
      </c>
      <c r="L26" s="46">
        <v>1399950</v>
      </c>
      <c r="M26" s="46">
        <v>70243.19</v>
      </c>
      <c r="N26" s="46">
        <v>96.515000000000001</v>
      </c>
      <c r="O26" s="148">
        <f>'acq-demo-repur'!U6</f>
        <v>5085389.3585189339</v>
      </c>
      <c r="P26" s="39" t="s">
        <v>643</v>
      </c>
      <c r="Q26" s="148">
        <f t="shared" si="7"/>
        <v>5085389.3585189339</v>
      </c>
      <c r="R26" s="39">
        <v>1</v>
      </c>
      <c r="S26" s="157">
        <v>1</v>
      </c>
      <c r="X26" s="50">
        <f t="shared" si="2"/>
        <v>5085389.3585189339</v>
      </c>
      <c r="Y26" s="50">
        <f t="shared" si="2"/>
        <v>0</v>
      </c>
      <c r="Z26" s="50">
        <f t="shared" si="2"/>
        <v>0</v>
      </c>
    </row>
    <row r="27" spans="2:26">
      <c r="B27" s="39" t="s">
        <v>607</v>
      </c>
      <c r="C27" s="39" t="s">
        <v>258</v>
      </c>
      <c r="D27" s="39" t="s">
        <v>608</v>
      </c>
      <c r="E27" s="39" t="s">
        <v>632</v>
      </c>
      <c r="F27" s="39" t="s">
        <v>609</v>
      </c>
      <c r="G27" s="49">
        <f t="shared" si="5"/>
        <v>44213.399999999994</v>
      </c>
      <c r="H27" s="46">
        <v>1.0149999999999999</v>
      </c>
      <c r="I27" s="46">
        <v>1104780</v>
      </c>
      <c r="J27" s="46">
        <v>2807670</v>
      </c>
      <c r="K27" s="47">
        <f t="shared" si="6"/>
        <v>3912450</v>
      </c>
      <c r="L27" s="46">
        <v>1369350</v>
      </c>
      <c r="M27" s="46">
        <v>0</v>
      </c>
      <c r="N27" s="46">
        <v>96.515000000000001</v>
      </c>
      <c r="P27" s="39" t="s">
        <v>642</v>
      </c>
      <c r="Q27" s="148">
        <f t="shared" si="7"/>
        <v>4303695</v>
      </c>
      <c r="R27" s="39">
        <v>1</v>
      </c>
      <c r="S27" s="157">
        <v>1</v>
      </c>
      <c r="X27" s="50">
        <f t="shared" ref="X27:Z32" si="8">IF($R27=X$8,$Q27*$S27,IF($T27=X$8,$Q27*$U27,IF($V27=X$8,$Q27*$W27,0)))</f>
        <v>4303695</v>
      </c>
      <c r="Y27" s="50">
        <f t="shared" si="8"/>
        <v>0</v>
      </c>
      <c r="Z27" s="50">
        <f t="shared" si="8"/>
        <v>0</v>
      </c>
    </row>
    <row r="28" spans="2:26">
      <c r="B28" s="39" t="s">
        <v>610</v>
      </c>
      <c r="C28" s="39" t="s">
        <v>258</v>
      </c>
      <c r="D28" s="39" t="s">
        <v>608</v>
      </c>
      <c r="E28" s="39" t="s">
        <v>632</v>
      </c>
      <c r="F28" s="39" t="s">
        <v>611</v>
      </c>
      <c r="G28" s="49">
        <f t="shared" si="5"/>
        <v>23958.000000000004</v>
      </c>
      <c r="H28" s="46">
        <v>0.55000000000000004</v>
      </c>
      <c r="I28" s="46">
        <v>599180</v>
      </c>
      <c r="J28" s="46">
        <v>865380</v>
      </c>
      <c r="K28" s="47">
        <f t="shared" si="6"/>
        <v>1464560</v>
      </c>
      <c r="L28" s="46">
        <v>0</v>
      </c>
      <c r="M28" s="46">
        <v>0</v>
      </c>
      <c r="N28" s="46">
        <v>96.515000000000001</v>
      </c>
      <c r="P28" s="39" t="s">
        <v>642</v>
      </c>
      <c r="Q28" s="148">
        <f t="shared" si="7"/>
        <v>1611016.0000000002</v>
      </c>
      <c r="R28" s="39">
        <v>1</v>
      </c>
      <c r="S28" s="157">
        <v>1</v>
      </c>
      <c r="X28" s="50">
        <f t="shared" si="8"/>
        <v>1611016.0000000002</v>
      </c>
      <c r="Y28" s="50">
        <f t="shared" si="8"/>
        <v>0</v>
      </c>
      <c r="Z28" s="50">
        <f t="shared" si="8"/>
        <v>0</v>
      </c>
    </row>
    <row r="29" spans="2:26">
      <c r="B29" s="39" t="s">
        <v>612</v>
      </c>
      <c r="C29" s="39" t="s">
        <v>595</v>
      </c>
      <c r="D29" s="39" t="s">
        <v>608</v>
      </c>
      <c r="E29" s="39" t="s">
        <v>632</v>
      </c>
      <c r="F29" s="39" t="s">
        <v>613</v>
      </c>
      <c r="G29" s="49">
        <f t="shared" si="5"/>
        <v>49484.159999999996</v>
      </c>
      <c r="H29" s="46">
        <v>1.1359999999999999</v>
      </c>
      <c r="I29" s="46">
        <v>3711300</v>
      </c>
      <c r="J29" s="46">
        <v>148090</v>
      </c>
      <c r="K29" s="47">
        <f t="shared" si="6"/>
        <v>3859390</v>
      </c>
      <c r="L29" s="46">
        <v>0</v>
      </c>
      <c r="M29" s="46">
        <v>0</v>
      </c>
      <c r="N29" s="46">
        <v>96.515000000000001</v>
      </c>
      <c r="P29" s="39" t="s">
        <v>642</v>
      </c>
      <c r="Q29" s="148">
        <f t="shared" si="7"/>
        <v>4245329</v>
      </c>
      <c r="R29" s="39">
        <v>1</v>
      </c>
      <c r="S29" s="157">
        <v>1</v>
      </c>
      <c r="X29" s="50">
        <f t="shared" si="8"/>
        <v>4245329</v>
      </c>
      <c r="Y29" s="50">
        <f t="shared" si="8"/>
        <v>0</v>
      </c>
      <c r="Z29" s="50">
        <f t="shared" si="8"/>
        <v>0</v>
      </c>
    </row>
    <row r="30" spans="2:26">
      <c r="B30" s="39" t="s">
        <v>614</v>
      </c>
      <c r="C30" s="39" t="s">
        <v>257</v>
      </c>
      <c r="D30" s="39" t="s">
        <v>608</v>
      </c>
      <c r="E30" s="39" t="s">
        <v>632</v>
      </c>
      <c r="F30" s="39" t="s">
        <v>615</v>
      </c>
      <c r="G30" s="49">
        <f t="shared" si="5"/>
        <v>14461.92</v>
      </c>
      <c r="H30" s="46">
        <v>0.33200000000000002</v>
      </c>
      <c r="I30" s="46">
        <v>751920</v>
      </c>
      <c r="J30" s="46">
        <v>5033470</v>
      </c>
      <c r="K30" s="47">
        <f t="shared" si="6"/>
        <v>5785390</v>
      </c>
      <c r="L30" s="46">
        <v>263170</v>
      </c>
      <c r="M30" s="46">
        <v>14861.24</v>
      </c>
      <c r="N30" s="46">
        <v>96.515000000000001</v>
      </c>
      <c r="P30" s="39" t="s">
        <v>642</v>
      </c>
      <c r="Q30" s="148">
        <f t="shared" si="7"/>
        <v>6363929.0000000009</v>
      </c>
      <c r="R30" s="39">
        <v>1</v>
      </c>
      <c r="S30" s="157">
        <v>1</v>
      </c>
      <c r="X30" s="50">
        <f t="shared" si="8"/>
        <v>6363929.0000000009</v>
      </c>
      <c r="Y30" s="50">
        <f t="shared" si="8"/>
        <v>0</v>
      </c>
      <c r="Z30" s="50">
        <f t="shared" si="8"/>
        <v>0</v>
      </c>
    </row>
    <row r="31" spans="2:26">
      <c r="G31" s="49"/>
      <c r="H31" s="46"/>
      <c r="K31" s="47"/>
      <c r="Q31" s="49"/>
      <c r="T31" s="157"/>
    </row>
    <row r="32" spans="2:26">
      <c r="B32" s="39" t="s">
        <v>839</v>
      </c>
      <c r="C32" s="39" t="s">
        <v>840</v>
      </c>
      <c r="D32" s="39" t="s">
        <v>608</v>
      </c>
      <c r="E32" s="39" t="s">
        <v>632</v>
      </c>
      <c r="G32" s="49">
        <f>250*75</f>
        <v>18750</v>
      </c>
      <c r="H32" s="46">
        <f>G32/sfacre</f>
        <v>0.43044077134986225</v>
      </c>
      <c r="K32" s="354">
        <f>H32*$H$41</f>
        <v>881016.39225339051</v>
      </c>
      <c r="P32" s="39" t="s">
        <v>642</v>
      </c>
      <c r="Q32" s="148">
        <f t="shared" si="7"/>
        <v>969118.03147872968</v>
      </c>
      <c r="R32" s="39">
        <v>2</v>
      </c>
      <c r="S32" s="157">
        <v>1</v>
      </c>
      <c r="T32" s="157"/>
      <c r="X32" s="50">
        <f t="shared" si="8"/>
        <v>0</v>
      </c>
      <c r="Y32" s="50">
        <f t="shared" si="8"/>
        <v>969118.03147872968</v>
      </c>
      <c r="Z32" s="50">
        <f t="shared" si="8"/>
        <v>0</v>
      </c>
    </row>
    <row r="33" spans="2:26">
      <c r="G33" s="49"/>
      <c r="H33" s="46"/>
      <c r="K33" s="47"/>
      <c r="Q33" s="49"/>
      <c r="T33" s="157"/>
    </row>
    <row r="34" spans="2:26">
      <c r="B34" s="39" t="s">
        <v>616</v>
      </c>
      <c r="C34" s="39" t="s">
        <v>252</v>
      </c>
      <c r="D34" s="39" t="s">
        <v>617</v>
      </c>
      <c r="E34" s="39" t="s">
        <v>633</v>
      </c>
      <c r="F34" s="39" t="s">
        <v>618</v>
      </c>
      <c r="G34" s="49">
        <f>H34*sfacre</f>
        <v>16988.400000000001</v>
      </c>
      <c r="H34" s="46">
        <v>0.39</v>
      </c>
      <c r="I34" s="46">
        <v>2329280</v>
      </c>
      <c r="J34" s="46">
        <v>679180</v>
      </c>
      <c r="K34" s="47">
        <f>SUM(I34:J34)</f>
        <v>3008460</v>
      </c>
      <c r="L34" s="46">
        <v>1052960</v>
      </c>
      <c r="M34" s="46">
        <v>53404.59</v>
      </c>
      <c r="N34" s="46">
        <v>96.515000000000001</v>
      </c>
      <c r="O34" s="39" t="s">
        <v>606</v>
      </c>
      <c r="P34" s="39" t="s">
        <v>642</v>
      </c>
      <c r="Q34" s="148">
        <f t="shared" ref="Q34:Q38" si="9">IF(P34="cagis",K34*(1+$F$5),O34)</f>
        <v>3309306.0000000005</v>
      </c>
      <c r="R34" s="39">
        <v>1</v>
      </c>
      <c r="S34" s="157">
        <v>0.33</v>
      </c>
      <c r="T34" s="39">
        <v>2</v>
      </c>
      <c r="U34" s="147">
        <f>1-S34</f>
        <v>0.66999999999999993</v>
      </c>
      <c r="X34" s="50">
        <f t="shared" ref="X34:Z38" si="10">IF($R34=X$8,$Q34*$S34,IF($T34=X$8,$Q34*$U34,IF($V34=X$8,$Q34*$W34,0)))</f>
        <v>1092070.9800000002</v>
      </c>
      <c r="Y34" s="50">
        <f t="shared" si="10"/>
        <v>2217235.02</v>
      </c>
      <c r="Z34" s="50">
        <f t="shared" si="10"/>
        <v>0</v>
      </c>
    </row>
    <row r="35" spans="2:26">
      <c r="B35" s="39" t="s">
        <v>619</v>
      </c>
      <c r="C35" s="39" t="s">
        <v>252</v>
      </c>
      <c r="D35" s="39" t="s">
        <v>617</v>
      </c>
      <c r="E35" s="39" t="s">
        <v>633</v>
      </c>
      <c r="F35" s="39" t="s">
        <v>620</v>
      </c>
      <c r="G35" s="49">
        <f>H35*sfacre</f>
        <v>25526.16</v>
      </c>
      <c r="H35" s="46">
        <v>0.58599999999999997</v>
      </c>
      <c r="I35" s="46">
        <v>3194960</v>
      </c>
      <c r="J35" s="46">
        <v>2799410</v>
      </c>
      <c r="K35" s="47">
        <f>SUM(I35:J35)</f>
        <v>5994370</v>
      </c>
      <c r="L35" s="46">
        <v>2098030</v>
      </c>
      <c r="M35" s="46">
        <v>104171.77</v>
      </c>
      <c r="N35" s="46">
        <v>96.515000000000001</v>
      </c>
      <c r="O35" s="39" t="s">
        <v>606</v>
      </c>
      <c r="P35" s="39" t="s">
        <v>642</v>
      </c>
      <c r="Q35" s="148">
        <f t="shared" si="9"/>
        <v>6593807.0000000009</v>
      </c>
      <c r="R35" s="39">
        <v>1</v>
      </c>
      <c r="S35" s="157">
        <v>0.33</v>
      </c>
      <c r="T35" s="39">
        <v>2</v>
      </c>
      <c r="U35" s="147">
        <f t="shared" ref="U35:U38" si="11">1-S35</f>
        <v>0.66999999999999993</v>
      </c>
      <c r="X35" s="50">
        <f t="shared" si="10"/>
        <v>2175956.3100000005</v>
      </c>
      <c r="Y35" s="50">
        <f t="shared" si="10"/>
        <v>4417850.6900000004</v>
      </c>
      <c r="Z35" s="50">
        <f t="shared" si="10"/>
        <v>0</v>
      </c>
    </row>
    <row r="36" spans="2:26">
      <c r="B36" s="39" t="s">
        <v>621</v>
      </c>
      <c r="C36" s="39" t="s">
        <v>252</v>
      </c>
      <c r="D36" s="39" t="s">
        <v>617</v>
      </c>
      <c r="E36" s="39" t="s">
        <v>633</v>
      </c>
      <c r="F36" s="39" t="s">
        <v>622</v>
      </c>
      <c r="G36" s="49">
        <f>H36*sfacre</f>
        <v>13198.68</v>
      </c>
      <c r="H36" s="46">
        <v>0.30299999999999999</v>
      </c>
      <c r="I36" s="46">
        <v>1520690</v>
      </c>
      <c r="J36" s="46">
        <v>0</v>
      </c>
      <c r="K36" s="47">
        <f>SUM(I36:J36)</f>
        <v>1520690</v>
      </c>
      <c r="L36" s="46">
        <v>532240</v>
      </c>
      <c r="M36" s="46">
        <v>27471.88</v>
      </c>
      <c r="N36" s="46">
        <v>96.515000000000001</v>
      </c>
      <c r="O36" s="39" t="s">
        <v>606</v>
      </c>
      <c r="P36" s="39" t="s">
        <v>642</v>
      </c>
      <c r="Q36" s="148">
        <f t="shared" si="9"/>
        <v>1672759.0000000002</v>
      </c>
      <c r="R36" s="39">
        <v>1</v>
      </c>
      <c r="S36" s="157">
        <v>0.33</v>
      </c>
      <c r="T36" s="39">
        <v>2</v>
      </c>
      <c r="U36" s="147">
        <f t="shared" si="11"/>
        <v>0.66999999999999993</v>
      </c>
      <c r="X36" s="50">
        <f t="shared" si="10"/>
        <v>552010.47000000009</v>
      </c>
      <c r="Y36" s="50">
        <f t="shared" si="10"/>
        <v>1120748.53</v>
      </c>
      <c r="Z36" s="50">
        <f t="shared" si="10"/>
        <v>0</v>
      </c>
    </row>
    <row r="37" spans="2:26">
      <c r="B37" s="39" t="s">
        <v>623</v>
      </c>
      <c r="C37" s="39" t="s">
        <v>252</v>
      </c>
      <c r="D37" s="39" t="s">
        <v>617</v>
      </c>
      <c r="E37" s="39" t="s">
        <v>633</v>
      </c>
      <c r="F37" s="39" t="s">
        <v>624</v>
      </c>
      <c r="G37" s="49">
        <f>H37*sfacre</f>
        <v>6708.24</v>
      </c>
      <c r="H37" s="46">
        <v>0.154</v>
      </c>
      <c r="I37" s="46">
        <v>904200</v>
      </c>
      <c r="J37" s="46">
        <v>0</v>
      </c>
      <c r="K37" s="47">
        <f>SUM(I37:J37)</f>
        <v>904200</v>
      </c>
      <c r="L37" s="46">
        <v>316470</v>
      </c>
      <c r="M37" s="46">
        <v>15845.71</v>
      </c>
      <c r="N37" s="46">
        <v>96.515000000000001</v>
      </c>
      <c r="O37" s="39" t="s">
        <v>606</v>
      </c>
      <c r="P37" s="39" t="s">
        <v>642</v>
      </c>
      <c r="Q37" s="148">
        <f t="shared" si="9"/>
        <v>994620.00000000012</v>
      </c>
      <c r="R37" s="39">
        <v>1</v>
      </c>
      <c r="S37" s="157">
        <v>0.33</v>
      </c>
      <c r="T37" s="39">
        <v>2</v>
      </c>
      <c r="U37" s="147">
        <f t="shared" si="11"/>
        <v>0.66999999999999993</v>
      </c>
      <c r="X37" s="50">
        <f t="shared" si="10"/>
        <v>328224.60000000003</v>
      </c>
      <c r="Y37" s="50">
        <f t="shared" si="10"/>
        <v>666395.4</v>
      </c>
      <c r="Z37" s="50">
        <f t="shared" si="10"/>
        <v>0</v>
      </c>
    </row>
    <row r="38" spans="2:26">
      <c r="B38" s="39" t="s">
        <v>625</v>
      </c>
      <c r="C38" s="39" t="s">
        <v>252</v>
      </c>
      <c r="D38" s="39" t="s">
        <v>617</v>
      </c>
      <c r="E38" s="39" t="s">
        <v>633</v>
      </c>
      <c r="F38" s="39" t="s">
        <v>626</v>
      </c>
      <c r="G38" s="49">
        <f>H38*sfacre</f>
        <v>7230.96</v>
      </c>
      <c r="H38" s="46">
        <v>0.16600000000000001</v>
      </c>
      <c r="I38" s="46">
        <v>911250</v>
      </c>
      <c r="J38" s="46">
        <v>1121230</v>
      </c>
      <c r="K38" s="47">
        <f>SUM(I38:J38)</f>
        <v>2032480</v>
      </c>
      <c r="L38" s="46">
        <v>711370</v>
      </c>
      <c r="M38" s="46">
        <v>36078.32</v>
      </c>
      <c r="N38" s="46">
        <v>96.515000000000001</v>
      </c>
      <c r="O38" s="148">
        <f>'acq-demo-repur'!U7</f>
        <v>8949365.7142857127</v>
      </c>
      <c r="P38" s="39" t="s">
        <v>642</v>
      </c>
      <c r="Q38" s="148">
        <f t="shared" si="9"/>
        <v>2235728</v>
      </c>
      <c r="R38" s="39">
        <v>1</v>
      </c>
      <c r="S38" s="157">
        <v>0.33</v>
      </c>
      <c r="T38" s="39">
        <v>2</v>
      </c>
      <c r="U38" s="147">
        <f t="shared" si="11"/>
        <v>0.66999999999999993</v>
      </c>
      <c r="X38" s="50">
        <f t="shared" si="10"/>
        <v>737790.24</v>
      </c>
      <c r="Y38" s="50">
        <f t="shared" si="10"/>
        <v>1497937.7599999998</v>
      </c>
      <c r="Z38" s="50">
        <f t="shared" si="10"/>
        <v>0</v>
      </c>
    </row>
    <row r="39" spans="2:26">
      <c r="G39" s="49">
        <f>SUM(G9:G38)</f>
        <v>974499.96000000008</v>
      </c>
      <c r="H39" s="46">
        <f>SUM(H9:H38)</f>
        <v>22.371440771349864</v>
      </c>
    </row>
    <row r="40" spans="2:26">
      <c r="G40" s="148">
        <f>SUM(G14:G16,G18,G22,G25:G30,G34:G38)</f>
        <v>527685.83999999985</v>
      </c>
      <c r="H40" s="46">
        <f>SUM(H14:H16,H18,H22,H25:H30,H34:H38)</f>
        <v>12.114000000000003</v>
      </c>
      <c r="I40" s="46">
        <f>SUM(I14:I16,I18,I22,I25:I30,I34:I38)</f>
        <v>24794660</v>
      </c>
      <c r="X40" s="355">
        <f>SUM(X9:X38)</f>
        <v>47027867.833209373</v>
      </c>
      <c r="Y40" s="355">
        <f t="shared" ref="Y40:Z40" si="12">SUM(Y9:Y38)</f>
        <v>18136371.947245613</v>
      </c>
      <c r="Z40" s="355">
        <f t="shared" si="12"/>
        <v>4269188</v>
      </c>
    </row>
    <row r="41" spans="2:26">
      <c r="G41" s="46">
        <f>I40/G40</f>
        <v>46.987540920180855</v>
      </c>
      <c r="H41" s="46">
        <f>I40/H40</f>
        <v>2046777.2824830769</v>
      </c>
    </row>
    <row r="42" spans="2:26">
      <c r="G42" s="39" t="s">
        <v>636</v>
      </c>
      <c r="H42" s="39" t="s">
        <v>637</v>
      </c>
      <c r="X42" s="39"/>
    </row>
    <row r="43" spans="2:26">
      <c r="B43" s="39" t="s">
        <v>687</v>
      </c>
    </row>
    <row r="44" spans="2:26">
      <c r="B44" s="361" t="s">
        <v>89</v>
      </c>
      <c r="C44" s="361"/>
      <c r="D44" s="361"/>
    </row>
    <row r="45" spans="2:26">
      <c r="B45" s="43">
        <v>1</v>
      </c>
      <c r="C45" s="50">
        <f>SUMIFS($Q$9:$Q$38,$E$9:$E$38,"contribution",$R$9:$R$38,$B45)</f>
        <v>36019158.874690436</v>
      </c>
      <c r="D45" s="46">
        <f>SUMIFS($H$9:$H$38,$E$9:$E$38,"contribution",$R$9:$R$38,$B45)</f>
        <v>12.425000000000001</v>
      </c>
    </row>
    <row r="46" spans="2:26">
      <c r="B46" s="43">
        <v>2</v>
      </c>
      <c r="C46" s="50">
        <f>SUMIFS($Q$9:$Q$38,$E$9:$E$38,"contribution",$R$9:$R$38,$B46)</f>
        <v>8216204.5472456096</v>
      </c>
      <c r="D46" s="46">
        <f>SUMIFS($H$9:$H$38,$E$9:$E$38,"contribution",$R$9:$R$38,$B46)</f>
        <v>3.951440771349862</v>
      </c>
    </row>
    <row r="47" spans="2:26">
      <c r="B47" s="43">
        <v>3</v>
      </c>
      <c r="C47" s="50">
        <f>SUMIFS($Q$9:$Q$38,$E$9:$E$38,"contribution",$R$9:$R$38,$B47)</f>
        <v>4269188</v>
      </c>
      <c r="D47" s="46">
        <f>SUMIFS($H$9:$H$38,$E$9:$E$38,"contribution",$R$9:$R$38,$B47)</f>
        <v>3.5640000000000001</v>
      </c>
    </row>
    <row r="48" spans="2:26">
      <c r="C48" s="365">
        <f>SUM(C45:C47)</f>
        <v>48504551.421936043</v>
      </c>
      <c r="D48" s="399">
        <f>SUM(D45:D47)</f>
        <v>19.940440771349863</v>
      </c>
      <c r="E48" s="50">
        <f>C48/D48</f>
        <v>2432471.3770433138</v>
      </c>
    </row>
  </sheetData>
  <mergeCells count="1">
    <mergeCell ref="I7:N7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BDA9E-C98C-4808-BC81-EA3D39F38CA9}">
  <sheetPr>
    <tabColor theme="2" tint="-0.499984740745262"/>
  </sheetPr>
  <dimension ref="B2:L124"/>
  <sheetViews>
    <sheetView showGridLines="0" zoomScale="60" zoomScaleNormal="60" workbookViewId="0">
      <selection activeCell="D11" sqref="D11"/>
    </sheetView>
  </sheetViews>
  <sheetFormatPr defaultRowHeight="10.5"/>
  <cols>
    <col min="1" max="2" width="8.7265625" style="335"/>
    <col min="3" max="3" width="19.81640625" style="335" customWidth="1"/>
    <col min="4" max="4" width="20.6328125" style="335" customWidth="1"/>
    <col min="5" max="5" width="21.7265625" style="335" customWidth="1"/>
    <col min="6" max="6" width="17.08984375" style="335" customWidth="1"/>
    <col min="7" max="7" width="16.36328125" style="335" customWidth="1"/>
    <col min="8" max="8" width="17.54296875" style="335" customWidth="1"/>
    <col min="9" max="9" width="14.453125" style="335" customWidth="1"/>
    <col min="10" max="10" width="24.1796875" style="335" customWidth="1"/>
    <col min="11" max="11" width="27" style="335" customWidth="1"/>
    <col min="12" max="12" width="14.90625" style="335" customWidth="1"/>
    <col min="13" max="16384" width="8.7265625" style="335"/>
  </cols>
  <sheetData>
    <row r="2" spans="2:8">
      <c r="C2" s="336" t="s">
        <v>652</v>
      </c>
      <c r="D2" s="359">
        <f>assessedvalue</f>
        <v>0.35</v>
      </c>
    </row>
    <row r="3" spans="2:8">
      <c r="C3" s="336" t="s">
        <v>653</v>
      </c>
      <c r="D3" s="360">
        <f>millagerate</f>
        <v>96.515000000000001</v>
      </c>
    </row>
    <row r="4" spans="2:8">
      <c r="C4" s="336" t="s">
        <v>659</v>
      </c>
      <c r="D4" s="359">
        <f>cockpit!S40</f>
        <v>0.25</v>
      </c>
    </row>
    <row r="5" spans="2:8">
      <c r="C5" s="336" t="s">
        <v>660</v>
      </c>
      <c r="D5" s="360">
        <f>cockpit!S41</f>
        <v>1.25</v>
      </c>
    </row>
    <row r="6" spans="2:8">
      <c r="C6" s="336" t="s">
        <v>664</v>
      </c>
      <c r="D6" s="359">
        <f>tifrate</f>
        <v>0.06</v>
      </c>
    </row>
    <row r="7" spans="2:8">
      <c r="C7" s="336" t="s">
        <v>665</v>
      </c>
      <c r="D7" s="360">
        <f>cockpit!S43</f>
        <v>30</v>
      </c>
    </row>
    <row r="9" spans="2:8">
      <c r="C9" s="340" t="s">
        <v>647</v>
      </c>
      <c r="D9" s="341" t="s">
        <v>651</v>
      </c>
      <c r="E9" s="341" t="s">
        <v>650</v>
      </c>
      <c r="F9" s="341" t="s">
        <v>649</v>
      </c>
      <c r="G9" s="341" t="s">
        <v>648</v>
      </c>
    </row>
    <row r="10" spans="2:8">
      <c r="B10" s="342" t="s">
        <v>219</v>
      </c>
      <c r="C10" s="343">
        <f>'parcel sheet'!X40</f>
        <v>47027867.833209373</v>
      </c>
      <c r="D10" s="343">
        <f>ABS(SUM(combined!D35:M35,combined!D39:N39))</f>
        <v>419204653.47067052</v>
      </c>
      <c r="E10" s="335">
        <f>Phase1open</f>
        <v>4</v>
      </c>
      <c r="F10" s="343">
        <f>combined!Q24</f>
        <v>524614494.31278121</v>
      </c>
      <c r="G10" s="335">
        <f>phase1stabilizationyear</f>
        <v>6</v>
      </c>
    </row>
    <row r="11" spans="2:8">
      <c r="B11" s="342" t="s">
        <v>220</v>
      </c>
      <c r="C11" s="343">
        <f>'parcel sheet'!Y40</f>
        <v>18136371.947245613</v>
      </c>
      <c r="D11" s="343">
        <f>ABS(SUM(combined!D108:M108,combined!D113:N113))</f>
        <v>270090984.57921696</v>
      </c>
      <c r="E11" s="335">
        <f>Phase2open</f>
        <v>6</v>
      </c>
      <c r="F11" s="343">
        <f>combined!Q97</f>
        <v>313872855.76008588</v>
      </c>
      <c r="G11" s="335">
        <f>phase2stabilizationyear</f>
        <v>8</v>
      </c>
    </row>
    <row r="12" spans="2:8">
      <c r="B12" s="342" t="s">
        <v>321</v>
      </c>
      <c r="C12" s="343">
        <f>'parcel sheet'!Z40</f>
        <v>4269188</v>
      </c>
      <c r="D12" s="343">
        <f>ABS(SUM(combined!D181:M181,combined!D186:N186))</f>
        <v>184956360.8767238</v>
      </c>
      <c r="E12" s="335">
        <f>Phase3open</f>
        <v>8</v>
      </c>
      <c r="F12" s="343">
        <f>combined!Q170</f>
        <v>278282994.41172045</v>
      </c>
      <c r="G12" s="335">
        <f>phase3stabilizationyear</f>
        <v>10</v>
      </c>
    </row>
    <row r="15" spans="2:8">
      <c r="C15" s="342" t="s">
        <v>219</v>
      </c>
    </row>
    <row r="16" spans="2:8">
      <c r="C16" s="917" t="s">
        <v>656</v>
      </c>
      <c r="D16" s="917"/>
      <c r="E16" s="917"/>
      <c r="F16" s="917" t="s">
        <v>657</v>
      </c>
      <c r="G16" s="917"/>
      <c r="H16" s="917"/>
    </row>
    <row r="17" spans="2:12">
      <c r="C17" s="344" t="s">
        <v>655</v>
      </c>
      <c r="D17" s="344" t="s">
        <v>652</v>
      </c>
      <c r="E17" s="344" t="s">
        <v>654</v>
      </c>
      <c r="F17" s="344" t="s">
        <v>655</v>
      </c>
      <c r="G17" s="344" t="s">
        <v>652</v>
      </c>
      <c r="H17" s="344" t="s">
        <v>654</v>
      </c>
      <c r="I17" s="344" t="s">
        <v>658</v>
      </c>
      <c r="J17" s="344" t="s">
        <v>661</v>
      </c>
      <c r="K17" s="344" t="s">
        <v>662</v>
      </c>
    </row>
    <row r="18" spans="2:12" ht="9.5" customHeight="1">
      <c r="B18" s="335">
        <v>1</v>
      </c>
      <c r="C18" s="343">
        <f>C10</f>
        <v>47027867.833209373</v>
      </c>
      <c r="D18" s="343">
        <f t="shared" ref="D18:D47" si="0">C18*assessedvalue</f>
        <v>16459753.741623279</v>
      </c>
      <c r="E18" s="343">
        <f t="shared" ref="E18:E47" si="1">(D18/1000)*millagerate</f>
        <v>1588613.1323727707</v>
      </c>
      <c r="F18" s="345">
        <v>0</v>
      </c>
      <c r="G18" s="343">
        <f t="shared" ref="G18:G47" si="2">F18*assessedvalue</f>
        <v>0</v>
      </c>
      <c r="H18" s="343">
        <f t="shared" ref="H18:H47" si="3">(G18/1000)*millagerate</f>
        <v>0</v>
      </c>
      <c r="I18" s="343">
        <f>IF(H18-E18&gt;0,H18-E18,0)</f>
        <v>0</v>
      </c>
      <c r="J18" s="343">
        <f>I18*(1-cockpit!$S$40)</f>
        <v>0</v>
      </c>
      <c r="K18" s="343">
        <f>J18/cockpit!$S$41</f>
        <v>0</v>
      </c>
      <c r="L18" s="343" t="str">
        <f>IF(K18=0," ",K18)</f>
        <v xml:space="preserve"> </v>
      </c>
    </row>
    <row r="19" spans="2:12">
      <c r="B19" s="335">
        <v>2</v>
      </c>
      <c r="C19" s="343">
        <f t="shared" ref="C19:C47" si="4">C18*(1+Inflation)</f>
        <v>47968425.189873561</v>
      </c>
      <c r="D19" s="343">
        <f t="shared" si="0"/>
        <v>16788948.816455744</v>
      </c>
      <c r="E19" s="343">
        <f t="shared" si="1"/>
        <v>1620385.3950202262</v>
      </c>
      <c r="F19" s="345">
        <f t="shared" ref="F19:F47" si="5">IF(B19=$E$10,$D$10,IF(B19=$G$10,$F$10,F18*(1+Inflation)))</f>
        <v>0</v>
      </c>
      <c r="G19" s="343">
        <f t="shared" si="2"/>
        <v>0</v>
      </c>
      <c r="H19" s="343">
        <f t="shared" si="3"/>
        <v>0</v>
      </c>
      <c r="I19" s="343">
        <f t="shared" ref="I19:I47" si="6">IF(H19-E19&gt;0,H19-E19,0)</f>
        <v>0</v>
      </c>
      <c r="J19" s="343">
        <f>I19*(1-cockpit!$S$40)</f>
        <v>0</v>
      </c>
      <c r="K19" s="343">
        <f>J19/cockpit!$S$41</f>
        <v>0</v>
      </c>
      <c r="L19" s="343" t="str">
        <f t="shared" ref="L19:L47" si="7">IF(K19=0," ",K19)</f>
        <v xml:space="preserve"> </v>
      </c>
    </row>
    <row r="20" spans="2:12">
      <c r="B20" s="335">
        <v>3</v>
      </c>
      <c r="C20" s="343">
        <f t="shared" si="4"/>
        <v>48927793.693671033</v>
      </c>
      <c r="D20" s="343">
        <f t="shared" si="0"/>
        <v>17124727.792784862</v>
      </c>
      <c r="E20" s="343">
        <f t="shared" si="1"/>
        <v>1652793.1029206309</v>
      </c>
      <c r="F20" s="343">
        <f t="shared" si="5"/>
        <v>0</v>
      </c>
      <c r="G20" s="343">
        <f t="shared" si="2"/>
        <v>0</v>
      </c>
      <c r="H20" s="343">
        <f t="shared" si="3"/>
        <v>0</v>
      </c>
      <c r="I20" s="343">
        <f t="shared" si="6"/>
        <v>0</v>
      </c>
      <c r="J20" s="343">
        <f>I20*(1-cockpit!$S$40)</f>
        <v>0</v>
      </c>
      <c r="K20" s="343">
        <f>J20/cockpit!$S$41</f>
        <v>0</v>
      </c>
      <c r="L20" s="343" t="str">
        <f t="shared" si="7"/>
        <v xml:space="preserve"> </v>
      </c>
    </row>
    <row r="21" spans="2:12">
      <c r="B21" s="335">
        <v>4</v>
      </c>
      <c r="C21" s="343">
        <f t="shared" si="4"/>
        <v>49906349.567544453</v>
      </c>
      <c r="D21" s="343">
        <f t="shared" si="0"/>
        <v>17467222.348640557</v>
      </c>
      <c r="E21" s="343">
        <f t="shared" si="1"/>
        <v>1685848.9649790432</v>
      </c>
      <c r="F21" s="343">
        <f t="shared" si="5"/>
        <v>419204653.47067052</v>
      </c>
      <c r="G21" s="343">
        <f t="shared" si="2"/>
        <v>146721628.71473467</v>
      </c>
      <c r="H21" s="343">
        <f t="shared" si="3"/>
        <v>14160837.995402616</v>
      </c>
      <c r="I21" s="343">
        <f t="shared" si="6"/>
        <v>12474989.030423572</v>
      </c>
      <c r="J21" s="343">
        <f>I21*(1-cockpit!$S$40)</f>
        <v>9356241.7728176787</v>
      </c>
      <c r="K21" s="343">
        <f>J21/cockpit!$S$41</f>
        <v>7484993.4182541426</v>
      </c>
      <c r="L21" s="343">
        <f t="shared" si="7"/>
        <v>7484993.4182541426</v>
      </c>
    </row>
    <row r="22" spans="2:12">
      <c r="B22" s="335">
        <v>5</v>
      </c>
      <c r="C22" s="343">
        <f t="shared" si="4"/>
        <v>50904476.558895342</v>
      </c>
      <c r="D22" s="343">
        <f t="shared" si="0"/>
        <v>17816566.795613367</v>
      </c>
      <c r="E22" s="343">
        <f t="shared" si="1"/>
        <v>1719565.9442786239</v>
      </c>
      <c r="F22" s="343">
        <f t="shared" si="5"/>
        <v>427588746.54008394</v>
      </c>
      <c r="G22" s="343">
        <f t="shared" si="2"/>
        <v>149656061.28902936</v>
      </c>
      <c r="H22" s="343">
        <f t="shared" si="3"/>
        <v>14444054.75531067</v>
      </c>
      <c r="I22" s="343">
        <f t="shared" si="6"/>
        <v>12724488.811032046</v>
      </c>
      <c r="J22" s="343">
        <f>I22*(1-cockpit!$S$40)</f>
        <v>9543366.6082740352</v>
      </c>
      <c r="K22" s="343">
        <f>J22/cockpit!$S$41</f>
        <v>7634693.2866192283</v>
      </c>
      <c r="L22" s="343">
        <f t="shared" si="7"/>
        <v>7634693.2866192283</v>
      </c>
    </row>
    <row r="23" spans="2:12">
      <c r="B23" s="335">
        <v>6</v>
      </c>
      <c r="C23" s="343">
        <f t="shared" si="4"/>
        <v>51922566.09007325</v>
      </c>
      <c r="D23" s="343">
        <f t="shared" si="0"/>
        <v>18172898.131525636</v>
      </c>
      <c r="E23" s="343">
        <f t="shared" si="1"/>
        <v>1753957.2631641966</v>
      </c>
      <c r="F23" s="343">
        <f t="shared" si="5"/>
        <v>524614494.31278121</v>
      </c>
      <c r="G23" s="343">
        <f t="shared" si="2"/>
        <v>183615073.00947341</v>
      </c>
      <c r="H23" s="343">
        <f t="shared" si="3"/>
        <v>17721608.771509327</v>
      </c>
      <c r="I23" s="343">
        <f t="shared" si="6"/>
        <v>15967651.508345131</v>
      </c>
      <c r="J23" s="343">
        <f>I23*(1-cockpit!$S$40)</f>
        <v>11975738.631258849</v>
      </c>
      <c r="K23" s="343">
        <f>J23/cockpit!$S$41</f>
        <v>9580590.9050070792</v>
      </c>
      <c r="L23" s="343">
        <f t="shared" si="7"/>
        <v>9580590.9050070792</v>
      </c>
    </row>
    <row r="24" spans="2:12">
      <c r="B24" s="335">
        <v>7</v>
      </c>
      <c r="C24" s="343">
        <f t="shared" si="4"/>
        <v>52961017.411874719</v>
      </c>
      <c r="D24" s="343">
        <f t="shared" si="0"/>
        <v>18536356.09415615</v>
      </c>
      <c r="E24" s="343">
        <f t="shared" si="1"/>
        <v>1789036.4084274806</v>
      </c>
      <c r="F24" s="343">
        <f t="shared" si="5"/>
        <v>535106784.19903684</v>
      </c>
      <c r="G24" s="343">
        <f t="shared" si="2"/>
        <v>187287374.46966287</v>
      </c>
      <c r="H24" s="343">
        <f t="shared" si="3"/>
        <v>18076040.946939513</v>
      </c>
      <c r="I24" s="343">
        <f t="shared" si="6"/>
        <v>16287004.538512032</v>
      </c>
      <c r="J24" s="343">
        <f>I24*(1-cockpit!$S$40)</f>
        <v>12215253.403884023</v>
      </c>
      <c r="K24" s="343">
        <f>J24/cockpit!$S$41</f>
        <v>9772202.7231072187</v>
      </c>
      <c r="L24" s="343">
        <f t="shared" si="7"/>
        <v>9772202.7231072187</v>
      </c>
    </row>
    <row r="25" spans="2:12">
      <c r="B25" s="335">
        <v>8</v>
      </c>
      <c r="C25" s="343">
        <f t="shared" si="4"/>
        <v>54020237.760112211</v>
      </c>
      <c r="D25" s="343">
        <f t="shared" si="0"/>
        <v>18907083.216039274</v>
      </c>
      <c r="E25" s="343">
        <f t="shared" si="1"/>
        <v>1824817.1365960306</v>
      </c>
      <c r="F25" s="343">
        <f t="shared" si="5"/>
        <v>545808919.88301754</v>
      </c>
      <c r="G25" s="343">
        <f t="shared" si="2"/>
        <v>191033121.95905614</v>
      </c>
      <c r="H25" s="343">
        <f t="shared" si="3"/>
        <v>18437561.765878305</v>
      </c>
      <c r="I25" s="343">
        <f t="shared" si="6"/>
        <v>16612744.629282273</v>
      </c>
      <c r="J25" s="343">
        <f>I25*(1-cockpit!$S$40)</f>
        <v>12459558.471961705</v>
      </c>
      <c r="K25" s="343">
        <f>J25/cockpit!$S$41</f>
        <v>9967646.7775693648</v>
      </c>
      <c r="L25" s="343">
        <f t="shared" si="7"/>
        <v>9967646.7775693648</v>
      </c>
    </row>
    <row r="26" spans="2:12">
      <c r="B26" s="335">
        <v>9</v>
      </c>
      <c r="C26" s="343">
        <f t="shared" si="4"/>
        <v>55100642.51531446</v>
      </c>
      <c r="D26" s="343">
        <f t="shared" si="0"/>
        <v>19285224.880360059</v>
      </c>
      <c r="E26" s="343">
        <f t="shared" si="1"/>
        <v>1861313.4793279511</v>
      </c>
      <c r="F26" s="343">
        <f t="shared" si="5"/>
        <v>556725098.28067791</v>
      </c>
      <c r="G26" s="343">
        <f t="shared" si="2"/>
        <v>194853784.39823726</v>
      </c>
      <c r="H26" s="343">
        <f t="shared" si="3"/>
        <v>18806313.00119587</v>
      </c>
      <c r="I26" s="343">
        <f t="shared" si="6"/>
        <v>16944999.52186792</v>
      </c>
      <c r="J26" s="343">
        <f>I26*(1-cockpit!$S$40)</f>
        <v>12708749.641400941</v>
      </c>
      <c r="K26" s="343">
        <f>J26/cockpit!$S$41</f>
        <v>10166999.713120753</v>
      </c>
      <c r="L26" s="343">
        <f t="shared" si="7"/>
        <v>10166999.713120753</v>
      </c>
    </row>
    <row r="27" spans="2:12">
      <c r="B27" s="335">
        <v>10</v>
      </c>
      <c r="C27" s="343">
        <f t="shared" si="4"/>
        <v>56202655.365620747</v>
      </c>
      <c r="D27" s="343">
        <f t="shared" si="0"/>
        <v>19670929.377967261</v>
      </c>
      <c r="E27" s="343">
        <f t="shared" si="1"/>
        <v>1898539.7489145102</v>
      </c>
      <c r="F27" s="343">
        <f t="shared" si="5"/>
        <v>567859600.24629152</v>
      </c>
      <c r="G27" s="343">
        <f t="shared" si="2"/>
        <v>198750860.08620203</v>
      </c>
      <c r="H27" s="343">
        <f t="shared" si="3"/>
        <v>19182439.261219788</v>
      </c>
      <c r="I27" s="343">
        <f t="shared" si="6"/>
        <v>17283899.512305278</v>
      </c>
      <c r="J27" s="343">
        <f>I27*(1-cockpit!$S$40)</f>
        <v>12962924.63422896</v>
      </c>
      <c r="K27" s="343">
        <f>J27/cockpit!$S$41</f>
        <v>10370339.707383167</v>
      </c>
      <c r="L27" s="343">
        <f t="shared" si="7"/>
        <v>10370339.707383167</v>
      </c>
    </row>
    <row r="28" spans="2:12">
      <c r="B28" s="335">
        <v>11</v>
      </c>
      <c r="C28" s="343">
        <f t="shared" si="4"/>
        <v>57326708.472933166</v>
      </c>
      <c r="D28" s="343">
        <f t="shared" si="0"/>
        <v>20064347.965526607</v>
      </c>
      <c r="E28" s="343">
        <f t="shared" si="1"/>
        <v>1936510.5438928003</v>
      </c>
      <c r="F28" s="343">
        <f t="shared" si="5"/>
        <v>579216792.25121737</v>
      </c>
      <c r="G28" s="343">
        <f t="shared" si="2"/>
        <v>202725877.28792608</v>
      </c>
      <c r="H28" s="343">
        <f t="shared" si="3"/>
        <v>19566088.046444185</v>
      </c>
      <c r="I28" s="343">
        <f t="shared" si="6"/>
        <v>17629577.502551384</v>
      </c>
      <c r="J28" s="343">
        <f>I28*(1-cockpit!$S$40)</f>
        <v>13222183.126913538</v>
      </c>
      <c r="K28" s="343">
        <f>J28/cockpit!$S$41</f>
        <v>10577746.50153083</v>
      </c>
      <c r="L28" s="343">
        <f t="shared" si="7"/>
        <v>10577746.50153083</v>
      </c>
    </row>
    <row r="29" spans="2:12">
      <c r="B29" s="335">
        <v>12</v>
      </c>
      <c r="C29" s="343">
        <f t="shared" si="4"/>
        <v>58473242.642391831</v>
      </c>
      <c r="D29" s="343">
        <f t="shared" si="0"/>
        <v>20465634.924837139</v>
      </c>
      <c r="E29" s="343">
        <f t="shared" si="1"/>
        <v>1975240.7547706563</v>
      </c>
      <c r="F29" s="343">
        <f t="shared" si="5"/>
        <v>590801128.09624171</v>
      </c>
      <c r="G29" s="343">
        <f t="shared" si="2"/>
        <v>206780394.83368459</v>
      </c>
      <c r="H29" s="343">
        <f t="shared" si="3"/>
        <v>19957409.807373069</v>
      </c>
      <c r="I29" s="343">
        <f t="shared" si="6"/>
        <v>17982169.052602414</v>
      </c>
      <c r="J29" s="343">
        <f>I29*(1-cockpit!$S$40)</f>
        <v>13486626.789451811</v>
      </c>
      <c r="K29" s="343">
        <f>J29/cockpit!$S$41</f>
        <v>10789301.43156145</v>
      </c>
      <c r="L29" s="343">
        <f t="shared" si="7"/>
        <v>10789301.43156145</v>
      </c>
    </row>
    <row r="30" spans="2:12">
      <c r="B30" s="335">
        <v>13</v>
      </c>
      <c r="C30" s="343">
        <f t="shared" si="4"/>
        <v>59642707.495239668</v>
      </c>
      <c r="D30" s="343">
        <f t="shared" si="0"/>
        <v>20874947.623333883</v>
      </c>
      <c r="E30" s="343">
        <f t="shared" si="1"/>
        <v>2014745.5698660698</v>
      </c>
      <c r="F30" s="343">
        <f t="shared" si="5"/>
        <v>602617150.65816653</v>
      </c>
      <c r="G30" s="343">
        <f t="shared" si="2"/>
        <v>210916002.73035827</v>
      </c>
      <c r="H30" s="343">
        <f t="shared" si="3"/>
        <v>20356558.00352053</v>
      </c>
      <c r="I30" s="343">
        <f t="shared" si="6"/>
        <v>18341812.433654461</v>
      </c>
      <c r="J30" s="343">
        <f>I30*(1-cockpit!$S$40)</f>
        <v>13756359.325240847</v>
      </c>
      <c r="K30" s="343">
        <f>J30/cockpit!$S$41</f>
        <v>11005087.460192677</v>
      </c>
      <c r="L30" s="343">
        <f t="shared" si="7"/>
        <v>11005087.460192677</v>
      </c>
    </row>
    <row r="31" spans="2:12">
      <c r="B31" s="335">
        <v>14</v>
      </c>
      <c r="C31" s="343">
        <f t="shared" si="4"/>
        <v>60835561.645144463</v>
      </c>
      <c r="D31" s="343">
        <f t="shared" si="0"/>
        <v>21292446.57580056</v>
      </c>
      <c r="E31" s="343">
        <f t="shared" si="1"/>
        <v>2055040.4812633912</v>
      </c>
      <c r="F31" s="343">
        <f t="shared" si="5"/>
        <v>614669493.67132986</v>
      </c>
      <c r="G31" s="343">
        <f t="shared" si="2"/>
        <v>215134322.78496543</v>
      </c>
      <c r="H31" s="343">
        <f t="shared" si="3"/>
        <v>20763689.163590938</v>
      </c>
      <c r="I31" s="343">
        <f t="shared" si="6"/>
        <v>18708648.682327546</v>
      </c>
      <c r="J31" s="343">
        <f>I31*(1-cockpit!$S$40)</f>
        <v>14031486.51174566</v>
      </c>
      <c r="K31" s="343">
        <f>J31/cockpit!$S$41</f>
        <v>11225189.209396528</v>
      </c>
      <c r="L31" s="343">
        <f t="shared" si="7"/>
        <v>11225189.209396528</v>
      </c>
    </row>
    <row r="32" spans="2:12">
      <c r="B32" s="335">
        <v>15</v>
      </c>
      <c r="C32" s="343">
        <f t="shared" si="4"/>
        <v>62052272.878047355</v>
      </c>
      <c r="D32" s="343">
        <f t="shared" si="0"/>
        <v>21718295.507316574</v>
      </c>
      <c r="E32" s="343">
        <f t="shared" si="1"/>
        <v>2096141.2908886594</v>
      </c>
      <c r="F32" s="343">
        <f t="shared" si="5"/>
        <v>626962883.54475641</v>
      </c>
      <c r="G32" s="343">
        <f t="shared" si="2"/>
        <v>219437009.24066472</v>
      </c>
      <c r="H32" s="343">
        <f t="shared" si="3"/>
        <v>21178962.946862753</v>
      </c>
      <c r="I32" s="343">
        <f t="shared" si="6"/>
        <v>19082821.655974094</v>
      </c>
      <c r="J32" s="343">
        <f>I32*(1-cockpit!$S$40)</f>
        <v>14312116.241980571</v>
      </c>
      <c r="K32" s="343">
        <f>J32/cockpit!$S$41</f>
        <v>11449692.993584458</v>
      </c>
      <c r="L32" s="343">
        <f t="shared" si="7"/>
        <v>11449692.993584458</v>
      </c>
    </row>
    <row r="33" spans="2:12">
      <c r="B33" s="335">
        <v>16</v>
      </c>
      <c r="C33" s="343">
        <f t="shared" si="4"/>
        <v>63293318.335608304</v>
      </c>
      <c r="D33" s="343">
        <f t="shared" si="0"/>
        <v>22152661.417462904</v>
      </c>
      <c r="E33" s="343">
        <f t="shared" si="1"/>
        <v>2138064.1167064323</v>
      </c>
      <c r="F33" s="343">
        <f t="shared" si="5"/>
        <v>639502141.21565151</v>
      </c>
      <c r="G33" s="343">
        <f t="shared" si="2"/>
        <v>223825749.42547801</v>
      </c>
      <c r="H33" s="343">
        <f t="shared" si="3"/>
        <v>21602542.205800012</v>
      </c>
      <c r="I33" s="343">
        <f t="shared" si="6"/>
        <v>19464478.089093581</v>
      </c>
      <c r="J33" s="343">
        <f>I33*(1-cockpit!$S$40)</f>
        <v>14598358.566820186</v>
      </c>
      <c r="K33" s="343">
        <f>J33/cockpit!$S$41</f>
        <v>11678686.853456149</v>
      </c>
      <c r="L33" s="343">
        <f t="shared" si="7"/>
        <v>11678686.853456149</v>
      </c>
    </row>
    <row r="34" spans="2:12">
      <c r="B34" s="335">
        <v>17</v>
      </c>
      <c r="C34" s="343">
        <f t="shared" si="4"/>
        <v>64559184.702320471</v>
      </c>
      <c r="D34" s="343">
        <f t="shared" si="0"/>
        <v>22595714.645812165</v>
      </c>
      <c r="E34" s="343">
        <f t="shared" si="1"/>
        <v>2180825.3990405612</v>
      </c>
      <c r="F34" s="343">
        <f t="shared" si="5"/>
        <v>652292184.03996456</v>
      </c>
      <c r="G34" s="343">
        <f t="shared" si="2"/>
        <v>228302264.41398758</v>
      </c>
      <c r="H34" s="343">
        <f t="shared" si="3"/>
        <v>22034593.04991601</v>
      </c>
      <c r="I34" s="343">
        <f t="shared" si="6"/>
        <v>19853767.650875449</v>
      </c>
      <c r="J34" s="343">
        <f>I34*(1-cockpit!$S$40)</f>
        <v>14890325.738156587</v>
      </c>
      <c r="K34" s="343">
        <f>J34/cockpit!$S$41</f>
        <v>11912260.59052527</v>
      </c>
      <c r="L34" s="343">
        <f t="shared" si="7"/>
        <v>11912260.59052527</v>
      </c>
    </row>
    <row r="35" spans="2:12">
      <c r="B35" s="335">
        <v>18</v>
      </c>
      <c r="C35" s="343">
        <f t="shared" si="4"/>
        <v>65850368.396366879</v>
      </c>
      <c r="D35" s="343">
        <f t="shared" si="0"/>
        <v>23047628.938728407</v>
      </c>
      <c r="E35" s="343">
        <f t="shared" si="1"/>
        <v>2224441.9070213726</v>
      </c>
      <c r="F35" s="343">
        <f t="shared" si="5"/>
        <v>665338027.7207638</v>
      </c>
      <c r="G35" s="343">
        <f t="shared" si="2"/>
        <v>232868309.70226732</v>
      </c>
      <c r="H35" s="343">
        <f t="shared" si="3"/>
        <v>22475284.910914332</v>
      </c>
      <c r="I35" s="343">
        <f t="shared" si="6"/>
        <v>20250843.003892958</v>
      </c>
      <c r="J35" s="343">
        <f>I35*(1-cockpit!$S$40)</f>
        <v>15188132.252919719</v>
      </c>
      <c r="K35" s="343">
        <f>J35/cockpit!$S$41</f>
        <v>12150505.802335775</v>
      </c>
      <c r="L35" s="343">
        <f t="shared" si="7"/>
        <v>12150505.802335775</v>
      </c>
    </row>
    <row r="36" spans="2:12">
      <c r="B36" s="335">
        <v>19</v>
      </c>
      <c r="C36" s="343">
        <f t="shared" si="4"/>
        <v>67167375.764294222</v>
      </c>
      <c r="D36" s="343">
        <f t="shared" si="0"/>
        <v>23508581.517502975</v>
      </c>
      <c r="E36" s="343">
        <f t="shared" si="1"/>
        <v>2268930.7451617997</v>
      </c>
      <c r="F36" s="343">
        <f t="shared" si="5"/>
        <v>678644788.27517915</v>
      </c>
      <c r="G36" s="343">
        <f t="shared" si="2"/>
        <v>237525675.89631268</v>
      </c>
      <c r="H36" s="343">
        <f t="shared" si="3"/>
        <v>22924790.609132621</v>
      </c>
      <c r="I36" s="343">
        <f t="shared" si="6"/>
        <v>20655859.863970824</v>
      </c>
      <c r="J36" s="343">
        <f>I36*(1-cockpit!$S$40)</f>
        <v>15491894.897978118</v>
      </c>
      <c r="K36" s="343">
        <f>J36/cockpit!$S$41</f>
        <v>12393515.918382494</v>
      </c>
      <c r="L36" s="343">
        <f t="shared" si="7"/>
        <v>12393515.918382494</v>
      </c>
    </row>
    <row r="37" spans="2:12">
      <c r="B37" s="335">
        <v>20</v>
      </c>
      <c r="C37" s="343">
        <f t="shared" si="4"/>
        <v>68510723.279580101</v>
      </c>
      <c r="D37" s="343">
        <f t="shared" si="0"/>
        <v>23978753.147853035</v>
      </c>
      <c r="E37" s="343">
        <f t="shared" si="1"/>
        <v>2314309.360065036</v>
      </c>
      <c r="F37" s="343">
        <f t="shared" si="5"/>
        <v>692217684.04068279</v>
      </c>
      <c r="G37" s="343">
        <f t="shared" si="2"/>
        <v>242276189.41423896</v>
      </c>
      <c r="H37" s="343">
        <f t="shared" si="3"/>
        <v>23383286.421315275</v>
      </c>
      <c r="I37" s="343">
        <f t="shared" si="6"/>
        <v>21068977.06125024</v>
      </c>
      <c r="J37" s="343">
        <f>I37*(1-cockpit!$S$40)</f>
        <v>15801732.79593768</v>
      </c>
      <c r="K37" s="343">
        <f>J37/cockpit!$S$41</f>
        <v>12641386.236750145</v>
      </c>
      <c r="L37" s="343">
        <f t="shared" si="7"/>
        <v>12641386.236750145</v>
      </c>
    </row>
    <row r="38" spans="2:12">
      <c r="B38" s="335">
        <v>21</v>
      </c>
      <c r="C38" s="343">
        <f t="shared" si="4"/>
        <v>69880937.745171711</v>
      </c>
      <c r="D38" s="343">
        <f t="shared" si="0"/>
        <v>24458328.210810099</v>
      </c>
      <c r="E38" s="343">
        <f t="shared" si="1"/>
        <v>2360595.5472663366</v>
      </c>
      <c r="F38" s="343">
        <f t="shared" si="5"/>
        <v>706062037.72149646</v>
      </c>
      <c r="G38" s="343">
        <f t="shared" si="2"/>
        <v>247121713.20252374</v>
      </c>
      <c r="H38" s="343">
        <f t="shared" si="3"/>
        <v>23850952.149741579</v>
      </c>
      <c r="I38" s="343">
        <f t="shared" si="6"/>
        <v>21490356.602475241</v>
      </c>
      <c r="J38" s="343">
        <f>I38*(1-cockpit!$S$40)</f>
        <v>16117767.451856431</v>
      </c>
      <c r="K38" s="343">
        <f>J38/cockpit!$S$41</f>
        <v>12894213.961485144</v>
      </c>
      <c r="L38" s="343">
        <f t="shared" si="7"/>
        <v>12894213.961485144</v>
      </c>
    </row>
    <row r="39" spans="2:12">
      <c r="B39" s="335">
        <v>22</v>
      </c>
      <c r="C39" s="343">
        <f t="shared" si="4"/>
        <v>71278556.500075147</v>
      </c>
      <c r="D39" s="343">
        <f t="shared" si="0"/>
        <v>24947494.775026299</v>
      </c>
      <c r="E39" s="343">
        <f t="shared" si="1"/>
        <v>2407807.4582116632</v>
      </c>
      <c r="F39" s="343">
        <f t="shared" si="5"/>
        <v>720183278.4759264</v>
      </c>
      <c r="G39" s="343">
        <f t="shared" si="2"/>
        <v>252064147.46657422</v>
      </c>
      <c r="H39" s="343">
        <f t="shared" si="3"/>
        <v>24327971.19273641</v>
      </c>
      <c r="I39" s="343">
        <f t="shared" si="6"/>
        <v>21920163.734524745</v>
      </c>
      <c r="J39" s="343">
        <f>I39*(1-cockpit!$S$40)</f>
        <v>16440122.80089356</v>
      </c>
      <c r="K39" s="343">
        <f>J39/cockpit!$S$41</f>
        <v>13152098.240714848</v>
      </c>
      <c r="L39" s="343">
        <f t="shared" si="7"/>
        <v>13152098.240714848</v>
      </c>
    </row>
    <row r="40" spans="2:12">
      <c r="B40" s="335">
        <v>23</v>
      </c>
      <c r="C40" s="343">
        <f t="shared" si="4"/>
        <v>72704127.630076647</v>
      </c>
      <c r="D40" s="343">
        <f t="shared" si="0"/>
        <v>25446444.670526825</v>
      </c>
      <c r="E40" s="343">
        <f t="shared" si="1"/>
        <v>2455963.6073758965</v>
      </c>
      <c r="F40" s="343">
        <f t="shared" si="5"/>
        <v>734586944.04544497</v>
      </c>
      <c r="G40" s="343">
        <f t="shared" si="2"/>
        <v>257105430.41590571</v>
      </c>
      <c r="H40" s="343">
        <f t="shared" si="3"/>
        <v>24814530.616591141</v>
      </c>
      <c r="I40" s="343">
        <f t="shared" si="6"/>
        <v>22358567.009215243</v>
      </c>
      <c r="J40" s="343">
        <f>I40*(1-cockpit!$S$40)</f>
        <v>16768925.256911432</v>
      </c>
      <c r="K40" s="343">
        <f>J40/cockpit!$S$41</f>
        <v>13415140.205529146</v>
      </c>
      <c r="L40" s="343">
        <f t="shared" si="7"/>
        <v>13415140.205529146</v>
      </c>
    </row>
    <row r="41" spans="2:12">
      <c r="B41" s="335">
        <v>24</v>
      </c>
      <c r="C41" s="343">
        <f t="shared" si="4"/>
        <v>74158210.182678178</v>
      </c>
      <c r="D41" s="343">
        <f t="shared" si="0"/>
        <v>25955373.563937362</v>
      </c>
      <c r="E41" s="343">
        <f t="shared" si="1"/>
        <v>2505082.8795234147</v>
      </c>
      <c r="F41" s="343">
        <f t="shared" si="5"/>
        <v>749278682.92635393</v>
      </c>
      <c r="G41" s="343">
        <f t="shared" si="2"/>
        <v>262247539.02422386</v>
      </c>
      <c r="H41" s="343">
        <f t="shared" si="3"/>
        <v>25310821.228922967</v>
      </c>
      <c r="I41" s="343">
        <f t="shared" si="6"/>
        <v>22805738.349399552</v>
      </c>
      <c r="J41" s="343">
        <f>I41*(1-cockpit!$S$40)</f>
        <v>17104303.762049664</v>
      </c>
      <c r="K41" s="343">
        <f>J41/cockpit!$S$41</f>
        <v>13683443.009639731</v>
      </c>
      <c r="L41" s="343">
        <f t="shared" si="7"/>
        <v>13683443.009639731</v>
      </c>
    </row>
    <row r="42" spans="2:12">
      <c r="B42" s="335">
        <v>25</v>
      </c>
      <c r="C42" s="343">
        <f t="shared" si="4"/>
        <v>75641374.386331737</v>
      </c>
      <c r="D42" s="343">
        <f t="shared" si="0"/>
        <v>26474481.035216108</v>
      </c>
      <c r="E42" s="343">
        <f t="shared" si="1"/>
        <v>2555184.5371138826</v>
      </c>
      <c r="F42" s="343">
        <f t="shared" si="5"/>
        <v>764264256.58488107</v>
      </c>
      <c r="G42" s="343">
        <f t="shared" si="2"/>
        <v>267492489.80470836</v>
      </c>
      <c r="H42" s="343">
        <f t="shared" si="3"/>
        <v>25817037.653501425</v>
      </c>
      <c r="I42" s="343">
        <f t="shared" si="6"/>
        <v>23261853.116387542</v>
      </c>
      <c r="J42" s="343">
        <f>I42*(1-cockpit!$S$40)</f>
        <v>17446389.837290656</v>
      </c>
      <c r="K42" s="343">
        <f>J42/cockpit!$S$41</f>
        <v>13957111.869832525</v>
      </c>
      <c r="L42" s="343">
        <f t="shared" si="7"/>
        <v>13957111.869832525</v>
      </c>
    </row>
    <row r="43" spans="2:12">
      <c r="B43" s="335">
        <v>26</v>
      </c>
      <c r="C43" s="343">
        <f t="shared" si="4"/>
        <v>77154201.874058366</v>
      </c>
      <c r="D43" s="343">
        <f t="shared" si="0"/>
        <v>27003970.655920427</v>
      </c>
      <c r="E43" s="343">
        <f t="shared" si="1"/>
        <v>2606288.2278561601</v>
      </c>
      <c r="F43" s="343">
        <f t="shared" si="5"/>
        <v>779549541.71657872</v>
      </c>
      <c r="G43" s="343">
        <f t="shared" si="2"/>
        <v>272842339.60080254</v>
      </c>
      <c r="H43" s="343">
        <f t="shared" si="3"/>
        <v>26333378.406571455</v>
      </c>
      <c r="I43" s="343">
        <f t="shared" si="6"/>
        <v>23727090.178715296</v>
      </c>
      <c r="J43" s="343">
        <f>I43*(1-cockpit!$S$40)</f>
        <v>17795317.634036474</v>
      </c>
      <c r="K43" s="343">
        <f>J43/cockpit!$S$41</f>
        <v>14236254.107229179</v>
      </c>
      <c r="L43" s="343">
        <f t="shared" si="7"/>
        <v>14236254.107229179</v>
      </c>
    </row>
    <row r="44" spans="2:12">
      <c r="B44" s="335">
        <v>27</v>
      </c>
      <c r="C44" s="343">
        <f t="shared" si="4"/>
        <v>78697285.91153954</v>
      </c>
      <c r="D44" s="343">
        <f t="shared" si="0"/>
        <v>27544050.069038838</v>
      </c>
      <c r="E44" s="343">
        <f t="shared" si="1"/>
        <v>2658413.9924132838</v>
      </c>
      <c r="F44" s="343">
        <f t="shared" si="5"/>
        <v>795140532.55091035</v>
      </c>
      <c r="G44" s="343">
        <f t="shared" si="2"/>
        <v>278299186.39281863</v>
      </c>
      <c r="H44" s="343">
        <f t="shared" si="3"/>
        <v>26860045.974702891</v>
      </c>
      <c r="I44" s="343">
        <f t="shared" si="6"/>
        <v>24201631.982289609</v>
      </c>
      <c r="J44" s="343">
        <f>I44*(1-cockpit!$S$40)</f>
        <v>18151223.986717205</v>
      </c>
      <c r="K44" s="343">
        <f>J44/cockpit!$S$41</f>
        <v>14520979.189373765</v>
      </c>
      <c r="L44" s="343">
        <f t="shared" si="7"/>
        <v>14520979.189373765</v>
      </c>
    </row>
    <row r="45" spans="2:12">
      <c r="B45" s="335">
        <v>28</v>
      </c>
      <c r="C45" s="343">
        <f t="shared" si="4"/>
        <v>80271231.629770339</v>
      </c>
      <c r="D45" s="343">
        <f t="shared" si="0"/>
        <v>28094931.070419617</v>
      </c>
      <c r="E45" s="343">
        <f t="shared" si="1"/>
        <v>2711582.2722615493</v>
      </c>
      <c r="F45" s="343">
        <f t="shared" si="5"/>
        <v>811043343.20192862</v>
      </c>
      <c r="G45" s="343">
        <f t="shared" si="2"/>
        <v>283865170.12067497</v>
      </c>
      <c r="H45" s="343">
        <f t="shared" si="3"/>
        <v>27397246.894196942</v>
      </c>
      <c r="I45" s="343">
        <f t="shared" si="6"/>
        <v>24685664.621935394</v>
      </c>
      <c r="J45" s="343">
        <f>I45*(1-cockpit!$S$40)</f>
        <v>18514248.466451544</v>
      </c>
      <c r="K45" s="343">
        <f>J45/cockpit!$S$41</f>
        <v>14811398.773161236</v>
      </c>
      <c r="L45" s="343">
        <f t="shared" si="7"/>
        <v>14811398.773161236</v>
      </c>
    </row>
    <row r="46" spans="2:12">
      <c r="B46" s="335">
        <v>29</v>
      </c>
      <c r="C46" s="343">
        <f t="shared" si="4"/>
        <v>81876656.262365744</v>
      </c>
      <c r="D46" s="343">
        <f t="shared" si="0"/>
        <v>28656829.691828009</v>
      </c>
      <c r="E46" s="343">
        <f t="shared" si="1"/>
        <v>2765813.9177067806</v>
      </c>
      <c r="F46" s="343">
        <f t="shared" si="5"/>
        <v>827264210.0659672</v>
      </c>
      <c r="G46" s="343">
        <f t="shared" si="2"/>
        <v>289542473.52308851</v>
      </c>
      <c r="H46" s="343">
        <f t="shared" si="3"/>
        <v>27945191.832080886</v>
      </c>
      <c r="I46" s="343">
        <f t="shared" si="6"/>
        <v>25179377.914374106</v>
      </c>
      <c r="J46" s="343">
        <f>I46*(1-cockpit!$S$40)</f>
        <v>18884533.435780577</v>
      </c>
      <c r="K46" s="343">
        <f>J46/cockpit!$S$41</f>
        <v>15107626.748624463</v>
      </c>
      <c r="L46" s="343">
        <f t="shared" si="7"/>
        <v>15107626.748624463</v>
      </c>
    </row>
    <row r="47" spans="2:12">
      <c r="B47" s="335">
        <v>30</v>
      </c>
      <c r="C47" s="343">
        <f t="shared" si="4"/>
        <v>83514189.387613058</v>
      </c>
      <c r="D47" s="343">
        <f t="shared" si="0"/>
        <v>29229966.28566457</v>
      </c>
      <c r="E47" s="343">
        <f t="shared" si="1"/>
        <v>2821130.1960609159</v>
      </c>
      <c r="F47" s="343">
        <f t="shared" si="5"/>
        <v>843809494.26728654</v>
      </c>
      <c r="G47" s="343">
        <f t="shared" si="2"/>
        <v>295333322.99355024</v>
      </c>
      <c r="H47" s="343">
        <f t="shared" si="3"/>
        <v>28504095.668722499</v>
      </c>
      <c r="I47" s="343">
        <f t="shared" si="6"/>
        <v>25682965.472661585</v>
      </c>
      <c r="J47" s="343">
        <f>I47*(1-cockpit!$S$40)</f>
        <v>19262224.104496188</v>
      </c>
      <c r="K47" s="343">
        <f>J47/cockpit!$S$41</f>
        <v>15409779.283596952</v>
      </c>
      <c r="L47" s="343">
        <f t="shared" si="7"/>
        <v>15409779.283596952</v>
      </c>
    </row>
    <row r="49" spans="2:12">
      <c r="K49" s="342" t="s">
        <v>663</v>
      </c>
      <c r="L49" s="346">
        <f>MIN(L18:L47)</f>
        <v>7484993.4182541426</v>
      </c>
    </row>
    <row r="50" spans="2:12">
      <c r="K50" s="342" t="s">
        <v>666</v>
      </c>
      <c r="L50" s="347">
        <f>ABS(PV(cockpit!$S$42,cockpit!$S$43,L49))</f>
        <v>103029670.57227798</v>
      </c>
    </row>
    <row r="51" spans="2:12" ht="14" customHeight="1"/>
    <row r="52" spans="2:12">
      <c r="C52" s="342" t="s">
        <v>220</v>
      </c>
    </row>
    <row r="53" spans="2:12">
      <c r="C53" s="918" t="s">
        <v>656</v>
      </c>
      <c r="D53" s="918"/>
      <c r="E53" s="918"/>
      <c r="F53" s="918" t="s">
        <v>657</v>
      </c>
      <c r="G53" s="918"/>
      <c r="H53" s="918"/>
    </row>
    <row r="54" spans="2:12">
      <c r="C54" s="344" t="s">
        <v>655</v>
      </c>
      <c r="D54" s="344" t="s">
        <v>652</v>
      </c>
      <c r="E54" s="344" t="s">
        <v>654</v>
      </c>
      <c r="F54" s="344" t="s">
        <v>655</v>
      </c>
      <c r="G54" s="344" t="s">
        <v>652</v>
      </c>
      <c r="H54" s="344" t="s">
        <v>654</v>
      </c>
      <c r="I54" s="344" t="s">
        <v>658</v>
      </c>
      <c r="J54" s="344" t="s">
        <v>661</v>
      </c>
      <c r="K54" s="344" t="s">
        <v>662</v>
      </c>
    </row>
    <row r="55" spans="2:12">
      <c r="B55" s="335">
        <v>1</v>
      </c>
      <c r="C55" s="343">
        <f>C11</f>
        <v>18136371.947245613</v>
      </c>
      <c r="D55" s="343">
        <f t="shared" ref="D55:D84" si="8">C55*assessedvalue</f>
        <v>6347730.1815359639</v>
      </c>
      <c r="E55" s="343">
        <f t="shared" ref="E55:E84" si="9">(D55/1000)*millagerate</f>
        <v>612651.17847094359</v>
      </c>
      <c r="F55" s="345">
        <v>0</v>
      </c>
      <c r="G55" s="343">
        <f t="shared" ref="G55:G84" si="10">F55*assessedvalue</f>
        <v>0</v>
      </c>
      <c r="H55" s="343">
        <f t="shared" ref="H55:H84" si="11">(G55/1000)*millagerate</f>
        <v>0</v>
      </c>
      <c r="I55" s="343">
        <f>IF(H55-E55&gt;0,H55-E55,0)</f>
        <v>0</v>
      </c>
      <c r="J55" s="343">
        <f>I55*(1-cockpit!$S$40)</f>
        <v>0</v>
      </c>
      <c r="K55" s="343">
        <f>J55/cockpit!$S$41</f>
        <v>0</v>
      </c>
      <c r="L55" s="343" t="str">
        <f>IF(K55=0," ",K55)</f>
        <v xml:space="preserve"> </v>
      </c>
    </row>
    <row r="56" spans="2:12">
      <c r="B56" s="335">
        <v>2</v>
      </c>
      <c r="C56" s="343">
        <f t="shared" ref="C56:C84" si="12">C55*(1+Inflation)</f>
        <v>18499099.386190526</v>
      </c>
      <c r="D56" s="343">
        <f t="shared" si="8"/>
        <v>6474684.7851666836</v>
      </c>
      <c r="E56" s="343">
        <f t="shared" si="9"/>
        <v>624904.2020403624</v>
      </c>
      <c r="F56" s="345">
        <f>IF(B56=$E$10,$D$10,IF(B56=$G$10,$F$10,F55*(1+Inflation)))</f>
        <v>0</v>
      </c>
      <c r="G56" s="343">
        <f t="shared" si="10"/>
        <v>0</v>
      </c>
      <c r="H56" s="343">
        <f t="shared" si="11"/>
        <v>0</v>
      </c>
      <c r="I56" s="343">
        <f t="shared" ref="I56:I84" si="13">IF(H56-E56&gt;0,H56-E56,0)</f>
        <v>0</v>
      </c>
      <c r="J56" s="343">
        <f>I56*(1-cockpit!$S$40)</f>
        <v>0</v>
      </c>
      <c r="K56" s="343">
        <f>J56/cockpit!$S$41</f>
        <v>0</v>
      </c>
      <c r="L56" s="343" t="str">
        <f t="shared" ref="L56:L84" si="14">IF(K56=0," ",K56)</f>
        <v xml:space="preserve"> </v>
      </c>
    </row>
    <row r="57" spans="2:12">
      <c r="B57" s="335">
        <v>3</v>
      </c>
      <c r="C57" s="343">
        <f t="shared" si="12"/>
        <v>18869081.373914339</v>
      </c>
      <c r="D57" s="343">
        <f t="shared" si="8"/>
        <v>6604178.4808700178</v>
      </c>
      <c r="E57" s="343">
        <f t="shared" si="9"/>
        <v>637402.28608116973</v>
      </c>
      <c r="F57" s="343">
        <f t="shared" ref="F57:F84" si="15">IF(B57=$E$11,$D$11,IF(B57=$G$11,$F$11,F56*(1+Inflation)))</f>
        <v>0</v>
      </c>
      <c r="G57" s="343">
        <f t="shared" si="10"/>
        <v>0</v>
      </c>
      <c r="H57" s="343">
        <f t="shared" si="11"/>
        <v>0</v>
      </c>
      <c r="I57" s="343">
        <f t="shared" si="13"/>
        <v>0</v>
      </c>
      <c r="J57" s="343">
        <f>I57*(1-cockpit!$S$40)</f>
        <v>0</v>
      </c>
      <c r="K57" s="343">
        <f>J57/cockpit!$S$41</f>
        <v>0</v>
      </c>
      <c r="L57" s="343" t="str">
        <f t="shared" si="14"/>
        <v xml:space="preserve"> </v>
      </c>
    </row>
    <row r="58" spans="2:12">
      <c r="B58" s="335">
        <v>4</v>
      </c>
      <c r="C58" s="343">
        <f t="shared" si="12"/>
        <v>19246463.001392625</v>
      </c>
      <c r="D58" s="343">
        <f t="shared" si="8"/>
        <v>6736262.0504874187</v>
      </c>
      <c r="E58" s="343">
        <f t="shared" si="9"/>
        <v>650150.3318027932</v>
      </c>
      <c r="F58" s="343">
        <f t="shared" si="15"/>
        <v>0</v>
      </c>
      <c r="G58" s="343">
        <f t="shared" si="10"/>
        <v>0</v>
      </c>
      <c r="H58" s="343">
        <f t="shared" si="11"/>
        <v>0</v>
      </c>
      <c r="I58" s="343">
        <f t="shared" si="13"/>
        <v>0</v>
      </c>
      <c r="J58" s="343">
        <f>I58*(1-cockpit!$S$40)</f>
        <v>0</v>
      </c>
      <c r="K58" s="343">
        <f>J58/cockpit!$S$41</f>
        <v>0</v>
      </c>
      <c r="L58" s="343" t="str">
        <f t="shared" si="14"/>
        <v xml:space="preserve"> </v>
      </c>
    </row>
    <row r="59" spans="2:12">
      <c r="B59" s="335">
        <v>5</v>
      </c>
      <c r="C59" s="343">
        <f t="shared" si="12"/>
        <v>19631392.261420477</v>
      </c>
      <c r="D59" s="343">
        <f t="shared" si="8"/>
        <v>6870987.2914971663</v>
      </c>
      <c r="E59" s="343">
        <f t="shared" si="9"/>
        <v>663153.33843884908</v>
      </c>
      <c r="F59" s="343">
        <f t="shared" si="15"/>
        <v>0</v>
      </c>
      <c r="G59" s="343">
        <f t="shared" si="10"/>
        <v>0</v>
      </c>
      <c r="H59" s="343">
        <f t="shared" si="11"/>
        <v>0</v>
      </c>
      <c r="I59" s="343">
        <f t="shared" si="13"/>
        <v>0</v>
      </c>
      <c r="J59" s="343">
        <f>I59*(1-cockpit!$S$40)</f>
        <v>0</v>
      </c>
      <c r="K59" s="343">
        <f>J59/cockpit!$S$41</f>
        <v>0</v>
      </c>
      <c r="L59" s="343" t="str">
        <f t="shared" si="14"/>
        <v xml:space="preserve"> </v>
      </c>
    </row>
    <row r="60" spans="2:12">
      <c r="B60" s="335">
        <v>6</v>
      </c>
      <c r="C60" s="343">
        <f t="shared" si="12"/>
        <v>20024020.106648888</v>
      </c>
      <c r="D60" s="343">
        <f t="shared" si="8"/>
        <v>7008407.0373271108</v>
      </c>
      <c r="E60" s="343">
        <f t="shared" si="9"/>
        <v>676416.40520762606</v>
      </c>
      <c r="F60" s="343">
        <f t="shared" si="15"/>
        <v>270090984.57921696</v>
      </c>
      <c r="G60" s="343">
        <f t="shared" si="10"/>
        <v>94531844.602725923</v>
      </c>
      <c r="H60" s="343">
        <f t="shared" si="11"/>
        <v>9123740.9818320926</v>
      </c>
      <c r="I60" s="343">
        <f t="shared" si="13"/>
        <v>8447324.5766244661</v>
      </c>
      <c r="J60" s="343">
        <f>I60*(1-cockpit!$S$40)</f>
        <v>6335493.4324683491</v>
      </c>
      <c r="K60" s="343">
        <f>J60/cockpit!$S$41</f>
        <v>5068394.7459746795</v>
      </c>
      <c r="L60" s="343">
        <f t="shared" si="14"/>
        <v>5068394.7459746795</v>
      </c>
    </row>
    <row r="61" spans="2:12">
      <c r="B61" s="335">
        <v>7</v>
      </c>
      <c r="C61" s="343">
        <f t="shared" si="12"/>
        <v>20424500.508781865</v>
      </c>
      <c r="D61" s="343">
        <f t="shared" si="8"/>
        <v>7148575.1780736521</v>
      </c>
      <c r="E61" s="343">
        <f t="shared" si="9"/>
        <v>689944.73331177852</v>
      </c>
      <c r="F61" s="343">
        <f t="shared" si="15"/>
        <v>275492804.27080131</v>
      </c>
      <c r="G61" s="343">
        <f t="shared" si="10"/>
        <v>96422481.494780451</v>
      </c>
      <c r="H61" s="343">
        <f t="shared" si="11"/>
        <v>9306215.8014687356</v>
      </c>
      <c r="I61" s="343">
        <f t="shared" si="13"/>
        <v>8616271.0681569576</v>
      </c>
      <c r="J61" s="343">
        <f>I61*(1-cockpit!$S$40)</f>
        <v>6462203.3011177182</v>
      </c>
      <c r="K61" s="343">
        <f>J61/cockpit!$S$41</f>
        <v>5169762.6408941746</v>
      </c>
      <c r="L61" s="343">
        <f t="shared" si="14"/>
        <v>5169762.6408941746</v>
      </c>
    </row>
    <row r="62" spans="2:12">
      <c r="B62" s="335">
        <v>8</v>
      </c>
      <c r="C62" s="343">
        <f t="shared" si="12"/>
        <v>20832990.518957503</v>
      </c>
      <c r="D62" s="343">
        <f t="shared" si="8"/>
        <v>7291546.6816351255</v>
      </c>
      <c r="E62" s="343">
        <f t="shared" si="9"/>
        <v>703743.62797801418</v>
      </c>
      <c r="F62" s="343">
        <f t="shared" si="15"/>
        <v>313872855.76008588</v>
      </c>
      <c r="G62" s="343">
        <f t="shared" si="10"/>
        <v>109855499.51603006</v>
      </c>
      <c r="H62" s="343">
        <f t="shared" si="11"/>
        <v>10602703.535789641</v>
      </c>
      <c r="I62" s="343">
        <f t="shared" si="13"/>
        <v>9898959.9078116268</v>
      </c>
      <c r="J62" s="343">
        <f>I62*(1-cockpit!$S$40)</f>
        <v>7424219.9308587201</v>
      </c>
      <c r="K62" s="343">
        <f>J62/cockpit!$S$41</f>
        <v>5939375.9446869763</v>
      </c>
      <c r="L62" s="343">
        <f t="shared" si="14"/>
        <v>5939375.9446869763</v>
      </c>
    </row>
    <row r="63" spans="2:12">
      <c r="B63" s="335">
        <v>9</v>
      </c>
      <c r="C63" s="343">
        <f t="shared" si="12"/>
        <v>21249650.329336654</v>
      </c>
      <c r="D63" s="343">
        <f t="shared" si="8"/>
        <v>7437377.6152678281</v>
      </c>
      <c r="E63" s="343">
        <f t="shared" si="9"/>
        <v>717818.50053757441</v>
      </c>
      <c r="F63" s="343">
        <f t="shared" si="15"/>
        <v>320150312.87528759</v>
      </c>
      <c r="G63" s="343">
        <f t="shared" si="10"/>
        <v>112052609.50635065</v>
      </c>
      <c r="H63" s="343">
        <f t="shared" si="11"/>
        <v>10814757.606505433</v>
      </c>
      <c r="I63" s="343">
        <f t="shared" si="13"/>
        <v>10096939.105967859</v>
      </c>
      <c r="J63" s="343">
        <f>I63*(1-cockpit!$S$40)</f>
        <v>7572704.3294758946</v>
      </c>
      <c r="K63" s="343">
        <f>J63/cockpit!$S$41</f>
        <v>6058163.4635807155</v>
      </c>
      <c r="L63" s="343">
        <f t="shared" si="14"/>
        <v>6058163.4635807155</v>
      </c>
    </row>
    <row r="64" spans="2:12">
      <c r="B64" s="335">
        <v>10</v>
      </c>
      <c r="C64" s="343">
        <f t="shared" si="12"/>
        <v>21674643.335923389</v>
      </c>
      <c r="D64" s="343">
        <f t="shared" si="8"/>
        <v>7586125.1675731856</v>
      </c>
      <c r="E64" s="343">
        <f t="shared" si="9"/>
        <v>732174.87054832606</v>
      </c>
      <c r="F64" s="343">
        <f t="shared" si="15"/>
        <v>326553319.13279337</v>
      </c>
      <c r="G64" s="343">
        <f t="shared" si="10"/>
        <v>114293661.69647767</v>
      </c>
      <c r="H64" s="343">
        <f t="shared" si="11"/>
        <v>11031052.758635541</v>
      </c>
      <c r="I64" s="343">
        <f t="shared" si="13"/>
        <v>10298877.888087215</v>
      </c>
      <c r="J64" s="343">
        <f>I64*(1-cockpit!$S$40)</f>
        <v>7724158.4160654116</v>
      </c>
      <c r="K64" s="343">
        <f>J64/cockpit!$S$41</f>
        <v>6179326.7328523295</v>
      </c>
      <c r="L64" s="343">
        <f t="shared" si="14"/>
        <v>6179326.7328523295</v>
      </c>
    </row>
    <row r="65" spans="2:12">
      <c r="B65" s="335">
        <v>11</v>
      </c>
      <c r="C65" s="343">
        <f t="shared" si="12"/>
        <v>22108136.202641856</v>
      </c>
      <c r="D65" s="343">
        <f t="shared" si="8"/>
        <v>7737847.6709246486</v>
      </c>
      <c r="E65" s="343">
        <f t="shared" si="9"/>
        <v>746818.36795929249</v>
      </c>
      <c r="F65" s="343">
        <f t="shared" si="15"/>
        <v>333084385.51544923</v>
      </c>
      <c r="G65" s="343">
        <f t="shared" si="10"/>
        <v>116579534.93040723</v>
      </c>
      <c r="H65" s="343">
        <f t="shared" si="11"/>
        <v>11251673.813808253</v>
      </c>
      <c r="I65" s="343">
        <f t="shared" si="13"/>
        <v>10504855.44584896</v>
      </c>
      <c r="J65" s="343">
        <f>I65*(1-cockpit!$S$40)</f>
        <v>7878641.5843867203</v>
      </c>
      <c r="K65" s="343">
        <f>J65/cockpit!$S$41</f>
        <v>6302913.2675093766</v>
      </c>
      <c r="L65" s="343">
        <f t="shared" si="14"/>
        <v>6302913.2675093766</v>
      </c>
    </row>
    <row r="66" spans="2:12">
      <c r="B66" s="335">
        <v>12</v>
      </c>
      <c r="C66" s="343">
        <f t="shared" si="12"/>
        <v>22550298.926694695</v>
      </c>
      <c r="D66" s="343">
        <f t="shared" si="8"/>
        <v>7892604.6243431428</v>
      </c>
      <c r="E66" s="343">
        <f t="shared" si="9"/>
        <v>761754.73531847843</v>
      </c>
      <c r="F66" s="343">
        <f t="shared" si="15"/>
        <v>339746073.22575819</v>
      </c>
      <c r="G66" s="343">
        <f t="shared" si="10"/>
        <v>118911125.62901536</v>
      </c>
      <c r="H66" s="343">
        <f t="shared" si="11"/>
        <v>11476707.290084418</v>
      </c>
      <c r="I66" s="343">
        <f t="shared" si="13"/>
        <v>10714952.55476594</v>
      </c>
      <c r="J66" s="343">
        <f>I66*(1-cockpit!$S$40)</f>
        <v>8036214.4160744548</v>
      </c>
      <c r="K66" s="343">
        <f>J66/cockpit!$S$41</f>
        <v>6428971.5328595638</v>
      </c>
      <c r="L66" s="343">
        <f t="shared" si="14"/>
        <v>6428971.5328595638</v>
      </c>
    </row>
    <row r="67" spans="2:12">
      <c r="B67" s="335">
        <v>13</v>
      </c>
      <c r="C67" s="343">
        <f t="shared" si="12"/>
        <v>23001304.905228589</v>
      </c>
      <c r="D67" s="343">
        <f t="shared" si="8"/>
        <v>8050456.7168300059</v>
      </c>
      <c r="E67" s="343">
        <f t="shared" si="9"/>
        <v>776989.83002484799</v>
      </c>
      <c r="F67" s="343">
        <f t="shared" si="15"/>
        <v>346540994.69027334</v>
      </c>
      <c r="G67" s="343">
        <f t="shared" si="10"/>
        <v>121289348.14159566</v>
      </c>
      <c r="H67" s="343">
        <f t="shared" si="11"/>
        <v>11706241.435886106</v>
      </c>
      <c r="I67" s="343">
        <f t="shared" si="13"/>
        <v>10929251.605861258</v>
      </c>
      <c r="J67" s="343">
        <f>I67*(1-cockpit!$S$40)</f>
        <v>8196938.7043959433</v>
      </c>
      <c r="K67" s="343">
        <f>J67/cockpit!$S$41</f>
        <v>6557550.963516755</v>
      </c>
      <c r="L67" s="343">
        <f t="shared" si="14"/>
        <v>6557550.963516755</v>
      </c>
    </row>
    <row r="68" spans="2:12">
      <c r="B68" s="335">
        <v>14</v>
      </c>
      <c r="C68" s="343">
        <f t="shared" si="12"/>
        <v>23461331.003333163</v>
      </c>
      <c r="D68" s="343">
        <f t="shared" si="8"/>
        <v>8211465.8511666059</v>
      </c>
      <c r="E68" s="343">
        <f t="shared" si="9"/>
        <v>792529.62662534497</v>
      </c>
      <c r="F68" s="343">
        <f t="shared" si="15"/>
        <v>353471814.58407879</v>
      </c>
      <c r="G68" s="343">
        <f t="shared" si="10"/>
        <v>123715135.10442756</v>
      </c>
      <c r="H68" s="343">
        <f t="shared" si="11"/>
        <v>11940366.264603827</v>
      </c>
      <c r="I68" s="343">
        <f t="shared" si="13"/>
        <v>11147836.637978483</v>
      </c>
      <c r="J68" s="343">
        <f>I68*(1-cockpit!$S$40)</f>
        <v>8360877.4784838622</v>
      </c>
      <c r="K68" s="343">
        <f>J68/cockpit!$S$41</f>
        <v>6688701.9827870894</v>
      </c>
      <c r="L68" s="343">
        <f t="shared" si="14"/>
        <v>6688701.9827870894</v>
      </c>
    </row>
    <row r="69" spans="2:12">
      <c r="B69" s="335">
        <v>15</v>
      </c>
      <c r="C69" s="343">
        <f t="shared" si="12"/>
        <v>23930557.623399828</v>
      </c>
      <c r="D69" s="343">
        <f t="shared" si="8"/>
        <v>8375695.1681899391</v>
      </c>
      <c r="E69" s="343">
        <f t="shared" si="9"/>
        <v>808380.219157852</v>
      </c>
      <c r="F69" s="343">
        <f t="shared" si="15"/>
        <v>360541250.87576038</v>
      </c>
      <c r="G69" s="343">
        <f t="shared" si="10"/>
        <v>126189437.80651613</v>
      </c>
      <c r="H69" s="343">
        <f t="shared" si="11"/>
        <v>12179173.589895904</v>
      </c>
      <c r="I69" s="343">
        <f t="shared" si="13"/>
        <v>11370793.370738052</v>
      </c>
      <c r="J69" s="343">
        <f>I69*(1-cockpit!$S$40)</f>
        <v>8528095.0280535389</v>
      </c>
      <c r="K69" s="343">
        <f>J69/cockpit!$S$41</f>
        <v>6822476.0224428307</v>
      </c>
      <c r="L69" s="343">
        <f t="shared" si="14"/>
        <v>6822476.0224428307</v>
      </c>
    </row>
    <row r="70" spans="2:12">
      <c r="B70" s="335">
        <v>16</v>
      </c>
      <c r="C70" s="343">
        <f t="shared" si="12"/>
        <v>24409168.775867824</v>
      </c>
      <c r="D70" s="343">
        <f t="shared" si="8"/>
        <v>8543209.0715537369</v>
      </c>
      <c r="E70" s="343">
        <f t="shared" si="9"/>
        <v>824547.82354100887</v>
      </c>
      <c r="F70" s="343">
        <f t="shared" si="15"/>
        <v>367752075.89327562</v>
      </c>
      <c r="G70" s="343">
        <f t="shared" si="10"/>
        <v>128713226.56264646</v>
      </c>
      <c r="H70" s="343">
        <f t="shared" si="11"/>
        <v>12422757.061693823</v>
      </c>
      <c r="I70" s="343">
        <f t="shared" si="13"/>
        <v>11598209.238152813</v>
      </c>
      <c r="J70" s="343">
        <f>I70*(1-cockpit!$S$40)</f>
        <v>8698656.9286146089</v>
      </c>
      <c r="K70" s="343">
        <f>J70/cockpit!$S$41</f>
        <v>6958925.5428916868</v>
      </c>
      <c r="L70" s="343">
        <f t="shared" si="14"/>
        <v>6958925.5428916868</v>
      </c>
    </row>
    <row r="71" spans="2:12">
      <c r="B71" s="335">
        <v>17</v>
      </c>
      <c r="C71" s="343">
        <f t="shared" si="12"/>
        <v>24897352.151385181</v>
      </c>
      <c r="D71" s="343">
        <f t="shared" si="8"/>
        <v>8714073.2529848125</v>
      </c>
      <c r="E71" s="343">
        <f t="shared" si="9"/>
        <v>841038.78001182911</v>
      </c>
      <c r="F71" s="343">
        <f t="shared" si="15"/>
        <v>375107117.41114116</v>
      </c>
      <c r="G71" s="343">
        <f t="shared" si="10"/>
        <v>131287491.0938994</v>
      </c>
      <c r="H71" s="343">
        <f t="shared" si="11"/>
        <v>12671212.202927699</v>
      </c>
      <c r="I71" s="343">
        <f t="shared" si="13"/>
        <v>11830173.42291587</v>
      </c>
      <c r="J71" s="343">
        <f>I71*(1-cockpit!$S$40)</f>
        <v>8872630.0671869032</v>
      </c>
      <c r="K71" s="343">
        <f>J71/cockpit!$S$41</f>
        <v>7098104.0537495222</v>
      </c>
      <c r="L71" s="343">
        <f t="shared" si="14"/>
        <v>7098104.0537495222</v>
      </c>
    </row>
    <row r="72" spans="2:12">
      <c r="B72" s="335">
        <v>18</v>
      </c>
      <c r="C72" s="343">
        <f t="shared" si="12"/>
        <v>25395299.194412883</v>
      </c>
      <c r="D72" s="343">
        <f t="shared" si="8"/>
        <v>8888354.7180445082</v>
      </c>
      <c r="E72" s="343">
        <f t="shared" si="9"/>
        <v>857859.5556120656</v>
      </c>
      <c r="F72" s="343">
        <f t="shared" si="15"/>
        <v>382609259.75936401</v>
      </c>
      <c r="G72" s="343">
        <f t="shared" si="10"/>
        <v>133913240.9157774</v>
      </c>
      <c r="H72" s="343">
        <f t="shared" si="11"/>
        <v>12924636.446986256</v>
      </c>
      <c r="I72" s="343">
        <f t="shared" si="13"/>
        <v>12066776.891374191</v>
      </c>
      <c r="J72" s="343">
        <f>I72*(1-cockpit!$S$40)</f>
        <v>9050082.668530643</v>
      </c>
      <c r="K72" s="343">
        <f>J72/cockpit!$S$41</f>
        <v>7240066.1348245144</v>
      </c>
      <c r="L72" s="343">
        <f t="shared" si="14"/>
        <v>7240066.1348245144</v>
      </c>
    </row>
    <row r="73" spans="2:12">
      <c r="B73" s="335">
        <v>19</v>
      </c>
      <c r="C73" s="343">
        <f t="shared" si="12"/>
        <v>25903205.178301141</v>
      </c>
      <c r="D73" s="343">
        <f t="shared" si="8"/>
        <v>9066121.8124053981</v>
      </c>
      <c r="E73" s="343">
        <f t="shared" si="9"/>
        <v>875016.74672430696</v>
      </c>
      <c r="F73" s="343">
        <f t="shared" si="15"/>
        <v>390261444.95455128</v>
      </c>
      <c r="G73" s="343">
        <f t="shared" si="10"/>
        <v>136591505.73409295</v>
      </c>
      <c r="H73" s="343">
        <f t="shared" si="11"/>
        <v>13183129.175925983</v>
      </c>
      <c r="I73" s="343">
        <f t="shared" si="13"/>
        <v>12308112.429201676</v>
      </c>
      <c r="J73" s="343">
        <f>I73*(1-cockpit!$S$40)</f>
        <v>9231084.3219012562</v>
      </c>
      <c r="K73" s="343">
        <f>J73/cockpit!$S$41</f>
        <v>7384867.4575210046</v>
      </c>
      <c r="L73" s="343">
        <f t="shared" si="14"/>
        <v>7384867.4575210046</v>
      </c>
    </row>
    <row r="74" spans="2:12">
      <c r="B74" s="335">
        <v>20</v>
      </c>
      <c r="C74" s="343">
        <f t="shared" si="12"/>
        <v>26421269.281867165</v>
      </c>
      <c r="D74" s="343">
        <f t="shared" si="8"/>
        <v>9247444.2486535069</v>
      </c>
      <c r="E74" s="343">
        <f t="shared" si="9"/>
        <v>892517.08165879315</v>
      </c>
      <c r="F74" s="343">
        <f t="shared" si="15"/>
        <v>398066673.85364228</v>
      </c>
      <c r="G74" s="343">
        <f t="shared" si="10"/>
        <v>139323335.84877479</v>
      </c>
      <c r="H74" s="343">
        <f t="shared" si="11"/>
        <v>13446791.759444499</v>
      </c>
      <c r="I74" s="343">
        <f t="shared" si="13"/>
        <v>12554274.677785706</v>
      </c>
      <c r="J74" s="343">
        <f>I74*(1-cockpit!$S$40)</f>
        <v>9415706.0083392784</v>
      </c>
      <c r="K74" s="343">
        <f>J74/cockpit!$S$41</f>
        <v>7532564.8066714229</v>
      </c>
      <c r="L74" s="343">
        <f t="shared" si="14"/>
        <v>7532564.8066714229</v>
      </c>
    </row>
    <row r="75" spans="2:12">
      <c r="B75" s="335">
        <v>21</v>
      </c>
      <c r="C75" s="343">
        <f t="shared" si="12"/>
        <v>26949694.667504508</v>
      </c>
      <c r="D75" s="343">
        <f t="shared" si="8"/>
        <v>9432393.1336265765</v>
      </c>
      <c r="E75" s="343">
        <f t="shared" si="9"/>
        <v>910367.423291969</v>
      </c>
      <c r="F75" s="343">
        <f t="shared" si="15"/>
        <v>406028007.33071512</v>
      </c>
      <c r="G75" s="343">
        <f t="shared" si="10"/>
        <v>142109802.56575027</v>
      </c>
      <c r="H75" s="343">
        <f t="shared" si="11"/>
        <v>13715727.594633386</v>
      </c>
      <c r="I75" s="343">
        <f t="shared" si="13"/>
        <v>12805360.171341417</v>
      </c>
      <c r="J75" s="343">
        <f>I75*(1-cockpit!$S$40)</f>
        <v>9604020.1285060626</v>
      </c>
      <c r="K75" s="343">
        <f>J75/cockpit!$S$41</f>
        <v>7683216.1028048499</v>
      </c>
      <c r="L75" s="343">
        <f t="shared" si="14"/>
        <v>7683216.1028048499</v>
      </c>
    </row>
    <row r="76" spans="2:12">
      <c r="B76" s="335">
        <v>22</v>
      </c>
      <c r="C76" s="343">
        <f t="shared" si="12"/>
        <v>27488688.560854599</v>
      </c>
      <c r="D76" s="343">
        <f t="shared" si="8"/>
        <v>9621040.9962991085</v>
      </c>
      <c r="E76" s="343">
        <f t="shared" si="9"/>
        <v>928574.77175780851</v>
      </c>
      <c r="F76" s="343">
        <f t="shared" si="15"/>
        <v>414148567.47732943</v>
      </c>
      <c r="G76" s="343">
        <f t="shared" si="10"/>
        <v>144951998.61706528</v>
      </c>
      <c r="H76" s="343">
        <f t="shared" si="11"/>
        <v>13990042.146526055</v>
      </c>
      <c r="I76" s="343">
        <f t="shared" si="13"/>
        <v>13061467.374768246</v>
      </c>
      <c r="J76" s="343">
        <f>I76*(1-cockpit!$S$40)</f>
        <v>9796100.5310761854</v>
      </c>
      <c r="K76" s="343">
        <f>J76/cockpit!$S$41</f>
        <v>7836880.4248609487</v>
      </c>
      <c r="L76" s="343">
        <f t="shared" si="14"/>
        <v>7836880.4248609487</v>
      </c>
    </row>
    <row r="77" spans="2:12">
      <c r="B77" s="335">
        <v>23</v>
      </c>
      <c r="C77" s="343">
        <f t="shared" si="12"/>
        <v>28038462.332071692</v>
      </c>
      <c r="D77" s="343">
        <f t="shared" si="8"/>
        <v>9813461.816225091</v>
      </c>
      <c r="E77" s="343">
        <f t="shared" si="9"/>
        <v>947146.26719296479</v>
      </c>
      <c r="F77" s="343">
        <f t="shared" si="15"/>
        <v>422431538.82687604</v>
      </c>
      <c r="G77" s="343">
        <f t="shared" si="10"/>
        <v>147851038.58940661</v>
      </c>
      <c r="H77" s="343">
        <f t="shared" si="11"/>
        <v>14269842.989456579</v>
      </c>
      <c r="I77" s="343">
        <f t="shared" si="13"/>
        <v>13322696.722263614</v>
      </c>
      <c r="J77" s="343">
        <f>I77*(1-cockpit!$S$40)</f>
        <v>9992022.5416977108</v>
      </c>
      <c r="K77" s="343">
        <f>J77/cockpit!$S$41</f>
        <v>7993618.0333581688</v>
      </c>
      <c r="L77" s="343">
        <f t="shared" si="14"/>
        <v>7993618.0333581688</v>
      </c>
    </row>
    <row r="78" spans="2:12">
      <c r="B78" s="335">
        <v>24</v>
      </c>
      <c r="C78" s="343">
        <f t="shared" si="12"/>
        <v>28599231.578713126</v>
      </c>
      <c r="D78" s="343">
        <f t="shared" si="8"/>
        <v>10009731.052549593</v>
      </c>
      <c r="E78" s="343">
        <f t="shared" si="9"/>
        <v>966089.19253682392</v>
      </c>
      <c r="F78" s="343">
        <f t="shared" si="15"/>
        <v>430880169.60341358</v>
      </c>
      <c r="G78" s="343">
        <f t="shared" si="10"/>
        <v>150808059.36119473</v>
      </c>
      <c r="H78" s="343">
        <f t="shared" si="11"/>
        <v>14555239.849245708</v>
      </c>
      <c r="I78" s="343">
        <f t="shared" si="13"/>
        <v>13589150.656708885</v>
      </c>
      <c r="J78" s="343">
        <f>I78*(1-cockpit!$S$40)</f>
        <v>10191862.992531665</v>
      </c>
      <c r="K78" s="343">
        <f>J78/cockpit!$S$41</f>
        <v>8153490.3940253314</v>
      </c>
      <c r="L78" s="343">
        <f t="shared" si="14"/>
        <v>8153490.3940253314</v>
      </c>
    </row>
    <row r="79" spans="2:12">
      <c r="B79" s="335">
        <v>25</v>
      </c>
      <c r="C79" s="343">
        <f t="shared" si="12"/>
        <v>29171216.210287388</v>
      </c>
      <c r="D79" s="343">
        <f t="shared" si="8"/>
        <v>10209925.673600586</v>
      </c>
      <c r="E79" s="343">
        <f t="shared" si="9"/>
        <v>985410.9763875606</v>
      </c>
      <c r="F79" s="343">
        <f t="shared" si="15"/>
        <v>439497772.99548185</v>
      </c>
      <c r="G79" s="343">
        <f t="shared" si="10"/>
        <v>153824220.54841864</v>
      </c>
      <c r="H79" s="343">
        <f t="shared" si="11"/>
        <v>14846344.646230625</v>
      </c>
      <c r="I79" s="343">
        <f t="shared" si="13"/>
        <v>13860933.669843065</v>
      </c>
      <c r="J79" s="343">
        <f>I79*(1-cockpit!$S$40)</f>
        <v>10395700.252382299</v>
      </c>
      <c r="K79" s="343">
        <f>J79/cockpit!$S$41</f>
        <v>8316560.2019058391</v>
      </c>
      <c r="L79" s="343">
        <f t="shared" si="14"/>
        <v>8316560.2019058391</v>
      </c>
    </row>
    <row r="80" spans="2:12">
      <c r="B80" s="335">
        <v>26</v>
      </c>
      <c r="C80" s="343">
        <f t="shared" si="12"/>
        <v>29754640.534493137</v>
      </c>
      <c r="D80" s="343">
        <f t="shared" si="8"/>
        <v>10414124.187072597</v>
      </c>
      <c r="E80" s="343">
        <f t="shared" si="9"/>
        <v>1005119.1959153117</v>
      </c>
      <c r="F80" s="343">
        <f t="shared" si="15"/>
        <v>448287728.45539147</v>
      </c>
      <c r="G80" s="343">
        <f t="shared" si="10"/>
        <v>156900704.959387</v>
      </c>
      <c r="H80" s="343">
        <f t="shared" si="11"/>
        <v>15143271.539155237</v>
      </c>
      <c r="I80" s="343">
        <f t="shared" si="13"/>
        <v>14138152.343239926</v>
      </c>
      <c r="J80" s="343">
        <f>I80*(1-cockpit!$S$40)</f>
        <v>10603614.257429944</v>
      </c>
      <c r="K80" s="343">
        <f>J80/cockpit!$S$41</f>
        <v>8482891.4059439562</v>
      </c>
      <c r="L80" s="343">
        <f t="shared" si="14"/>
        <v>8482891.4059439562</v>
      </c>
    </row>
    <row r="81" spans="2:12">
      <c r="B81" s="335">
        <v>27</v>
      </c>
      <c r="C81" s="343">
        <f t="shared" si="12"/>
        <v>30349733.345183</v>
      </c>
      <c r="D81" s="343">
        <f t="shared" si="8"/>
        <v>10622406.670814048</v>
      </c>
      <c r="E81" s="343">
        <f t="shared" si="9"/>
        <v>1025221.5798336179</v>
      </c>
      <c r="F81" s="343">
        <f t="shared" si="15"/>
        <v>457253483.0244993</v>
      </c>
      <c r="G81" s="343">
        <f t="shared" si="10"/>
        <v>160038719.05857474</v>
      </c>
      <c r="H81" s="343">
        <f t="shared" si="11"/>
        <v>15446136.96993834</v>
      </c>
      <c r="I81" s="343">
        <f t="shared" si="13"/>
        <v>14420915.390104722</v>
      </c>
      <c r="J81" s="343">
        <f>I81*(1-cockpit!$S$40)</f>
        <v>10815686.542578541</v>
      </c>
      <c r="K81" s="343">
        <f>J81/cockpit!$S$41</f>
        <v>8652549.2340628318</v>
      </c>
      <c r="L81" s="343">
        <f t="shared" si="14"/>
        <v>8652549.2340628318</v>
      </c>
    </row>
    <row r="82" spans="2:12">
      <c r="B82" s="335">
        <v>28</v>
      </c>
      <c r="C82" s="343">
        <f t="shared" si="12"/>
        <v>30956728.01208666</v>
      </c>
      <c r="D82" s="343">
        <f t="shared" si="8"/>
        <v>10834854.804230331</v>
      </c>
      <c r="E82" s="343">
        <f t="shared" si="9"/>
        <v>1045726.0114302903</v>
      </c>
      <c r="F82" s="343">
        <f t="shared" si="15"/>
        <v>466398552.68498927</v>
      </c>
      <c r="G82" s="343">
        <f t="shared" si="10"/>
        <v>163239493.43974623</v>
      </c>
      <c r="H82" s="343">
        <f t="shared" si="11"/>
        <v>15755059.709337108</v>
      </c>
      <c r="I82" s="343">
        <f t="shared" si="13"/>
        <v>14709333.697906818</v>
      </c>
      <c r="J82" s="343">
        <f>I82*(1-cockpit!$S$40)</f>
        <v>11032000.273430113</v>
      </c>
      <c r="K82" s="343">
        <f>J82/cockpit!$S$41</f>
        <v>8825600.2187440898</v>
      </c>
      <c r="L82" s="343">
        <f t="shared" si="14"/>
        <v>8825600.2187440898</v>
      </c>
    </row>
    <row r="83" spans="2:12">
      <c r="B83" s="335">
        <v>29</v>
      </c>
      <c r="C83" s="343">
        <f t="shared" si="12"/>
        <v>31575862.572328392</v>
      </c>
      <c r="D83" s="343">
        <f t="shared" si="8"/>
        <v>11051551.900314936</v>
      </c>
      <c r="E83" s="343">
        <f t="shared" si="9"/>
        <v>1066640.531658896</v>
      </c>
      <c r="F83" s="343">
        <f t="shared" si="15"/>
        <v>475726523.73868906</v>
      </c>
      <c r="G83" s="343">
        <f t="shared" si="10"/>
        <v>166504283.30854115</v>
      </c>
      <c r="H83" s="343">
        <f t="shared" si="11"/>
        <v>16070160.903523847</v>
      </c>
      <c r="I83" s="343">
        <f t="shared" si="13"/>
        <v>15003520.371864952</v>
      </c>
      <c r="J83" s="343">
        <f>I83*(1-cockpit!$S$40)</f>
        <v>11252640.278898714</v>
      </c>
      <c r="K83" s="343">
        <f>J83/cockpit!$S$41</f>
        <v>9002112.223118972</v>
      </c>
      <c r="L83" s="343">
        <f t="shared" si="14"/>
        <v>9002112.223118972</v>
      </c>
    </row>
    <row r="84" spans="2:12">
      <c r="B84" s="335">
        <v>30</v>
      </c>
      <c r="C84" s="343">
        <f t="shared" si="12"/>
        <v>32207379.82377496</v>
      </c>
      <c r="D84" s="343">
        <f t="shared" si="8"/>
        <v>11272582.938321235</v>
      </c>
      <c r="E84" s="343">
        <f t="shared" si="9"/>
        <v>1087973.3422920739</v>
      </c>
      <c r="F84" s="343">
        <f t="shared" si="15"/>
        <v>485241054.21346283</v>
      </c>
      <c r="G84" s="343">
        <f t="shared" si="10"/>
        <v>169834368.97471198</v>
      </c>
      <c r="H84" s="343">
        <f t="shared" si="11"/>
        <v>16391564.121594327</v>
      </c>
      <c r="I84" s="343">
        <f t="shared" si="13"/>
        <v>15303590.779302252</v>
      </c>
      <c r="J84" s="343">
        <f>I84*(1-cockpit!$S$40)</f>
        <v>11477693.084476689</v>
      </c>
      <c r="K84" s="343">
        <f>J84/cockpit!$S$41</f>
        <v>9182154.4675813504</v>
      </c>
      <c r="L84" s="343">
        <f t="shared" si="14"/>
        <v>9182154.4675813504</v>
      </c>
    </row>
    <row r="86" spans="2:12">
      <c r="K86" s="342" t="s">
        <v>663</v>
      </c>
      <c r="L86" s="346">
        <f>MIN(L55:L84)</f>
        <v>5068394.7459746795</v>
      </c>
    </row>
    <row r="87" spans="2:12">
      <c r="K87" s="342" t="s">
        <v>666</v>
      </c>
      <c r="L87" s="347">
        <f>ABS(PV(cockpit!$S$42,cockpit!$S$43,L86))</f>
        <v>69765597.887437627</v>
      </c>
    </row>
    <row r="89" spans="2:12">
      <c r="C89" s="342" t="s">
        <v>321</v>
      </c>
    </row>
    <row r="90" spans="2:12">
      <c r="C90" s="918" t="s">
        <v>656</v>
      </c>
      <c r="D90" s="918"/>
      <c r="E90" s="918"/>
      <c r="F90" s="918" t="s">
        <v>657</v>
      </c>
      <c r="G90" s="918"/>
      <c r="H90" s="918"/>
    </row>
    <row r="91" spans="2:12">
      <c r="C91" s="344" t="s">
        <v>655</v>
      </c>
      <c r="D91" s="344" t="s">
        <v>652</v>
      </c>
      <c r="E91" s="344" t="s">
        <v>654</v>
      </c>
      <c r="F91" s="344" t="s">
        <v>655</v>
      </c>
      <c r="G91" s="344" t="s">
        <v>652</v>
      </c>
      <c r="H91" s="344" t="s">
        <v>654</v>
      </c>
      <c r="I91" s="344" t="s">
        <v>658</v>
      </c>
      <c r="J91" s="344" t="s">
        <v>661</v>
      </c>
      <c r="K91" s="344" t="s">
        <v>662</v>
      </c>
    </row>
    <row r="92" spans="2:12">
      <c r="B92" s="335">
        <v>1</v>
      </c>
      <c r="C92" s="343">
        <f>C12</f>
        <v>4269188</v>
      </c>
      <c r="D92" s="343">
        <f t="shared" ref="D92:D121" si="16">C92*assessedvalue</f>
        <v>1494215.7999999998</v>
      </c>
      <c r="E92" s="343">
        <f t="shared" ref="E92:E121" si="17">(D92/1000)*millagerate</f>
        <v>144214.23793699997</v>
      </c>
      <c r="F92" s="345">
        <v>0</v>
      </c>
      <c r="G92" s="343">
        <f t="shared" ref="G92:G121" si="18">F92*assessedvalue</f>
        <v>0</v>
      </c>
      <c r="H92" s="343">
        <f t="shared" ref="H92:H121" si="19">(G92/1000)*millagerate</f>
        <v>0</v>
      </c>
      <c r="I92" s="343">
        <f>IF(H92-E92&gt;0,H92-E92,0)</f>
        <v>0</v>
      </c>
      <c r="J92" s="343">
        <f>I92*(1-cockpit!$S$40)</f>
        <v>0</v>
      </c>
      <c r="K92" s="343">
        <f>J92/cockpit!$S$41</f>
        <v>0</v>
      </c>
      <c r="L92" s="343" t="str">
        <f>IF(K92=0," ",K92)</f>
        <v xml:space="preserve"> </v>
      </c>
    </row>
    <row r="93" spans="2:12">
      <c r="B93" s="335">
        <v>2</v>
      </c>
      <c r="C93" s="343">
        <f t="shared" ref="C93:C121" si="20">C92*(1+Inflation)</f>
        <v>4354571.76</v>
      </c>
      <c r="D93" s="343">
        <f t="shared" si="16"/>
        <v>1524100.1159999999</v>
      </c>
      <c r="E93" s="343">
        <f t="shared" si="17"/>
        <v>147098.52269573999</v>
      </c>
      <c r="F93" s="345">
        <f>IF(B93=$E$10,$D$10,IF(B93=$G$10,$F$10,F92*(1+Inflation)))</f>
        <v>0</v>
      </c>
      <c r="G93" s="343">
        <f t="shared" si="18"/>
        <v>0</v>
      </c>
      <c r="H93" s="343">
        <f t="shared" si="19"/>
        <v>0</v>
      </c>
      <c r="I93" s="343">
        <f t="shared" ref="I93:I121" si="21">IF(H93-E93&gt;0,H93-E93,0)</f>
        <v>0</v>
      </c>
      <c r="J93" s="343">
        <f>I93*(1-cockpit!$S$40)</f>
        <v>0</v>
      </c>
      <c r="K93" s="343">
        <f>J93/cockpit!$S$41</f>
        <v>0</v>
      </c>
      <c r="L93" s="343" t="str">
        <f t="shared" ref="L93:L121" si="22">IF(K93=0," ",K93)</f>
        <v xml:space="preserve"> </v>
      </c>
    </row>
    <row r="94" spans="2:12">
      <c r="B94" s="335">
        <v>3</v>
      </c>
      <c r="C94" s="343">
        <f t="shared" si="20"/>
        <v>4441663.1952</v>
      </c>
      <c r="D94" s="343">
        <f t="shared" si="16"/>
        <v>1554582.1183199999</v>
      </c>
      <c r="E94" s="343">
        <f t="shared" si="17"/>
        <v>150040.49314965479</v>
      </c>
      <c r="F94" s="343">
        <f t="shared" ref="F94:F121" si="23">IF(B94=$E$12,$D$12,IF(B94=$G$12,$F$12,F93*(1+Inflation)))</f>
        <v>0</v>
      </c>
      <c r="G94" s="343">
        <f t="shared" si="18"/>
        <v>0</v>
      </c>
      <c r="H94" s="343">
        <f t="shared" si="19"/>
        <v>0</v>
      </c>
      <c r="I94" s="343">
        <f t="shared" si="21"/>
        <v>0</v>
      </c>
      <c r="J94" s="343">
        <f>I94*(1-cockpit!$S$40)</f>
        <v>0</v>
      </c>
      <c r="K94" s="343">
        <f>J94/cockpit!$S$41</f>
        <v>0</v>
      </c>
      <c r="L94" s="343" t="str">
        <f t="shared" si="22"/>
        <v xml:space="preserve"> </v>
      </c>
    </row>
    <row r="95" spans="2:12">
      <c r="B95" s="335">
        <v>4</v>
      </c>
      <c r="C95" s="343">
        <f t="shared" si="20"/>
        <v>4530496.4591039997</v>
      </c>
      <c r="D95" s="343">
        <f t="shared" si="16"/>
        <v>1585673.7606863999</v>
      </c>
      <c r="E95" s="343">
        <f t="shared" si="17"/>
        <v>153041.3030126479</v>
      </c>
      <c r="F95" s="343">
        <f t="shared" si="23"/>
        <v>0</v>
      </c>
      <c r="G95" s="343">
        <f t="shared" si="18"/>
        <v>0</v>
      </c>
      <c r="H95" s="343">
        <f t="shared" si="19"/>
        <v>0</v>
      </c>
      <c r="I95" s="343">
        <f t="shared" si="21"/>
        <v>0</v>
      </c>
      <c r="J95" s="343">
        <f>I95*(1-cockpit!$S$40)</f>
        <v>0</v>
      </c>
      <c r="K95" s="343">
        <f>J95/cockpit!$S$41</f>
        <v>0</v>
      </c>
      <c r="L95" s="343" t="str">
        <f t="shared" si="22"/>
        <v xml:space="preserve"> </v>
      </c>
    </row>
    <row r="96" spans="2:12">
      <c r="B96" s="335">
        <v>5</v>
      </c>
      <c r="C96" s="343">
        <f t="shared" si="20"/>
        <v>4621106.3882860793</v>
      </c>
      <c r="D96" s="343">
        <f t="shared" si="16"/>
        <v>1617387.2359001276</v>
      </c>
      <c r="E96" s="343">
        <f t="shared" si="17"/>
        <v>156102.1290729008</v>
      </c>
      <c r="F96" s="343">
        <f t="shared" si="23"/>
        <v>0</v>
      </c>
      <c r="G96" s="343">
        <f t="shared" si="18"/>
        <v>0</v>
      </c>
      <c r="H96" s="343">
        <f t="shared" si="19"/>
        <v>0</v>
      </c>
      <c r="I96" s="343">
        <f t="shared" si="21"/>
        <v>0</v>
      </c>
      <c r="J96" s="343">
        <f>I96*(1-cockpit!$S$40)</f>
        <v>0</v>
      </c>
      <c r="K96" s="343">
        <f>J96/cockpit!$S$41</f>
        <v>0</v>
      </c>
      <c r="L96" s="343" t="str">
        <f t="shared" si="22"/>
        <v xml:space="preserve"> </v>
      </c>
    </row>
    <row r="97" spans="2:12">
      <c r="B97" s="335">
        <v>6</v>
      </c>
      <c r="C97" s="343">
        <f t="shared" si="20"/>
        <v>4713528.5160518009</v>
      </c>
      <c r="D97" s="343">
        <f t="shared" si="16"/>
        <v>1649734.9806181302</v>
      </c>
      <c r="E97" s="343">
        <f t="shared" si="17"/>
        <v>159224.17165435886</v>
      </c>
      <c r="F97" s="343">
        <f t="shared" si="23"/>
        <v>0</v>
      </c>
      <c r="G97" s="343">
        <f t="shared" si="18"/>
        <v>0</v>
      </c>
      <c r="H97" s="343">
        <f t="shared" si="19"/>
        <v>0</v>
      </c>
      <c r="I97" s="343">
        <f t="shared" si="21"/>
        <v>0</v>
      </c>
      <c r="J97" s="343">
        <f>I97*(1-cockpit!$S$40)</f>
        <v>0</v>
      </c>
      <c r="K97" s="343">
        <f>J97/cockpit!$S$41</f>
        <v>0</v>
      </c>
      <c r="L97" s="343" t="str">
        <f t="shared" si="22"/>
        <v xml:space="preserve"> </v>
      </c>
    </row>
    <row r="98" spans="2:12">
      <c r="B98" s="335">
        <v>7</v>
      </c>
      <c r="C98" s="343">
        <f t="shared" si="20"/>
        <v>4807799.0863728374</v>
      </c>
      <c r="D98" s="343">
        <f t="shared" si="16"/>
        <v>1682729.680230493</v>
      </c>
      <c r="E98" s="343">
        <f t="shared" si="17"/>
        <v>162408.65508744604</v>
      </c>
      <c r="F98" s="343">
        <f t="shared" si="23"/>
        <v>0</v>
      </c>
      <c r="G98" s="343">
        <f t="shared" si="18"/>
        <v>0</v>
      </c>
      <c r="H98" s="343">
        <f t="shared" si="19"/>
        <v>0</v>
      </c>
      <c r="I98" s="343">
        <f t="shared" si="21"/>
        <v>0</v>
      </c>
      <c r="J98" s="343">
        <f>I98*(1-cockpit!$S$40)</f>
        <v>0</v>
      </c>
      <c r="K98" s="343">
        <f>J98/cockpit!$S$41</f>
        <v>0</v>
      </c>
      <c r="L98" s="343" t="str">
        <f t="shared" si="22"/>
        <v xml:space="preserve"> </v>
      </c>
    </row>
    <row r="99" spans="2:12">
      <c r="B99" s="335">
        <v>8</v>
      </c>
      <c r="C99" s="343">
        <f t="shared" si="20"/>
        <v>4903955.0681002941</v>
      </c>
      <c r="D99" s="343">
        <f t="shared" si="16"/>
        <v>1716384.2738351028</v>
      </c>
      <c r="E99" s="343">
        <f t="shared" si="17"/>
        <v>165656.82818919493</v>
      </c>
      <c r="F99" s="343">
        <f t="shared" si="23"/>
        <v>184956360.8767238</v>
      </c>
      <c r="G99" s="343">
        <f t="shared" si="18"/>
        <v>64734726.306853324</v>
      </c>
      <c r="H99" s="343">
        <f t="shared" si="19"/>
        <v>6247872.1095059486</v>
      </c>
      <c r="I99" s="343">
        <f t="shared" si="21"/>
        <v>6082215.2813167535</v>
      </c>
      <c r="J99" s="343">
        <f>I99*(1-cockpit!$S$40)</f>
        <v>4561661.4609875651</v>
      </c>
      <c r="K99" s="343">
        <f>J99/cockpit!$S$41</f>
        <v>3649329.1687900522</v>
      </c>
      <c r="L99" s="343">
        <f t="shared" si="22"/>
        <v>3649329.1687900522</v>
      </c>
    </row>
    <row r="100" spans="2:12">
      <c r="B100" s="335">
        <v>9</v>
      </c>
      <c r="C100" s="343">
        <f t="shared" si="20"/>
        <v>5002034.1694622999</v>
      </c>
      <c r="D100" s="343">
        <f t="shared" si="16"/>
        <v>1750711.959311805</v>
      </c>
      <c r="E100" s="343">
        <f t="shared" si="17"/>
        <v>168969.96475297885</v>
      </c>
      <c r="F100" s="343">
        <f t="shared" si="23"/>
        <v>188655488.09425828</v>
      </c>
      <c r="G100" s="343">
        <f t="shared" si="18"/>
        <v>66029420.832990393</v>
      </c>
      <c r="H100" s="343">
        <f t="shared" si="19"/>
        <v>6372829.5516960677</v>
      </c>
      <c r="I100" s="343">
        <f t="shared" si="21"/>
        <v>6203859.586943089</v>
      </c>
      <c r="J100" s="343">
        <f>I100*(1-cockpit!$S$40)</f>
        <v>4652894.6902073165</v>
      </c>
      <c r="K100" s="343">
        <f>J100/cockpit!$S$41</f>
        <v>3722315.752165853</v>
      </c>
      <c r="L100" s="343">
        <f t="shared" si="22"/>
        <v>3722315.752165853</v>
      </c>
    </row>
    <row r="101" spans="2:12">
      <c r="B101" s="335">
        <v>10</v>
      </c>
      <c r="C101" s="343">
        <f t="shared" si="20"/>
        <v>5102074.8528515464</v>
      </c>
      <c r="D101" s="343">
        <f t="shared" si="16"/>
        <v>1785726.1984980411</v>
      </c>
      <c r="E101" s="343">
        <f t="shared" si="17"/>
        <v>172349.36404803843</v>
      </c>
      <c r="F101" s="343">
        <f t="shared" si="23"/>
        <v>278282994.41172045</v>
      </c>
      <c r="G101" s="343">
        <f t="shared" si="18"/>
        <v>97399048.044102147</v>
      </c>
      <c r="H101" s="343">
        <f t="shared" si="19"/>
        <v>9400469.121976519</v>
      </c>
      <c r="I101" s="343">
        <f t="shared" si="21"/>
        <v>9228119.7579284813</v>
      </c>
      <c r="J101" s="343">
        <f>I101*(1-cockpit!$S$40)</f>
        <v>6921089.8184463605</v>
      </c>
      <c r="K101" s="343">
        <f>J101/cockpit!$S$41</f>
        <v>5536871.8547570882</v>
      </c>
      <c r="L101" s="343">
        <f t="shared" si="22"/>
        <v>5536871.8547570882</v>
      </c>
    </row>
    <row r="102" spans="2:12">
      <c r="B102" s="335">
        <v>11</v>
      </c>
      <c r="C102" s="343">
        <f t="shared" si="20"/>
        <v>5204116.3499085773</v>
      </c>
      <c r="D102" s="343">
        <f t="shared" si="16"/>
        <v>1821440.722468002</v>
      </c>
      <c r="E102" s="343">
        <f t="shared" si="17"/>
        <v>175796.35132899921</v>
      </c>
      <c r="F102" s="343">
        <f t="shared" si="23"/>
        <v>283848654.29995489</v>
      </c>
      <c r="G102" s="343">
        <f t="shared" si="18"/>
        <v>99347029.0049842</v>
      </c>
      <c r="H102" s="343">
        <f t="shared" si="19"/>
        <v>9588478.5044160504</v>
      </c>
      <c r="I102" s="343">
        <f t="shared" si="21"/>
        <v>9412682.1530870516</v>
      </c>
      <c r="J102" s="343">
        <f>I102*(1-cockpit!$S$40)</f>
        <v>7059511.6148152892</v>
      </c>
      <c r="K102" s="343">
        <f>J102/cockpit!$S$41</f>
        <v>5647609.2918522311</v>
      </c>
      <c r="L102" s="343">
        <f t="shared" si="22"/>
        <v>5647609.2918522311</v>
      </c>
    </row>
    <row r="103" spans="2:12">
      <c r="B103" s="335">
        <v>12</v>
      </c>
      <c r="C103" s="343">
        <f t="shared" si="20"/>
        <v>5308198.6769067487</v>
      </c>
      <c r="D103" s="343">
        <f t="shared" si="16"/>
        <v>1857869.5369173619</v>
      </c>
      <c r="E103" s="343">
        <f t="shared" si="17"/>
        <v>179312.27835557918</v>
      </c>
      <c r="F103" s="343">
        <f t="shared" si="23"/>
        <v>289525627.38595402</v>
      </c>
      <c r="G103" s="343">
        <f t="shared" si="18"/>
        <v>101333969.5850839</v>
      </c>
      <c r="H103" s="343">
        <f t="shared" si="19"/>
        <v>9780248.0745043736</v>
      </c>
      <c r="I103" s="343">
        <f t="shared" si="21"/>
        <v>9600935.7961487938</v>
      </c>
      <c r="J103" s="343">
        <f>I103*(1-cockpit!$S$40)</f>
        <v>7200701.8471115958</v>
      </c>
      <c r="K103" s="343">
        <f>J103/cockpit!$S$41</f>
        <v>5760561.4776892764</v>
      </c>
      <c r="L103" s="343">
        <f t="shared" si="22"/>
        <v>5760561.4776892764</v>
      </c>
    </row>
    <row r="104" spans="2:12">
      <c r="B104" s="335">
        <v>13</v>
      </c>
      <c r="C104" s="343">
        <f t="shared" si="20"/>
        <v>5414362.6504448839</v>
      </c>
      <c r="D104" s="343">
        <f t="shared" si="16"/>
        <v>1895026.9276557092</v>
      </c>
      <c r="E104" s="343">
        <f t="shared" si="17"/>
        <v>182898.52392269077</v>
      </c>
      <c r="F104" s="343">
        <f t="shared" si="23"/>
        <v>295316139.93367308</v>
      </c>
      <c r="G104" s="343">
        <f t="shared" si="18"/>
        <v>103360648.97678557</v>
      </c>
      <c r="H104" s="343">
        <f t="shared" si="19"/>
        <v>9975853.0359944589</v>
      </c>
      <c r="I104" s="343">
        <f t="shared" si="21"/>
        <v>9792954.5120717678</v>
      </c>
      <c r="J104" s="343">
        <f>I104*(1-cockpit!$S$40)</f>
        <v>7344715.8840538263</v>
      </c>
      <c r="K104" s="343">
        <f>J104/cockpit!$S$41</f>
        <v>5875772.7072430607</v>
      </c>
      <c r="L104" s="343">
        <f t="shared" si="22"/>
        <v>5875772.7072430607</v>
      </c>
    </row>
    <row r="105" spans="2:12">
      <c r="B105" s="335">
        <v>14</v>
      </c>
      <c r="C105" s="343">
        <f t="shared" si="20"/>
        <v>5522649.9034537813</v>
      </c>
      <c r="D105" s="343">
        <f t="shared" si="16"/>
        <v>1932927.4662088233</v>
      </c>
      <c r="E105" s="343">
        <f t="shared" si="17"/>
        <v>186556.49440114459</v>
      </c>
      <c r="F105" s="343">
        <f t="shared" si="23"/>
        <v>301222462.73234653</v>
      </c>
      <c r="G105" s="343">
        <f t="shared" si="18"/>
        <v>105427861.95632128</v>
      </c>
      <c r="H105" s="343">
        <f t="shared" si="19"/>
        <v>10175370.096714349</v>
      </c>
      <c r="I105" s="343">
        <f t="shared" si="21"/>
        <v>9988813.6023132056</v>
      </c>
      <c r="J105" s="343">
        <f>I105*(1-cockpit!$S$40)</f>
        <v>7491610.2017349042</v>
      </c>
      <c r="K105" s="343">
        <f>J105/cockpit!$S$41</f>
        <v>5993288.1613879232</v>
      </c>
      <c r="L105" s="343">
        <f t="shared" si="22"/>
        <v>5993288.1613879232</v>
      </c>
    </row>
    <row r="106" spans="2:12">
      <c r="B106" s="335">
        <v>15</v>
      </c>
      <c r="C106" s="343">
        <f t="shared" si="20"/>
        <v>5633102.9015228571</v>
      </c>
      <c r="D106" s="343">
        <f t="shared" si="16"/>
        <v>1971586.0155329998</v>
      </c>
      <c r="E106" s="343">
        <f t="shared" si="17"/>
        <v>190287.62428916746</v>
      </c>
      <c r="F106" s="343">
        <f t="shared" si="23"/>
        <v>307246911.98699349</v>
      </c>
      <c r="G106" s="343">
        <f t="shared" si="18"/>
        <v>107536419.19544771</v>
      </c>
      <c r="H106" s="343">
        <f t="shared" si="19"/>
        <v>10378877.498648636</v>
      </c>
      <c r="I106" s="343">
        <f t="shared" si="21"/>
        <v>10188589.874359468</v>
      </c>
      <c r="J106" s="343">
        <f>I106*(1-cockpit!$S$40)</f>
        <v>7641442.4057696015</v>
      </c>
      <c r="K106" s="343">
        <f>J106/cockpit!$S$41</f>
        <v>6113153.9246156812</v>
      </c>
      <c r="L106" s="343">
        <f t="shared" si="22"/>
        <v>6113153.9246156812</v>
      </c>
    </row>
    <row r="107" spans="2:12">
      <c r="B107" s="335">
        <v>16</v>
      </c>
      <c r="C107" s="343">
        <f t="shared" si="20"/>
        <v>5745764.9595533144</v>
      </c>
      <c r="D107" s="343">
        <f t="shared" si="16"/>
        <v>2011017.7358436598</v>
      </c>
      <c r="E107" s="343">
        <f t="shared" si="17"/>
        <v>194093.37677495083</v>
      </c>
      <c r="F107" s="343">
        <f t="shared" si="23"/>
        <v>313391850.22673339</v>
      </c>
      <c r="G107" s="343">
        <f t="shared" si="18"/>
        <v>109687147.57935669</v>
      </c>
      <c r="H107" s="343">
        <f t="shared" si="19"/>
        <v>10586455.04862161</v>
      </c>
      <c r="I107" s="343">
        <f t="shared" si="21"/>
        <v>10392361.67184666</v>
      </c>
      <c r="J107" s="343">
        <f>I107*(1-cockpit!$S$40)</f>
        <v>7794271.2538849954</v>
      </c>
      <c r="K107" s="343">
        <f>J107/cockpit!$S$41</f>
        <v>6235417.0031079967</v>
      </c>
      <c r="L107" s="343">
        <f t="shared" si="22"/>
        <v>6235417.0031079967</v>
      </c>
    </row>
    <row r="108" spans="2:12">
      <c r="B108" s="335">
        <v>17</v>
      </c>
      <c r="C108" s="343">
        <f t="shared" si="20"/>
        <v>5860680.2587443804</v>
      </c>
      <c r="D108" s="343">
        <f t="shared" si="16"/>
        <v>2051238.0905605331</v>
      </c>
      <c r="E108" s="343">
        <f t="shared" si="17"/>
        <v>197975.24431044987</v>
      </c>
      <c r="F108" s="343">
        <f t="shared" si="23"/>
        <v>319659687.23126805</v>
      </c>
      <c r="G108" s="343">
        <f t="shared" si="18"/>
        <v>111880890.53094381</v>
      </c>
      <c r="H108" s="343">
        <f t="shared" si="19"/>
        <v>10798184.149594042</v>
      </c>
      <c r="I108" s="343">
        <f t="shared" si="21"/>
        <v>10600208.905283593</v>
      </c>
      <c r="J108" s="343">
        <f>I108*(1-cockpit!$S$40)</f>
        <v>7950156.6789626945</v>
      </c>
      <c r="K108" s="343">
        <f>J108/cockpit!$S$41</f>
        <v>6360125.3431701558</v>
      </c>
      <c r="L108" s="343">
        <f t="shared" si="22"/>
        <v>6360125.3431701558</v>
      </c>
    </row>
    <row r="109" spans="2:12">
      <c r="B109" s="335">
        <v>18</v>
      </c>
      <c r="C109" s="343">
        <f t="shared" si="20"/>
        <v>5977893.8639192684</v>
      </c>
      <c r="D109" s="343">
        <f t="shared" si="16"/>
        <v>2092262.8523717439</v>
      </c>
      <c r="E109" s="343">
        <f t="shared" si="17"/>
        <v>201934.74919665887</v>
      </c>
      <c r="F109" s="343">
        <f t="shared" si="23"/>
        <v>326052880.97589344</v>
      </c>
      <c r="G109" s="343">
        <f t="shared" si="18"/>
        <v>114118508.3415627</v>
      </c>
      <c r="H109" s="343">
        <f t="shared" si="19"/>
        <v>11014147.832585923</v>
      </c>
      <c r="I109" s="343">
        <f t="shared" si="21"/>
        <v>10812213.083389264</v>
      </c>
      <c r="J109" s="343">
        <f>I109*(1-cockpit!$S$40)</f>
        <v>8109159.8125419477</v>
      </c>
      <c r="K109" s="343">
        <f>J109/cockpit!$S$41</f>
        <v>6487327.850033558</v>
      </c>
      <c r="L109" s="343">
        <f t="shared" si="22"/>
        <v>6487327.850033558</v>
      </c>
    </row>
    <row r="110" spans="2:12">
      <c r="B110" s="335">
        <v>19</v>
      </c>
      <c r="C110" s="343">
        <f t="shared" si="20"/>
        <v>6097451.741197654</v>
      </c>
      <c r="D110" s="343">
        <f t="shared" si="16"/>
        <v>2134108.1094191787</v>
      </c>
      <c r="E110" s="343">
        <f t="shared" si="17"/>
        <v>205973.44418059202</v>
      </c>
      <c r="F110" s="343">
        <f t="shared" si="23"/>
        <v>332573938.5954113</v>
      </c>
      <c r="G110" s="343">
        <f t="shared" si="18"/>
        <v>116400878.50839394</v>
      </c>
      <c r="H110" s="343">
        <f t="shared" si="19"/>
        <v>11234430.789237641</v>
      </c>
      <c r="I110" s="343">
        <f t="shared" si="21"/>
        <v>11028457.345057048</v>
      </c>
      <c r="J110" s="343">
        <f>I110*(1-cockpit!$S$40)</f>
        <v>8271343.0087927859</v>
      </c>
      <c r="K110" s="343">
        <f>J110/cockpit!$S$41</f>
        <v>6617074.4070342286</v>
      </c>
      <c r="L110" s="343">
        <f t="shared" si="22"/>
        <v>6617074.4070342286</v>
      </c>
    </row>
    <row r="111" spans="2:12">
      <c r="B111" s="335">
        <v>20</v>
      </c>
      <c r="C111" s="343">
        <f t="shared" si="20"/>
        <v>6219400.7760216072</v>
      </c>
      <c r="D111" s="343">
        <f t="shared" si="16"/>
        <v>2176790.2716075624</v>
      </c>
      <c r="E111" s="343">
        <f t="shared" si="17"/>
        <v>210092.91306420387</v>
      </c>
      <c r="F111" s="343">
        <f t="shared" si="23"/>
        <v>339225417.36731952</v>
      </c>
      <c r="G111" s="343">
        <f t="shared" si="18"/>
        <v>118728896.07856183</v>
      </c>
      <c r="H111" s="343">
        <f t="shared" si="19"/>
        <v>11459119.405022394</v>
      </c>
      <c r="I111" s="343">
        <f t="shared" si="21"/>
        <v>11249026.49195819</v>
      </c>
      <c r="J111" s="343">
        <f>I111*(1-cockpit!$S$40)</f>
        <v>8436769.8689686432</v>
      </c>
      <c r="K111" s="343">
        <f>J111/cockpit!$S$41</f>
        <v>6749415.895174915</v>
      </c>
      <c r="L111" s="343">
        <f t="shared" si="22"/>
        <v>6749415.895174915</v>
      </c>
    </row>
    <row r="112" spans="2:12">
      <c r="B112" s="335">
        <v>21</v>
      </c>
      <c r="C112" s="343">
        <f t="shared" si="20"/>
        <v>6343788.7915420393</v>
      </c>
      <c r="D112" s="343">
        <f t="shared" si="16"/>
        <v>2220326.0770397135</v>
      </c>
      <c r="E112" s="343">
        <f t="shared" si="17"/>
        <v>214294.77132548796</v>
      </c>
      <c r="F112" s="343">
        <f t="shared" si="23"/>
        <v>346009925.71466595</v>
      </c>
      <c r="G112" s="343">
        <f t="shared" si="18"/>
        <v>121103474.00013307</v>
      </c>
      <c r="H112" s="343">
        <f t="shared" si="19"/>
        <v>11688301.793122843</v>
      </c>
      <c r="I112" s="343">
        <f t="shared" si="21"/>
        <v>11474007.021797355</v>
      </c>
      <c r="J112" s="343">
        <f>I112*(1-cockpit!$S$40)</f>
        <v>8605505.2663480155</v>
      </c>
      <c r="K112" s="343">
        <f>J112/cockpit!$S$41</f>
        <v>6884404.2130784122</v>
      </c>
      <c r="L112" s="343">
        <f t="shared" si="22"/>
        <v>6884404.2130784122</v>
      </c>
    </row>
    <row r="113" spans="2:12">
      <c r="B113" s="335">
        <v>22</v>
      </c>
      <c r="C113" s="343">
        <f t="shared" si="20"/>
        <v>6470664.5673728799</v>
      </c>
      <c r="D113" s="343">
        <f t="shared" si="16"/>
        <v>2264732.598580508</v>
      </c>
      <c r="E113" s="343">
        <f t="shared" si="17"/>
        <v>218580.66675199775</v>
      </c>
      <c r="F113" s="343">
        <f t="shared" si="23"/>
        <v>352930124.22895926</v>
      </c>
      <c r="G113" s="343">
        <f t="shared" si="18"/>
        <v>123525543.48013574</v>
      </c>
      <c r="H113" s="343">
        <f t="shared" si="19"/>
        <v>11922067.8289853</v>
      </c>
      <c r="I113" s="343">
        <f t="shared" si="21"/>
        <v>11703487.162233302</v>
      </c>
      <c r="J113" s="343">
        <f>I113*(1-cockpit!$S$40)</f>
        <v>8777615.3716749772</v>
      </c>
      <c r="K113" s="343">
        <f>J113/cockpit!$S$41</f>
        <v>7022092.2973399814</v>
      </c>
      <c r="L113" s="343">
        <f t="shared" si="22"/>
        <v>7022092.2973399814</v>
      </c>
    </row>
    <row r="114" spans="2:12">
      <c r="B114" s="335">
        <v>23</v>
      </c>
      <c r="C114" s="343">
        <f t="shared" si="20"/>
        <v>6600077.858720338</v>
      </c>
      <c r="D114" s="343">
        <f t="shared" si="16"/>
        <v>2310027.2505521183</v>
      </c>
      <c r="E114" s="343">
        <f t="shared" si="17"/>
        <v>222952.28008703771</v>
      </c>
      <c r="F114" s="343">
        <f t="shared" si="23"/>
        <v>359988726.71353847</v>
      </c>
      <c r="G114" s="343">
        <f t="shared" si="18"/>
        <v>125996054.34973845</v>
      </c>
      <c r="H114" s="343">
        <f t="shared" si="19"/>
        <v>12160509.185565006</v>
      </c>
      <c r="I114" s="343">
        <f t="shared" si="21"/>
        <v>11937556.905477969</v>
      </c>
      <c r="J114" s="343">
        <f>I114*(1-cockpit!$S$40)</f>
        <v>8953167.6791084763</v>
      </c>
      <c r="K114" s="343">
        <f>J114/cockpit!$S$41</f>
        <v>7162534.1432867814</v>
      </c>
      <c r="L114" s="343">
        <f t="shared" si="22"/>
        <v>7162534.1432867814</v>
      </c>
    </row>
    <row r="115" spans="2:12">
      <c r="B115" s="335">
        <v>24</v>
      </c>
      <c r="C115" s="343">
        <f t="shared" si="20"/>
        <v>6732079.4158947449</v>
      </c>
      <c r="D115" s="343">
        <f t="shared" si="16"/>
        <v>2356227.7955631604</v>
      </c>
      <c r="E115" s="343">
        <f t="shared" si="17"/>
        <v>227411.32568877842</v>
      </c>
      <c r="F115" s="343">
        <f t="shared" si="23"/>
        <v>367188501.24780923</v>
      </c>
      <c r="G115" s="343">
        <f t="shared" si="18"/>
        <v>128515975.43673322</v>
      </c>
      <c r="H115" s="343">
        <f t="shared" si="19"/>
        <v>12403719.369276308</v>
      </c>
      <c r="I115" s="343">
        <f t="shared" si="21"/>
        <v>12176308.043587528</v>
      </c>
      <c r="J115" s="343">
        <f>I115*(1-cockpit!$S$40)</f>
        <v>9132231.0326906461</v>
      </c>
      <c r="K115" s="343">
        <f>J115/cockpit!$S$41</f>
        <v>7305784.8261525165</v>
      </c>
      <c r="L115" s="343">
        <f t="shared" si="22"/>
        <v>7305784.8261525165</v>
      </c>
    </row>
    <row r="116" spans="2:12">
      <c r="B116" s="335">
        <v>25</v>
      </c>
      <c r="C116" s="343">
        <f t="shared" si="20"/>
        <v>6866721.0042126402</v>
      </c>
      <c r="D116" s="343">
        <f t="shared" si="16"/>
        <v>2403352.3514744239</v>
      </c>
      <c r="E116" s="343">
        <f t="shared" si="17"/>
        <v>231959.55220255401</v>
      </c>
      <c r="F116" s="343">
        <f t="shared" si="23"/>
        <v>374532271.2727654</v>
      </c>
      <c r="G116" s="343">
        <f t="shared" si="18"/>
        <v>131086294.94546787</v>
      </c>
      <c r="H116" s="343">
        <f t="shared" si="19"/>
        <v>12651793.756661832</v>
      </c>
      <c r="I116" s="343">
        <f t="shared" si="21"/>
        <v>12419834.204459278</v>
      </c>
      <c r="J116" s="343">
        <f>I116*(1-cockpit!$S$40)</f>
        <v>9314875.653344458</v>
      </c>
      <c r="K116" s="343">
        <f>J116/cockpit!$S$41</f>
        <v>7451900.5226755664</v>
      </c>
      <c r="L116" s="343">
        <f t="shared" si="22"/>
        <v>7451900.5226755664</v>
      </c>
    </row>
    <row r="117" spans="2:12">
      <c r="B117" s="335">
        <v>26</v>
      </c>
      <c r="C117" s="343">
        <f t="shared" si="20"/>
        <v>7004055.4242968932</v>
      </c>
      <c r="D117" s="343">
        <f t="shared" si="16"/>
        <v>2451419.3985039126</v>
      </c>
      <c r="E117" s="343">
        <f t="shared" si="17"/>
        <v>236598.74324660515</v>
      </c>
      <c r="F117" s="343">
        <f t="shared" si="23"/>
        <v>382022916.69822073</v>
      </c>
      <c r="G117" s="343">
        <f t="shared" si="18"/>
        <v>133708020.84437725</v>
      </c>
      <c r="H117" s="343">
        <f t="shared" si="19"/>
        <v>12904829.631795071</v>
      </c>
      <c r="I117" s="343">
        <f t="shared" si="21"/>
        <v>12668230.888548465</v>
      </c>
      <c r="J117" s="343">
        <f>I117*(1-cockpit!$S$40)</f>
        <v>9501173.1664113495</v>
      </c>
      <c r="K117" s="343">
        <f>J117/cockpit!$S$41</f>
        <v>7600938.5331290793</v>
      </c>
      <c r="L117" s="343">
        <f t="shared" si="22"/>
        <v>7600938.5331290793</v>
      </c>
    </row>
    <row r="118" spans="2:12">
      <c r="B118" s="335">
        <v>27</v>
      </c>
      <c r="C118" s="343">
        <f t="shared" si="20"/>
        <v>7144136.5327828312</v>
      </c>
      <c r="D118" s="343">
        <f t="shared" si="16"/>
        <v>2500447.7864739909</v>
      </c>
      <c r="E118" s="343">
        <f t="shared" si="17"/>
        <v>241330.71811153725</v>
      </c>
      <c r="F118" s="343">
        <f t="shared" si="23"/>
        <v>389663375.03218514</v>
      </c>
      <c r="G118" s="343">
        <f t="shared" si="18"/>
        <v>136382181.2612648</v>
      </c>
      <c r="H118" s="343">
        <f t="shared" si="19"/>
        <v>13162926.224430973</v>
      </c>
      <c r="I118" s="343">
        <f t="shared" si="21"/>
        <v>12921595.506319435</v>
      </c>
      <c r="J118" s="343">
        <f>I118*(1-cockpit!$S$40)</f>
        <v>9691196.629739577</v>
      </c>
      <c r="K118" s="343">
        <f>J118/cockpit!$S$41</f>
        <v>7752957.3037916617</v>
      </c>
      <c r="L118" s="343">
        <f t="shared" si="22"/>
        <v>7752957.3037916617</v>
      </c>
    </row>
    <row r="119" spans="2:12">
      <c r="B119" s="335">
        <v>28</v>
      </c>
      <c r="C119" s="343">
        <f t="shared" si="20"/>
        <v>7287019.2634384884</v>
      </c>
      <c r="D119" s="343">
        <f t="shared" si="16"/>
        <v>2550456.7422034708</v>
      </c>
      <c r="E119" s="343">
        <f t="shared" si="17"/>
        <v>246157.33247376798</v>
      </c>
      <c r="F119" s="343">
        <f t="shared" si="23"/>
        <v>397456642.53282887</v>
      </c>
      <c r="G119" s="343">
        <f t="shared" si="18"/>
        <v>139109824.88649011</v>
      </c>
      <c r="H119" s="343">
        <f t="shared" si="19"/>
        <v>13426184.748919591</v>
      </c>
      <c r="I119" s="343">
        <f t="shared" si="21"/>
        <v>13180027.416445823</v>
      </c>
      <c r="J119" s="343">
        <f>I119*(1-cockpit!$S$40)</f>
        <v>9885020.562334368</v>
      </c>
      <c r="K119" s="343">
        <f>J119/cockpit!$S$41</f>
        <v>7908016.4498674944</v>
      </c>
      <c r="L119" s="343">
        <f t="shared" si="22"/>
        <v>7908016.4498674944</v>
      </c>
    </row>
    <row r="120" spans="2:12">
      <c r="B120" s="335">
        <v>29</v>
      </c>
      <c r="C120" s="343">
        <f t="shared" si="20"/>
        <v>7432759.6487072585</v>
      </c>
      <c r="D120" s="343">
        <f t="shared" si="16"/>
        <v>2601465.8770475402</v>
      </c>
      <c r="E120" s="343">
        <f t="shared" si="17"/>
        <v>251080.47912324336</v>
      </c>
      <c r="F120" s="343">
        <f t="shared" si="23"/>
        <v>405405775.38348544</v>
      </c>
      <c r="G120" s="343">
        <f t="shared" si="18"/>
        <v>141892021.38421988</v>
      </c>
      <c r="H120" s="343">
        <f t="shared" si="19"/>
        <v>13694708.443897981</v>
      </c>
      <c r="I120" s="343">
        <f t="shared" si="21"/>
        <v>13443627.964774737</v>
      </c>
      <c r="J120" s="343">
        <f>I120*(1-cockpit!$S$40)</f>
        <v>10082720.973581053</v>
      </c>
      <c r="K120" s="343">
        <f>J120/cockpit!$S$41</f>
        <v>8066176.7788648428</v>
      </c>
      <c r="L120" s="343">
        <f t="shared" si="22"/>
        <v>8066176.7788648428</v>
      </c>
    </row>
    <row r="121" spans="2:12">
      <c r="B121" s="335">
        <v>30</v>
      </c>
      <c r="C121" s="343">
        <f t="shared" si="20"/>
        <v>7581414.841681404</v>
      </c>
      <c r="D121" s="343">
        <f t="shared" si="16"/>
        <v>2653495.1945884912</v>
      </c>
      <c r="E121" s="343">
        <f t="shared" si="17"/>
        <v>256102.08870570824</v>
      </c>
      <c r="F121" s="343">
        <f t="shared" si="23"/>
        <v>413513890.89115512</v>
      </c>
      <c r="G121" s="343">
        <f t="shared" si="18"/>
        <v>144729861.81190428</v>
      </c>
      <c r="H121" s="343">
        <f t="shared" si="19"/>
        <v>13968602.612775942</v>
      </c>
      <c r="I121" s="343">
        <f t="shared" si="21"/>
        <v>13712500.524070235</v>
      </c>
      <c r="J121" s="343">
        <f>I121*(1-cockpit!$S$40)</f>
        <v>10284375.393052677</v>
      </c>
      <c r="K121" s="343">
        <f>J121/cockpit!$S$41</f>
        <v>8227500.314442141</v>
      </c>
      <c r="L121" s="343">
        <f t="shared" si="22"/>
        <v>8227500.314442141</v>
      </c>
    </row>
    <row r="123" spans="2:12">
      <c r="K123" s="342" t="s">
        <v>663</v>
      </c>
      <c r="L123" s="346">
        <f>MIN(L92:L121)</f>
        <v>3649329.1687900522</v>
      </c>
    </row>
    <row r="124" spans="2:12">
      <c r="K124" s="342" t="s">
        <v>666</v>
      </c>
      <c r="L124" s="347">
        <f>ABS(PV(cockpit!$S$42,cockpit!$S$43,L123))</f>
        <v>50232399.824600339</v>
      </c>
    </row>
  </sheetData>
  <mergeCells count="6">
    <mergeCell ref="C16:E16"/>
    <mergeCell ref="F16:H16"/>
    <mergeCell ref="C53:E53"/>
    <mergeCell ref="F53:H53"/>
    <mergeCell ref="C90:E90"/>
    <mergeCell ref="F90:H9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92609-3F12-40E2-8CE2-A67F6234B54E}">
  <sheetPr>
    <tabColor theme="2" tint="-0.499984740745262"/>
  </sheetPr>
  <dimension ref="B2:O34"/>
  <sheetViews>
    <sheetView showGridLines="0" zoomScale="70" zoomScaleNormal="70" workbookViewId="0">
      <selection activeCell="N25" sqref="N25"/>
    </sheetView>
  </sheetViews>
  <sheetFormatPr defaultRowHeight="11.5"/>
  <cols>
    <col min="1" max="1" width="8.7265625" style="414"/>
    <col min="2" max="2" width="26.7265625" style="414" customWidth="1"/>
    <col min="3" max="3" width="52" style="414" customWidth="1"/>
    <col min="4" max="4" width="25.26953125" style="414" customWidth="1"/>
    <col min="5" max="5" width="7.6328125" style="414" customWidth="1"/>
    <col min="6" max="6" width="15.54296875" style="414" customWidth="1"/>
    <col min="7" max="7" width="12.6328125" style="414" customWidth="1"/>
    <col min="8" max="8" width="15.7265625" style="414" customWidth="1"/>
    <col min="9" max="9" width="15.54296875" style="414" customWidth="1"/>
    <col min="10" max="10" width="21.36328125" style="414" hidden="1" customWidth="1"/>
    <col min="11" max="13" width="12.26953125" style="414" customWidth="1"/>
    <col min="14" max="14" width="12.36328125" style="414" customWidth="1"/>
    <col min="15" max="15" width="10.81640625" style="414" bestFit="1" customWidth="1"/>
    <col min="16" max="16384" width="8.7265625" style="414"/>
  </cols>
  <sheetData>
    <row r="2" spans="2:15">
      <c r="K2" s="919" t="s">
        <v>89</v>
      </c>
      <c r="L2" s="919"/>
      <c r="M2" s="919"/>
    </row>
    <row r="3" spans="2:15">
      <c r="B3" s="557" t="s">
        <v>112</v>
      </c>
      <c r="C3" s="557" t="s">
        <v>253</v>
      </c>
      <c r="D3" s="557"/>
      <c r="E3" s="557" t="s">
        <v>89</v>
      </c>
      <c r="F3" s="557" t="s">
        <v>305</v>
      </c>
      <c r="G3" s="557" t="s">
        <v>314</v>
      </c>
      <c r="H3" s="557" t="s">
        <v>208</v>
      </c>
      <c r="I3" s="557" t="s">
        <v>317</v>
      </c>
      <c r="J3" s="557" t="s">
        <v>275</v>
      </c>
      <c r="K3" s="559">
        <v>1</v>
      </c>
      <c r="L3" s="559">
        <v>2</v>
      </c>
      <c r="M3" s="559">
        <v>3</v>
      </c>
    </row>
    <row r="4" spans="2:15">
      <c r="B4" s="542" t="s">
        <v>302</v>
      </c>
      <c r="C4" s="542"/>
      <c r="D4" s="542" t="s">
        <v>460</v>
      </c>
      <c r="E4" s="543">
        <v>1</v>
      </c>
      <c r="F4" s="542" t="s">
        <v>300</v>
      </c>
      <c r="G4" s="542" t="s">
        <v>319</v>
      </c>
      <c r="H4" s="526">
        <f>(983+633)*120</f>
        <v>193920</v>
      </c>
      <c r="I4" s="544">
        <v>20</v>
      </c>
      <c r="J4" s="545">
        <f>H4*I4</f>
        <v>3878400</v>
      </c>
      <c r="K4" s="546">
        <f t="shared" ref="K4:M24" si="0">IF($E4=K$3,$J4,0)*(1+Developerfee)</f>
        <v>3994752</v>
      </c>
      <c r="L4" s="546">
        <f t="shared" si="0"/>
        <v>0</v>
      </c>
      <c r="M4" s="546">
        <f t="shared" si="0"/>
        <v>0</v>
      </c>
      <c r="N4" s="530">
        <f>SUM(K4:M4)</f>
        <v>3994752</v>
      </c>
    </row>
    <row r="5" spans="2:15">
      <c r="B5" s="542" t="s">
        <v>304</v>
      </c>
      <c r="C5" s="542" t="s">
        <v>854</v>
      </c>
      <c r="D5" s="542" t="s">
        <v>460</v>
      </c>
      <c r="E5" s="543">
        <v>1</v>
      </c>
      <c r="F5" s="542" t="s">
        <v>300</v>
      </c>
      <c r="G5" s="542" t="s">
        <v>315</v>
      </c>
      <c r="H5" s="526"/>
      <c r="I5" s="544"/>
      <c r="J5" s="545">
        <v>500000</v>
      </c>
      <c r="K5" s="546">
        <f t="shared" si="0"/>
        <v>515000</v>
      </c>
      <c r="L5" s="546">
        <f t="shared" si="0"/>
        <v>0</v>
      </c>
      <c r="M5" s="546">
        <f t="shared" si="0"/>
        <v>0</v>
      </c>
      <c r="N5" s="530">
        <f t="shared" ref="N5:N25" si="1">SUM(K5:M5)</f>
        <v>515000</v>
      </c>
    </row>
    <row r="6" spans="2:15">
      <c r="B6" s="542" t="s">
        <v>306</v>
      </c>
      <c r="C6" s="542" t="s">
        <v>761</v>
      </c>
      <c r="D6" s="542" t="s">
        <v>461</v>
      </c>
      <c r="E6" s="543">
        <v>1</v>
      </c>
      <c r="F6" s="542" t="s">
        <v>300</v>
      </c>
      <c r="G6" s="542" t="s">
        <v>315</v>
      </c>
      <c r="H6" s="526"/>
      <c r="I6" s="544"/>
      <c r="J6" s="545">
        <f>46000000*(1+Inflation)^18</f>
        <v>65699327.388508543</v>
      </c>
      <c r="K6" s="546">
        <f t="shared" si="0"/>
        <v>67670307.210163802</v>
      </c>
      <c r="L6" s="546">
        <f t="shared" si="0"/>
        <v>0</v>
      </c>
      <c r="M6" s="546">
        <f t="shared" si="0"/>
        <v>0</v>
      </c>
      <c r="N6" s="530">
        <f t="shared" si="1"/>
        <v>67670307.210163802</v>
      </c>
    </row>
    <row r="7" spans="2:15">
      <c r="B7" s="542" t="s">
        <v>307</v>
      </c>
      <c r="C7" s="542" t="s">
        <v>855</v>
      </c>
      <c r="D7" s="542" t="s">
        <v>461</v>
      </c>
      <c r="E7" s="543">
        <v>1</v>
      </c>
      <c r="F7" s="542" t="s">
        <v>300</v>
      </c>
      <c r="G7" s="542" t="s">
        <v>315</v>
      </c>
      <c r="H7" s="526"/>
      <c r="I7" s="544"/>
      <c r="J7" s="545">
        <v>40000000</v>
      </c>
      <c r="K7" s="546">
        <f t="shared" si="0"/>
        <v>41200000</v>
      </c>
      <c r="L7" s="546">
        <f t="shared" si="0"/>
        <v>0</v>
      </c>
      <c r="M7" s="546">
        <f t="shared" si="0"/>
        <v>0</v>
      </c>
      <c r="N7" s="530">
        <f t="shared" si="1"/>
        <v>41200000</v>
      </c>
      <c r="O7" s="530">
        <f>SUM(N6:N7)</f>
        <v>108870307.2101638</v>
      </c>
    </row>
    <row r="8" spans="2:15">
      <c r="B8" s="542" t="s">
        <v>303</v>
      </c>
      <c r="C8" s="542" t="s">
        <v>316</v>
      </c>
      <c r="D8" s="542" t="s">
        <v>303</v>
      </c>
      <c r="E8" s="543"/>
      <c r="F8" s="542"/>
      <c r="G8" s="542" t="s">
        <v>319</v>
      </c>
      <c r="H8" s="526">
        <f>SUM(H12:H17)</f>
        <v>567840</v>
      </c>
      <c r="I8" s="544"/>
      <c r="J8" s="545"/>
      <c r="K8" s="546">
        <f t="shared" si="0"/>
        <v>0</v>
      </c>
      <c r="L8" s="546">
        <f t="shared" si="0"/>
        <v>0</v>
      </c>
      <c r="M8" s="546">
        <f t="shared" si="0"/>
        <v>0</v>
      </c>
      <c r="N8" s="530">
        <f t="shared" si="1"/>
        <v>0</v>
      </c>
    </row>
    <row r="9" spans="2:15">
      <c r="B9" s="547" t="s">
        <v>219</v>
      </c>
      <c r="C9" s="548">
        <v>0.6</v>
      </c>
      <c r="D9" s="542" t="s">
        <v>303</v>
      </c>
      <c r="E9" s="543">
        <v>1</v>
      </c>
      <c r="F9" s="542" t="s">
        <v>300</v>
      </c>
      <c r="G9" s="542" t="s">
        <v>319</v>
      </c>
      <c r="H9" s="526">
        <f>$H$8*C9</f>
        <v>340704</v>
      </c>
      <c r="I9" s="544">
        <v>6</v>
      </c>
      <c r="J9" s="545">
        <f t="shared" ref="J9:J17" si="2">H9*I9</f>
        <v>2044224</v>
      </c>
      <c r="K9" s="546">
        <f t="shared" si="0"/>
        <v>2105550.7200000002</v>
      </c>
      <c r="L9" s="546">
        <f t="shared" si="0"/>
        <v>0</v>
      </c>
      <c r="M9" s="546">
        <f t="shared" si="0"/>
        <v>0</v>
      </c>
      <c r="N9" s="530">
        <f t="shared" si="1"/>
        <v>2105550.7200000002</v>
      </c>
    </row>
    <row r="10" spans="2:15">
      <c r="B10" s="547" t="s">
        <v>220</v>
      </c>
      <c r="C10" s="548">
        <v>0.3</v>
      </c>
      <c r="D10" s="542" t="s">
        <v>303</v>
      </c>
      <c r="E10" s="543">
        <v>2</v>
      </c>
      <c r="F10" s="542" t="s">
        <v>300</v>
      </c>
      <c r="G10" s="542" t="s">
        <v>319</v>
      </c>
      <c r="H10" s="526">
        <f>$H$8*C10</f>
        <v>170352</v>
      </c>
      <c r="I10" s="544">
        <v>6</v>
      </c>
      <c r="J10" s="545">
        <f t="shared" si="2"/>
        <v>1022112</v>
      </c>
      <c r="K10" s="546">
        <f t="shared" si="0"/>
        <v>0</v>
      </c>
      <c r="L10" s="546">
        <f t="shared" si="0"/>
        <v>1052775.3600000001</v>
      </c>
      <c r="M10" s="546">
        <f t="shared" si="0"/>
        <v>0</v>
      </c>
      <c r="N10" s="530">
        <f t="shared" si="1"/>
        <v>1052775.3600000001</v>
      </c>
    </row>
    <row r="11" spans="2:15">
      <c r="B11" s="547" t="s">
        <v>321</v>
      </c>
      <c r="C11" s="548">
        <v>0.1</v>
      </c>
      <c r="D11" s="542" t="s">
        <v>303</v>
      </c>
      <c r="E11" s="543">
        <v>3</v>
      </c>
      <c r="F11" s="542" t="s">
        <v>300</v>
      </c>
      <c r="G11" s="542" t="s">
        <v>319</v>
      </c>
      <c r="H11" s="526">
        <f>$H$8*C11</f>
        <v>56784</v>
      </c>
      <c r="I11" s="544">
        <v>6</v>
      </c>
      <c r="J11" s="545">
        <f t="shared" si="2"/>
        <v>340704</v>
      </c>
      <c r="K11" s="546">
        <f t="shared" si="0"/>
        <v>0</v>
      </c>
      <c r="L11" s="546">
        <f t="shared" si="0"/>
        <v>0</v>
      </c>
      <c r="M11" s="546">
        <f t="shared" si="0"/>
        <v>350925.12</v>
      </c>
      <c r="N11" s="530">
        <f t="shared" si="1"/>
        <v>350925.12</v>
      </c>
    </row>
    <row r="12" spans="2:15">
      <c r="B12" s="542" t="s">
        <v>308</v>
      </c>
      <c r="C12" s="542" t="s">
        <v>309</v>
      </c>
      <c r="D12" s="542" t="s">
        <v>463</v>
      </c>
      <c r="E12" s="543">
        <v>1</v>
      </c>
      <c r="F12" s="542" t="s">
        <v>300</v>
      </c>
      <c r="G12" s="542" t="s">
        <v>319</v>
      </c>
      <c r="H12" s="526">
        <f>1692*80</f>
        <v>135360</v>
      </c>
      <c r="I12" s="544">
        <v>10</v>
      </c>
      <c r="J12" s="545">
        <f t="shared" si="2"/>
        <v>1353600</v>
      </c>
      <c r="K12" s="546">
        <f t="shared" si="0"/>
        <v>1394208</v>
      </c>
      <c r="L12" s="546">
        <f t="shared" si="0"/>
        <v>0</v>
      </c>
      <c r="M12" s="546">
        <f t="shared" si="0"/>
        <v>0</v>
      </c>
      <c r="N12" s="530">
        <f t="shared" si="1"/>
        <v>1394208</v>
      </c>
    </row>
    <row r="13" spans="2:15">
      <c r="B13" s="542" t="s">
        <v>310</v>
      </c>
      <c r="C13" s="542" t="s">
        <v>309</v>
      </c>
      <c r="D13" s="542" t="s">
        <v>463</v>
      </c>
      <c r="E13" s="543">
        <v>1</v>
      </c>
      <c r="F13" s="542" t="s">
        <v>300</v>
      </c>
      <c r="G13" s="542" t="s">
        <v>319</v>
      </c>
      <c r="H13" s="526">
        <f>590*80</f>
        <v>47200</v>
      </c>
      <c r="I13" s="544">
        <v>10</v>
      </c>
      <c r="J13" s="545">
        <f t="shared" si="2"/>
        <v>472000</v>
      </c>
      <c r="K13" s="546">
        <f t="shared" si="0"/>
        <v>486160</v>
      </c>
      <c r="L13" s="546">
        <f t="shared" si="0"/>
        <v>0</v>
      </c>
      <c r="M13" s="546">
        <f t="shared" si="0"/>
        <v>0</v>
      </c>
      <c r="N13" s="530">
        <f t="shared" si="1"/>
        <v>486160</v>
      </c>
    </row>
    <row r="14" spans="2:15">
      <c r="B14" s="542" t="s">
        <v>311</v>
      </c>
      <c r="C14" s="542" t="s">
        <v>309</v>
      </c>
      <c r="D14" s="542" t="s">
        <v>463</v>
      </c>
      <c r="E14" s="543">
        <v>1</v>
      </c>
      <c r="F14" s="542" t="s">
        <v>300</v>
      </c>
      <c r="G14" s="542" t="s">
        <v>319</v>
      </c>
      <c r="H14" s="526">
        <f>590*80</f>
        <v>47200</v>
      </c>
      <c r="I14" s="544">
        <v>10</v>
      </c>
      <c r="J14" s="545">
        <f t="shared" si="2"/>
        <v>472000</v>
      </c>
      <c r="K14" s="546">
        <f t="shared" si="0"/>
        <v>486160</v>
      </c>
      <c r="L14" s="546">
        <f t="shared" si="0"/>
        <v>0</v>
      </c>
      <c r="M14" s="546">
        <f t="shared" si="0"/>
        <v>0</v>
      </c>
      <c r="N14" s="530">
        <f t="shared" si="1"/>
        <v>486160</v>
      </c>
    </row>
    <row r="15" spans="2:15">
      <c r="B15" s="542" t="s">
        <v>320</v>
      </c>
      <c r="C15" s="542" t="s">
        <v>309</v>
      </c>
      <c r="D15" s="542" t="s">
        <v>463</v>
      </c>
      <c r="E15" s="543">
        <v>1</v>
      </c>
      <c r="F15" s="542" t="s">
        <v>300</v>
      </c>
      <c r="G15" s="542" t="s">
        <v>319</v>
      </c>
      <c r="H15" s="526">
        <f>510*80</f>
        <v>40800</v>
      </c>
      <c r="I15" s="544">
        <v>10</v>
      </c>
      <c r="J15" s="545">
        <f t="shared" si="2"/>
        <v>408000</v>
      </c>
      <c r="K15" s="546">
        <f t="shared" si="0"/>
        <v>420240</v>
      </c>
      <c r="L15" s="546">
        <f t="shared" si="0"/>
        <v>0</v>
      </c>
      <c r="M15" s="546">
        <f t="shared" si="0"/>
        <v>0</v>
      </c>
      <c r="N15" s="530">
        <f t="shared" si="1"/>
        <v>420240</v>
      </c>
    </row>
    <row r="16" spans="2:15">
      <c r="B16" s="542" t="s">
        <v>312</v>
      </c>
      <c r="C16" s="542" t="s">
        <v>309</v>
      </c>
      <c r="D16" s="542" t="s">
        <v>463</v>
      </c>
      <c r="E16" s="543">
        <v>1</v>
      </c>
      <c r="F16" s="542" t="s">
        <v>300</v>
      </c>
      <c r="G16" s="542" t="s">
        <v>319</v>
      </c>
      <c r="H16" s="526">
        <f>1858*80</f>
        <v>148640</v>
      </c>
      <c r="I16" s="544">
        <v>10</v>
      </c>
      <c r="J16" s="545">
        <f t="shared" si="2"/>
        <v>1486400</v>
      </c>
      <c r="K16" s="546">
        <f t="shared" si="0"/>
        <v>1530992</v>
      </c>
      <c r="L16" s="546">
        <f t="shared" si="0"/>
        <v>0</v>
      </c>
      <c r="M16" s="546">
        <f t="shared" si="0"/>
        <v>0</v>
      </c>
      <c r="N16" s="530">
        <f t="shared" si="1"/>
        <v>1530992</v>
      </c>
    </row>
    <row r="17" spans="2:15">
      <c r="B17" s="542" t="s">
        <v>313</v>
      </c>
      <c r="C17" s="542" t="s">
        <v>309</v>
      </c>
      <c r="D17" s="542" t="s">
        <v>463</v>
      </c>
      <c r="E17" s="543">
        <v>1</v>
      </c>
      <c r="F17" s="542" t="s">
        <v>300</v>
      </c>
      <c r="G17" s="542" t="s">
        <v>319</v>
      </c>
      <c r="H17" s="526">
        <f>1858*80</f>
        <v>148640</v>
      </c>
      <c r="I17" s="544">
        <v>10</v>
      </c>
      <c r="J17" s="545">
        <f t="shared" si="2"/>
        <v>1486400</v>
      </c>
      <c r="K17" s="546">
        <f t="shared" si="0"/>
        <v>1530992</v>
      </c>
      <c r="L17" s="546">
        <f t="shared" si="0"/>
        <v>0</v>
      </c>
      <c r="M17" s="546">
        <f t="shared" si="0"/>
        <v>0</v>
      </c>
      <c r="N17" s="530">
        <f t="shared" si="1"/>
        <v>1530992</v>
      </c>
      <c r="O17" s="530">
        <f>SUM(N12:N17)</f>
        <v>5848752</v>
      </c>
    </row>
    <row r="18" spans="2:15">
      <c r="B18" s="542" t="s">
        <v>462</v>
      </c>
      <c r="C18" s="542" t="s">
        <v>528</v>
      </c>
      <c r="D18" s="542" t="s">
        <v>462</v>
      </c>
      <c r="E18" s="543"/>
      <c r="F18" s="542"/>
      <c r="G18" s="542" t="s">
        <v>315</v>
      </c>
      <c r="H18" s="526"/>
      <c r="I18" s="544">
        <v>2500000</v>
      </c>
      <c r="J18" s="545"/>
      <c r="K18" s="546">
        <f t="shared" si="0"/>
        <v>0</v>
      </c>
      <c r="L18" s="546">
        <f t="shared" si="0"/>
        <v>0</v>
      </c>
      <c r="M18" s="546">
        <f t="shared" si="0"/>
        <v>0</v>
      </c>
      <c r="N18" s="549">
        <f t="shared" si="1"/>
        <v>0</v>
      </c>
    </row>
    <row r="19" spans="2:15">
      <c r="B19" s="547" t="s">
        <v>219</v>
      </c>
      <c r="C19" s="548">
        <v>0.6</v>
      </c>
      <c r="D19" s="542" t="s">
        <v>462</v>
      </c>
      <c r="E19" s="543">
        <v>1</v>
      </c>
      <c r="F19" s="542" t="s">
        <v>300</v>
      </c>
      <c r="G19" s="542" t="s">
        <v>315</v>
      </c>
      <c r="H19" s="526">
        <f>H18*0.6</f>
        <v>0</v>
      </c>
      <c r="I19" s="544"/>
      <c r="J19" s="545">
        <f>$I$18*C19</f>
        <v>1500000</v>
      </c>
      <c r="K19" s="546">
        <f t="shared" si="0"/>
        <v>1545000</v>
      </c>
      <c r="L19" s="546">
        <f t="shared" si="0"/>
        <v>0</v>
      </c>
      <c r="M19" s="546">
        <f t="shared" si="0"/>
        <v>0</v>
      </c>
      <c r="N19" s="549">
        <f t="shared" si="1"/>
        <v>1545000</v>
      </c>
    </row>
    <row r="20" spans="2:15">
      <c r="B20" s="547" t="s">
        <v>220</v>
      </c>
      <c r="C20" s="548">
        <v>0.3</v>
      </c>
      <c r="D20" s="542" t="s">
        <v>462</v>
      </c>
      <c r="E20" s="543">
        <v>2</v>
      </c>
      <c r="F20" s="542" t="s">
        <v>300</v>
      </c>
      <c r="G20" s="542" t="s">
        <v>315</v>
      </c>
      <c r="H20" s="526">
        <f>H18*0.3</f>
        <v>0</v>
      </c>
      <c r="I20" s="544"/>
      <c r="J20" s="545">
        <f>$I$18*C20</f>
        <v>750000</v>
      </c>
      <c r="K20" s="546">
        <f t="shared" si="0"/>
        <v>0</v>
      </c>
      <c r="L20" s="546">
        <f t="shared" si="0"/>
        <v>772500</v>
      </c>
      <c r="M20" s="546">
        <f t="shared" si="0"/>
        <v>0</v>
      </c>
      <c r="N20" s="549">
        <f t="shared" si="1"/>
        <v>772500</v>
      </c>
    </row>
    <row r="21" spans="2:15">
      <c r="B21" s="547" t="s">
        <v>321</v>
      </c>
      <c r="C21" s="548">
        <v>0.1</v>
      </c>
      <c r="D21" s="542" t="s">
        <v>462</v>
      </c>
      <c r="E21" s="543">
        <v>3</v>
      </c>
      <c r="F21" s="542" t="s">
        <v>300</v>
      </c>
      <c r="G21" s="542" t="s">
        <v>315</v>
      </c>
      <c r="H21" s="526">
        <f>H18*0.1</f>
        <v>0</v>
      </c>
      <c r="I21" s="544"/>
      <c r="J21" s="545">
        <f>$I$18*C21</f>
        <v>250000</v>
      </c>
      <c r="K21" s="546">
        <f t="shared" si="0"/>
        <v>0</v>
      </c>
      <c r="L21" s="546">
        <f t="shared" si="0"/>
        <v>0</v>
      </c>
      <c r="M21" s="546">
        <f t="shared" si="0"/>
        <v>257500</v>
      </c>
      <c r="N21" s="549">
        <f t="shared" si="1"/>
        <v>257500</v>
      </c>
    </row>
    <row r="22" spans="2:15">
      <c r="B22" s="542" t="s">
        <v>804</v>
      </c>
      <c r="C22" s="542"/>
      <c r="D22" s="542" t="s">
        <v>805</v>
      </c>
      <c r="E22" s="543">
        <v>1</v>
      </c>
      <c r="F22" s="542" t="s">
        <v>300</v>
      </c>
      <c r="G22" s="542" t="s">
        <v>806</v>
      </c>
      <c r="H22" s="526">
        <v>120</v>
      </c>
      <c r="I22" s="544">
        <v>7800</v>
      </c>
      <c r="J22" s="545">
        <f>H22*I22</f>
        <v>936000</v>
      </c>
      <c r="K22" s="546">
        <f t="shared" si="0"/>
        <v>964080</v>
      </c>
      <c r="L22" s="546">
        <f t="shared" si="0"/>
        <v>0</v>
      </c>
      <c r="M22" s="546">
        <f t="shared" si="0"/>
        <v>0</v>
      </c>
      <c r="N22" s="530">
        <f t="shared" ref="N22" si="3">SUM(K22:M22)</f>
        <v>964080</v>
      </c>
    </row>
    <row r="23" spans="2:15">
      <c r="B23" s="542" t="s">
        <v>322</v>
      </c>
      <c r="C23" s="550"/>
      <c r="D23" s="542" t="s">
        <v>460</v>
      </c>
      <c r="E23" s="543">
        <v>1</v>
      </c>
      <c r="F23" s="542" t="s">
        <v>300</v>
      </c>
      <c r="G23" s="542"/>
      <c r="H23" s="526"/>
      <c r="I23" s="544"/>
      <c r="J23" s="545">
        <v>2000000</v>
      </c>
      <c r="K23" s="546">
        <f t="shared" si="0"/>
        <v>2060000</v>
      </c>
      <c r="L23" s="546">
        <f t="shared" si="0"/>
        <v>0</v>
      </c>
      <c r="M23" s="546">
        <f t="shared" si="0"/>
        <v>0</v>
      </c>
      <c r="N23" s="530">
        <f t="shared" si="1"/>
        <v>2060000</v>
      </c>
    </row>
    <row r="24" spans="2:15">
      <c r="B24" s="542" t="s">
        <v>318</v>
      </c>
      <c r="C24" s="542" t="s">
        <v>856</v>
      </c>
      <c r="D24" s="542" t="s">
        <v>460</v>
      </c>
      <c r="E24" s="543">
        <v>1</v>
      </c>
      <c r="F24" s="542" t="s">
        <v>300</v>
      </c>
      <c r="G24" s="542" t="s">
        <v>315</v>
      </c>
      <c r="H24" s="526"/>
      <c r="I24" s="544"/>
      <c r="J24" s="545">
        <v>3000000</v>
      </c>
      <c r="K24" s="546">
        <f t="shared" si="0"/>
        <v>3090000</v>
      </c>
      <c r="L24" s="546">
        <f t="shared" si="0"/>
        <v>0</v>
      </c>
      <c r="M24" s="546">
        <f t="shared" si="0"/>
        <v>0</v>
      </c>
      <c r="N24" s="530">
        <f t="shared" si="1"/>
        <v>3090000</v>
      </c>
    </row>
    <row r="25" spans="2:15">
      <c r="J25" s="530">
        <f>SUM(J4:J24)</f>
        <v>127599167.38850854</v>
      </c>
      <c r="K25" s="539">
        <f>SUM(K4:K24)</f>
        <v>128993441.9301638</v>
      </c>
      <c r="L25" s="539">
        <f>SUM(L4:L24)</f>
        <v>1825275.36</v>
      </c>
      <c r="M25" s="539">
        <f>SUM(M4:M24)</f>
        <v>608425.12</v>
      </c>
      <c r="N25" s="530">
        <f t="shared" si="1"/>
        <v>131427142.4101638</v>
      </c>
    </row>
    <row r="27" spans="2:15" ht="12" thickBot="1">
      <c r="L27" s="555" t="s">
        <v>857</v>
      </c>
      <c r="M27" s="556">
        <f>SUM(K25:M25)</f>
        <v>131427142.4101638</v>
      </c>
    </row>
    <row r="28" spans="2:15" ht="6" customHeight="1" thickTop="1"/>
    <row r="31" spans="2:15">
      <c r="B31" s="519" t="s">
        <v>689</v>
      </c>
      <c r="C31" s="414">
        <v>120</v>
      </c>
      <c r="D31" s="414">
        <v>7800</v>
      </c>
      <c r="E31" s="459">
        <f>C31*D31</f>
        <v>936000</v>
      </c>
    </row>
    <row r="32" spans="2:15">
      <c r="B32" s="519" t="s">
        <v>743</v>
      </c>
    </row>
    <row r="33" spans="2:2">
      <c r="B33" s="519" t="s">
        <v>744</v>
      </c>
    </row>
    <row r="34" spans="2:2">
      <c r="B34" s="552" t="s">
        <v>754</v>
      </c>
    </row>
  </sheetData>
  <mergeCells count="1">
    <mergeCell ref="K2:M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F52C75-91B7-4644-97C0-518DE7D17226}">
          <x14:formula1>
            <xm:f>'Summary Board'!$B$97:$B$102</xm:f>
          </x14:formula1>
          <xm:sqref>D4:D24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3C6A9-A8D9-4A1D-962D-D9F7BEADBDEE}">
  <dimension ref="B3:B20"/>
  <sheetViews>
    <sheetView showGridLines="0" zoomScale="60" zoomScaleNormal="60" workbookViewId="0">
      <selection activeCell="O91" sqref="O91"/>
    </sheetView>
  </sheetViews>
  <sheetFormatPr defaultRowHeight="14.5"/>
  <sheetData>
    <row r="3" spans="2:2">
      <c r="B3" t="s">
        <v>740</v>
      </c>
    </row>
    <row r="4" spans="2:2">
      <c r="B4" t="s">
        <v>741</v>
      </c>
    </row>
    <row r="5" spans="2:2">
      <c r="B5" t="s">
        <v>742</v>
      </c>
    </row>
    <row r="9" spans="2:2">
      <c r="B9" t="s">
        <v>739</v>
      </c>
    </row>
    <row r="12" spans="2:2">
      <c r="B12" t="s">
        <v>109</v>
      </c>
    </row>
    <row r="16" spans="2:2">
      <c r="B16" t="s">
        <v>141</v>
      </c>
    </row>
    <row r="20" spans="2:2">
      <c r="B20" t="s">
        <v>144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F149-37D9-45BA-AF68-3C73BE4D15A9}">
  <sheetPr>
    <tabColor theme="3" tint="-0.249977111117893"/>
  </sheetPr>
  <dimension ref="B5"/>
  <sheetViews>
    <sheetView showGridLines="0" zoomScale="60" zoomScaleNormal="60" workbookViewId="0">
      <selection activeCell="F27" sqref="F26:F27"/>
    </sheetView>
  </sheetViews>
  <sheetFormatPr defaultRowHeight="14.5"/>
  <sheetData>
    <row r="5" spans="2:2">
      <c r="B5" s="173" t="s">
        <v>248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6B114-6CB6-47E8-BC41-D058AA860D2F}">
  <sheetPr>
    <tabColor theme="3"/>
    <pageSetUpPr fitToPage="1"/>
  </sheetPr>
  <dimension ref="B1:H377"/>
  <sheetViews>
    <sheetView showGridLines="0" topLeftCell="A2" zoomScale="60" zoomScaleNormal="60" workbookViewId="0">
      <selection activeCell="F27" sqref="F26:F27"/>
    </sheetView>
  </sheetViews>
  <sheetFormatPr defaultRowHeight="14.5"/>
  <cols>
    <col min="1" max="1" width="2.81640625" style="297" customWidth="1"/>
    <col min="2" max="2" width="6.26953125" style="297" customWidth="1"/>
    <col min="3" max="3" width="14.81640625" style="297" customWidth="1"/>
    <col min="4" max="4" width="18.08984375" style="297" customWidth="1"/>
    <col min="5" max="5" width="17.453125" style="297" customWidth="1"/>
    <col min="6" max="7" width="14.81640625" style="297" customWidth="1"/>
    <col min="8" max="8" width="16.7265625" style="297" customWidth="1"/>
    <col min="9" max="9" width="2.81640625" style="297" customWidth="1"/>
    <col min="10" max="16384" width="8.7265625" style="297"/>
  </cols>
  <sheetData>
    <row r="1" spans="2:8" ht="30" customHeight="1">
      <c r="B1" s="306" t="s">
        <v>441</v>
      </c>
      <c r="C1" s="306"/>
      <c r="D1" s="306"/>
      <c r="E1" s="306"/>
      <c r="F1" s="306"/>
      <c r="G1" s="306"/>
      <c r="H1" s="306"/>
    </row>
    <row r="2" spans="2:8" ht="30" customHeight="1">
      <c r="B2" s="920" t="s">
        <v>440</v>
      </c>
      <c r="C2" s="920"/>
      <c r="D2" s="920"/>
      <c r="E2" s="920"/>
    </row>
    <row r="3" spans="2:8">
      <c r="B3" s="923" t="s">
        <v>408</v>
      </c>
      <c r="C3" s="923"/>
      <c r="D3" s="924"/>
      <c r="E3" s="308">
        <f>combined!Q26</f>
        <v>340999421.30330777</v>
      </c>
    </row>
    <row r="4" spans="2:8">
      <c r="B4" s="921" t="s">
        <v>439</v>
      </c>
      <c r="C4" s="921"/>
      <c r="D4" s="925"/>
      <c r="E4" s="309">
        <f>permanentinterestrate</f>
        <v>4.2500000000000003E-2</v>
      </c>
    </row>
    <row r="5" spans="2:8">
      <c r="B5" s="921" t="s">
        <v>438</v>
      </c>
      <c r="C5" s="921"/>
      <c r="D5" s="925"/>
      <c r="E5" s="310">
        <f>amortizationschedule</f>
        <v>30</v>
      </c>
    </row>
    <row r="6" spans="2:8">
      <c r="B6" s="921" t="s">
        <v>437</v>
      </c>
      <c r="C6" s="921"/>
      <c r="D6" s="925"/>
      <c r="E6" s="305">
        <v>43831</v>
      </c>
      <c r="F6" s="305"/>
    </row>
    <row r="7" spans="2:8">
      <c r="B7" s="304"/>
      <c r="C7" s="304"/>
      <c r="D7" s="304"/>
    </row>
    <row r="8" spans="2:8">
      <c r="B8" s="921" t="s">
        <v>436</v>
      </c>
      <c r="C8" s="921"/>
      <c r="D8" s="922"/>
      <c r="E8" s="307">
        <f>IFERROR(IF(Values_Entered,Monthly_Payment,""), "")</f>
        <v>1677512.1817411617</v>
      </c>
    </row>
    <row r="9" spans="2:8">
      <c r="B9" s="921" t="s">
        <v>435</v>
      </c>
      <c r="C9" s="921"/>
      <c r="D9" s="922"/>
      <c r="E9" s="303">
        <f>IFERROR(IF(Values_Entered,Loan_Years*12,""), "")</f>
        <v>360</v>
      </c>
    </row>
    <row r="10" spans="2:8">
      <c r="B10" s="921" t="s">
        <v>434</v>
      </c>
      <c r="C10" s="921"/>
      <c r="D10" s="922"/>
      <c r="E10" s="302">
        <f>IFERROR(IF(Values_Entered,Total_Cost-Loan_Amount,""), "")</f>
        <v>262904964.12351048</v>
      </c>
    </row>
    <row r="11" spans="2:8">
      <c r="B11" s="921" t="s">
        <v>433</v>
      </c>
      <c r="C11" s="921"/>
      <c r="D11" s="922"/>
      <c r="E11" s="307">
        <f>IFERROR(IF(Values_Entered,Monthly_Payment*Number_of_Payments,""), "")</f>
        <v>603904385.42681825</v>
      </c>
    </row>
    <row r="12" spans="2:8">
      <c r="B12" s="311"/>
      <c r="C12" s="311"/>
      <c r="D12" s="311"/>
      <c r="E12" s="312"/>
    </row>
    <row r="13" spans="2:8">
      <c r="B13" s="311"/>
      <c r="C13" s="314" t="s">
        <v>542</v>
      </c>
      <c r="D13" s="311"/>
      <c r="E13" s="318">
        <f>phase1stabilizationyear</f>
        <v>6</v>
      </c>
    </row>
    <row r="14" spans="2:8">
      <c r="B14" s="311"/>
      <c r="C14" s="314" t="s">
        <v>186</v>
      </c>
      <c r="D14" s="311"/>
      <c r="E14" s="318">
        <f>dispositionyear</f>
        <v>10</v>
      </c>
      <c r="F14" s="313"/>
    </row>
    <row r="15" spans="2:8">
      <c r="B15" s="311"/>
      <c r="C15" s="315" t="s">
        <v>444</v>
      </c>
      <c r="E15" s="319">
        <f>((E14-E13)*12)+12</f>
        <v>60</v>
      </c>
    </row>
    <row r="16" spans="2:8">
      <c r="B16" s="311"/>
      <c r="C16" s="314" t="s">
        <v>443</v>
      </c>
      <c r="D16" s="311"/>
      <c r="E16" s="312">
        <f>VLOOKUP(E15,Loan[#All],7,TRUE)</f>
        <v>309653719.888785</v>
      </c>
    </row>
    <row r="17" spans="2:8" ht="38.5" customHeight="1">
      <c r="B17" s="301" t="s">
        <v>432</v>
      </c>
      <c r="C17" s="301" t="s">
        <v>281</v>
      </c>
      <c r="D17" s="301" t="s">
        <v>431</v>
      </c>
      <c r="E17" s="301" t="s">
        <v>430</v>
      </c>
      <c r="F17" s="301" t="s">
        <v>429</v>
      </c>
      <c r="G17" s="301" t="s">
        <v>428</v>
      </c>
      <c r="H17" s="301" t="s">
        <v>427</v>
      </c>
    </row>
    <row r="18" spans="2:8">
      <c r="B18" s="300">
        <f>IFERROR(IF(Loan_Not_Paid*Values_Entered,Payment_Number,""), "")</f>
        <v>1</v>
      </c>
      <c r="C18" s="299"/>
      <c r="D18" s="298">
        <f>IFERROR(IF(Loan_Not_Paid*Values_Entered,Beginning_Balance,""), "")</f>
        <v>340999421.30330777</v>
      </c>
      <c r="E18" s="298">
        <f>IFERROR(IF(Loan_Not_Paid*Values_Entered,Monthly_Payment,""), "")</f>
        <v>1677512.1817411617</v>
      </c>
      <c r="F18" s="298">
        <f>IFERROR(IF(Loan_Not_Paid*Values_Entered,Principal,""), "")</f>
        <v>469805.89795861335</v>
      </c>
      <c r="G18" s="298">
        <f>IFERROR(IF(Loan_Not_Paid*Values_Entered,Interest,""), "")</f>
        <v>1207706.2837825485</v>
      </c>
      <c r="H18" s="298">
        <f>IFERROR(IF(Loan_Not_Paid*Values_Entered,Ending_Balance,""), "")</f>
        <v>340529615.40534914</v>
      </c>
    </row>
    <row r="19" spans="2:8">
      <c r="B19" s="300">
        <f>IFERROR(IF(Loan_Not_Paid*Values_Entered,Payment_Number,""), "")</f>
        <v>2</v>
      </c>
      <c r="C19" s="299"/>
      <c r="D19" s="298">
        <f>IFERROR(IF(Loan_Not_Paid*Values_Entered,Beginning_Balance,""), "")</f>
        <v>340529615.40534914</v>
      </c>
      <c r="E19" s="298">
        <f>IFERROR(IF(Loan_Not_Paid*Values_Entered,Monthly_Payment,""), "")</f>
        <v>1677512.1817411617</v>
      </c>
      <c r="F19" s="298">
        <f>IFERROR(IF(Loan_Not_Paid*Values_Entered,Principal,""), "")</f>
        <v>471469.79384721664</v>
      </c>
      <c r="G19" s="298">
        <f>IFERROR(IF(Loan_Not_Paid*Values_Entered,Interest,""), "")</f>
        <v>1206042.387893945</v>
      </c>
      <c r="H19" s="298">
        <f>IFERROR(IF(Loan_Not_Paid*Values_Entered,Ending_Balance,""), "")</f>
        <v>340058145.61150193</v>
      </c>
    </row>
    <row r="20" spans="2:8">
      <c r="B20" s="300">
        <f>IFERROR(IF(Loan_Not_Paid*Values_Entered,Payment_Number,""), "")</f>
        <v>3</v>
      </c>
      <c r="C20" s="299"/>
      <c r="D20" s="298">
        <f>IFERROR(IF(Loan_Not_Paid*Values_Entered,Beginning_Balance,""), "")</f>
        <v>340058145.61150193</v>
      </c>
      <c r="E20" s="298">
        <f>IFERROR(IF(Loan_Not_Paid*Values_Entered,Monthly_Payment,""), "")</f>
        <v>1677512.1817411617</v>
      </c>
      <c r="F20" s="298">
        <f>IFERROR(IF(Loan_Not_Paid*Values_Entered,Principal,""), "")</f>
        <v>473139.58270042564</v>
      </c>
      <c r="G20" s="298">
        <f>IFERROR(IF(Loan_Not_Paid*Values_Entered,Interest,""), "")</f>
        <v>1204372.5990407362</v>
      </c>
      <c r="H20" s="298">
        <f>IFERROR(IF(Loan_Not_Paid*Values_Entered,Ending_Balance,""), "")</f>
        <v>339585006.0288015</v>
      </c>
    </row>
    <row r="21" spans="2:8">
      <c r="B21" s="300">
        <f>IFERROR(IF(Loan_Not_Paid*Values_Entered,Payment_Number,""), "")</f>
        <v>4</v>
      </c>
      <c r="C21" s="299"/>
      <c r="D21" s="298">
        <f>IFERROR(IF(Loan_Not_Paid*Values_Entered,Beginning_Balance,""), "")</f>
        <v>339585006.0288015</v>
      </c>
      <c r="E21" s="298">
        <f>IFERROR(IF(Loan_Not_Paid*Values_Entered,Monthly_Payment,""), "")</f>
        <v>1677512.1817411617</v>
      </c>
      <c r="F21" s="298">
        <f>IFERROR(IF(Loan_Not_Paid*Values_Entered,Principal,""), "")</f>
        <v>474815.28538915626</v>
      </c>
      <c r="G21" s="298">
        <f>IFERROR(IF(Loan_Not_Paid*Values_Entered,Interest,""), "")</f>
        <v>1202696.8963520057</v>
      </c>
      <c r="H21" s="298">
        <f>IFERROR(IF(Loan_Not_Paid*Values_Entered,Ending_Balance,""), "")</f>
        <v>339110190.74341232</v>
      </c>
    </row>
    <row r="22" spans="2:8">
      <c r="B22" s="300">
        <f>IFERROR(IF(Loan_Not_Paid*Values_Entered,Payment_Number,""), "")</f>
        <v>5</v>
      </c>
      <c r="C22" s="299"/>
      <c r="D22" s="298">
        <f>IFERROR(IF(Loan_Not_Paid*Values_Entered,Beginning_Balance,""), "")</f>
        <v>339110190.74341232</v>
      </c>
      <c r="E22" s="298">
        <f>IFERROR(IF(Loan_Not_Paid*Values_Entered,Monthly_Payment,""), "")</f>
        <v>1677512.1817411617</v>
      </c>
      <c r="F22" s="298">
        <f>IFERROR(IF(Loan_Not_Paid*Values_Entered,Principal,""), "")</f>
        <v>476496.92285824288</v>
      </c>
      <c r="G22" s="298">
        <f>IFERROR(IF(Loan_Not_Paid*Values_Entered,Interest,""), "")</f>
        <v>1201015.2588829189</v>
      </c>
      <c r="H22" s="298">
        <f>IFERROR(IF(Loan_Not_Paid*Values_Entered,Ending_Balance,""), "")</f>
        <v>338633693.82055402</v>
      </c>
    </row>
    <row r="23" spans="2:8">
      <c r="B23" s="300">
        <f>IFERROR(IF(Loan_Not_Paid*Values_Entered,Payment_Number,""), "")</f>
        <v>6</v>
      </c>
      <c r="C23" s="299"/>
      <c r="D23" s="298">
        <f>IFERROR(IF(Loan_Not_Paid*Values_Entered,Beginning_Balance,""), "")</f>
        <v>338633693.82055402</v>
      </c>
      <c r="E23" s="298">
        <f>IFERROR(IF(Loan_Not_Paid*Values_Entered,Monthly_Payment,""), "")</f>
        <v>1677512.1817411617</v>
      </c>
      <c r="F23" s="298">
        <f>IFERROR(IF(Loan_Not_Paid*Values_Entered,Principal,""), "")</f>
        <v>478184.51612669905</v>
      </c>
      <c r="G23" s="298">
        <f>IFERROR(IF(Loan_Not_Paid*Values_Entered,Interest,""), "")</f>
        <v>1199327.6656144627</v>
      </c>
      <c r="H23" s="298">
        <f>IFERROR(IF(Loan_Not_Paid*Values_Entered,Ending_Balance,""), "")</f>
        <v>338155509.30442733</v>
      </c>
    </row>
    <row r="24" spans="2:8">
      <c r="B24" s="300">
        <f>IFERROR(IF(Loan_Not_Paid*Values_Entered,Payment_Number,""), "")</f>
        <v>7</v>
      </c>
      <c r="C24" s="299"/>
      <c r="D24" s="298">
        <f>IFERROR(IF(Loan_Not_Paid*Values_Entered,Beginning_Balance,""), "")</f>
        <v>338155509.30442733</v>
      </c>
      <c r="E24" s="298">
        <f>IFERROR(IF(Loan_Not_Paid*Values_Entered,Monthly_Payment,""), "")</f>
        <v>1677512.1817411617</v>
      </c>
      <c r="F24" s="298">
        <f>IFERROR(IF(Loan_Not_Paid*Values_Entered,Principal,""), "")</f>
        <v>479878.08628798119</v>
      </c>
      <c r="G24" s="298">
        <f>IFERROR(IF(Loan_Not_Paid*Values_Entered,Interest,""), "")</f>
        <v>1197634.0954531804</v>
      </c>
      <c r="H24" s="298">
        <f>IFERROR(IF(Loan_Not_Paid*Values_Entered,Ending_Balance,""), "")</f>
        <v>337675631.21813929</v>
      </c>
    </row>
    <row r="25" spans="2:8">
      <c r="B25" s="300">
        <f>IFERROR(IF(Loan_Not_Paid*Values_Entered,Payment_Number,""), "")</f>
        <v>8</v>
      </c>
      <c r="C25" s="299"/>
      <c r="D25" s="298">
        <f>IFERROR(IF(Loan_Not_Paid*Values_Entered,Beginning_Balance,""), "")</f>
        <v>337675631.21813929</v>
      </c>
      <c r="E25" s="298">
        <f>IFERROR(IF(Loan_Not_Paid*Values_Entered,Monthly_Payment,""), "")</f>
        <v>1677512.1817411617</v>
      </c>
      <c r="F25" s="298">
        <f>IFERROR(IF(Loan_Not_Paid*Values_Entered,Principal,""), "")</f>
        <v>481577.65451025113</v>
      </c>
      <c r="G25" s="298">
        <f>IFERROR(IF(Loan_Not_Paid*Values_Entered,Interest,""), "")</f>
        <v>1195934.5272309107</v>
      </c>
      <c r="H25" s="298">
        <f>IFERROR(IF(Loan_Not_Paid*Values_Entered,Ending_Balance,""), "")</f>
        <v>337194053.56362903</v>
      </c>
    </row>
    <row r="26" spans="2:8">
      <c r="B26" s="300">
        <f>IFERROR(IF(Loan_Not_Paid*Values_Entered,Payment_Number,""), "")</f>
        <v>9</v>
      </c>
      <c r="C26" s="299"/>
      <c r="D26" s="298">
        <f>IFERROR(IF(Loan_Not_Paid*Values_Entered,Beginning_Balance,""), "")</f>
        <v>337194053.56362903</v>
      </c>
      <c r="E26" s="298">
        <f>IFERROR(IF(Loan_Not_Paid*Values_Entered,Monthly_Payment,""), "")</f>
        <v>1677512.1817411617</v>
      </c>
      <c r="F26" s="298">
        <f>IFERROR(IF(Loan_Not_Paid*Values_Entered,Principal,""), "")</f>
        <v>483283.24203664163</v>
      </c>
      <c r="G26" s="298">
        <f>IFERROR(IF(Loan_Not_Paid*Values_Entered,Interest,""), "")</f>
        <v>1194228.9397045202</v>
      </c>
      <c r="H26" s="298">
        <f>IFERROR(IF(Loan_Not_Paid*Values_Entered,Ending_Balance,""), "")</f>
        <v>336710770.32159233</v>
      </c>
    </row>
    <row r="27" spans="2:8">
      <c r="B27" s="300">
        <f>IFERROR(IF(Loan_Not_Paid*Values_Entered,Payment_Number,""), "")</f>
        <v>10</v>
      </c>
      <c r="C27" s="299"/>
      <c r="D27" s="298">
        <f>IFERROR(IF(Loan_Not_Paid*Values_Entered,Beginning_Balance,""), "")</f>
        <v>336710770.32159233</v>
      </c>
      <c r="E27" s="298">
        <f>IFERROR(IF(Loan_Not_Paid*Values_Entered,Monthly_Payment,""), "")</f>
        <v>1677512.1817411617</v>
      </c>
      <c r="F27" s="298">
        <f>IFERROR(IF(Loan_Not_Paid*Values_Entered,Principal,""), "")</f>
        <v>484994.87018552137</v>
      </c>
      <c r="G27" s="298">
        <f>IFERROR(IF(Loan_Not_Paid*Values_Entered,Interest,""), "")</f>
        <v>1192517.3115556405</v>
      </c>
      <c r="H27" s="298">
        <f>IFERROR(IF(Loan_Not_Paid*Values_Entered,Ending_Balance,""), "")</f>
        <v>336225775.45140684</v>
      </c>
    </row>
    <row r="28" spans="2:8">
      <c r="B28" s="300">
        <f>IFERROR(IF(Loan_Not_Paid*Values_Entered,Payment_Number,""), "")</f>
        <v>11</v>
      </c>
      <c r="C28" s="299"/>
      <c r="D28" s="298">
        <f>IFERROR(IF(Loan_Not_Paid*Values_Entered,Beginning_Balance,""), "")</f>
        <v>336225775.45140684</v>
      </c>
      <c r="E28" s="298">
        <f>IFERROR(IF(Loan_Not_Paid*Values_Entered,Monthly_Payment,""), "")</f>
        <v>1677512.1817411617</v>
      </c>
      <c r="F28" s="298">
        <f>IFERROR(IF(Loan_Not_Paid*Values_Entered,Principal,""), "")</f>
        <v>486712.56035076187</v>
      </c>
      <c r="G28" s="298">
        <f>IFERROR(IF(Loan_Not_Paid*Values_Entered,Interest,""), "")</f>
        <v>1190799.6213903998</v>
      </c>
      <c r="H28" s="298">
        <f>IFERROR(IF(Loan_Not_Paid*Values_Entered,Ending_Balance,""), "")</f>
        <v>335739062.89105606</v>
      </c>
    </row>
    <row r="29" spans="2:8">
      <c r="B29" s="300">
        <f>IFERROR(IF(Loan_Not_Paid*Values_Entered,Payment_Number,""), "")</f>
        <v>12</v>
      </c>
      <c r="C29" s="299"/>
      <c r="D29" s="298">
        <f>IFERROR(IF(Loan_Not_Paid*Values_Entered,Beginning_Balance,""), "")</f>
        <v>335739062.89105606</v>
      </c>
      <c r="E29" s="298">
        <f>IFERROR(IF(Loan_Not_Paid*Values_Entered,Monthly_Payment,""), "")</f>
        <v>1677512.1817411617</v>
      </c>
      <c r="F29" s="298">
        <f>IFERROR(IF(Loan_Not_Paid*Values_Entered,Principal,""), "")</f>
        <v>488436.33400200401</v>
      </c>
      <c r="G29" s="298">
        <f>IFERROR(IF(Loan_Not_Paid*Values_Entered,Interest,""), "")</f>
        <v>1189075.8477391575</v>
      </c>
      <c r="H29" s="298">
        <f>IFERROR(IF(Loan_Not_Paid*Values_Entered,Ending_Balance,""), "")</f>
        <v>335250626.5570541</v>
      </c>
    </row>
    <row r="30" spans="2:8">
      <c r="B30" s="300">
        <f>IFERROR(IF(Loan_Not_Paid*Values_Entered,Payment_Number,""), "")</f>
        <v>13</v>
      </c>
      <c r="C30" s="299"/>
      <c r="D30" s="298">
        <f>IFERROR(IF(Loan_Not_Paid*Values_Entered,Beginning_Balance,""), "")</f>
        <v>335250626.5570541</v>
      </c>
      <c r="E30" s="298">
        <f>IFERROR(IF(Loan_Not_Paid*Values_Entered,Monthly_Payment,""), "")</f>
        <v>1677512.1817411617</v>
      </c>
      <c r="F30" s="298">
        <f>IFERROR(IF(Loan_Not_Paid*Values_Entered,Principal,""), "")</f>
        <v>490166.2126849278</v>
      </c>
      <c r="G30" s="298">
        <f>IFERROR(IF(Loan_Not_Paid*Values_Entered,Interest,""), "")</f>
        <v>1187345.969056234</v>
      </c>
      <c r="H30" s="298">
        <f>IFERROR(IF(Loan_Not_Paid*Values_Entered,Ending_Balance,""), "")</f>
        <v>334760460.34436905</v>
      </c>
    </row>
    <row r="31" spans="2:8">
      <c r="B31" s="300">
        <f>IFERROR(IF(Loan_Not_Paid*Values_Entered,Payment_Number,""), "")</f>
        <v>14</v>
      </c>
      <c r="C31" s="299"/>
      <c r="D31" s="298">
        <f>IFERROR(IF(Loan_Not_Paid*Values_Entered,Beginning_Balance,""), "")</f>
        <v>334760460.34436905</v>
      </c>
      <c r="E31" s="298">
        <f>IFERROR(IF(Loan_Not_Paid*Values_Entered,Monthly_Payment,""), "")</f>
        <v>1677512.1817411617</v>
      </c>
      <c r="F31" s="298">
        <f>IFERROR(IF(Loan_Not_Paid*Values_Entered,Principal,""), "")</f>
        <v>491902.21802152018</v>
      </c>
      <c r="G31" s="298">
        <f>IFERROR(IF(Loan_Not_Paid*Values_Entered,Interest,""), "")</f>
        <v>1185609.9637196416</v>
      </c>
      <c r="H31" s="298">
        <f>IFERROR(IF(Loan_Not_Paid*Values_Entered,Ending_Balance,""), "")</f>
        <v>334268558.12634754</v>
      </c>
    </row>
    <row r="32" spans="2:8">
      <c r="B32" s="300">
        <f>IFERROR(IF(Loan_Not_Paid*Values_Entered,Payment_Number,""), "")</f>
        <v>15</v>
      </c>
      <c r="C32" s="299"/>
      <c r="D32" s="298">
        <f>IFERROR(IF(Loan_Not_Paid*Values_Entered,Beginning_Balance,""), "")</f>
        <v>334268558.12634754</v>
      </c>
      <c r="E32" s="298">
        <f>IFERROR(IF(Loan_Not_Paid*Values_Entered,Monthly_Payment,""), "")</f>
        <v>1677512.1817411617</v>
      </c>
      <c r="F32" s="298">
        <f>IFERROR(IF(Loan_Not_Paid*Values_Entered,Principal,""), "")</f>
        <v>493644.3717103466</v>
      </c>
      <c r="G32" s="298">
        <f>IFERROR(IF(Loan_Not_Paid*Values_Entered,Interest,""), "")</f>
        <v>1183867.8100308154</v>
      </c>
      <c r="H32" s="298">
        <f>IFERROR(IF(Loan_Not_Paid*Values_Entered,Ending_Balance,""), "")</f>
        <v>333774913.75463718</v>
      </c>
    </row>
    <row r="33" spans="2:8">
      <c r="B33" s="300">
        <f>IFERROR(IF(Loan_Not_Paid*Values_Entered,Payment_Number,""), "")</f>
        <v>16</v>
      </c>
      <c r="C33" s="299"/>
      <c r="D33" s="298">
        <f>IFERROR(IF(Loan_Not_Paid*Values_Entered,Beginning_Balance,""), "")</f>
        <v>333774913.75463718</v>
      </c>
      <c r="E33" s="298">
        <f>IFERROR(IF(Loan_Not_Paid*Values_Entered,Monthly_Payment,""), "")</f>
        <v>1677512.1817411617</v>
      </c>
      <c r="F33" s="298">
        <f>IFERROR(IF(Loan_Not_Paid*Values_Entered,Principal,""), "")</f>
        <v>495392.69552682067</v>
      </c>
      <c r="G33" s="298">
        <f>IFERROR(IF(Loan_Not_Paid*Values_Entered,Interest,""), "")</f>
        <v>1182119.4862143411</v>
      </c>
      <c r="H33" s="298">
        <f>IFERROR(IF(Loan_Not_Paid*Values_Entered,Ending_Balance,""), "")</f>
        <v>333279521.0591104</v>
      </c>
    </row>
    <row r="34" spans="2:8">
      <c r="B34" s="300">
        <f>IFERROR(IF(Loan_Not_Paid*Values_Entered,Payment_Number,""), "")</f>
        <v>17</v>
      </c>
      <c r="C34" s="299"/>
      <c r="D34" s="298">
        <f>IFERROR(IF(Loan_Not_Paid*Values_Entered,Beginning_Balance,""), "")</f>
        <v>333279521.0591104</v>
      </c>
      <c r="E34" s="298">
        <f>IFERROR(IF(Loan_Not_Paid*Values_Entered,Monthly_Payment,""), "")</f>
        <v>1677512.1817411617</v>
      </c>
      <c r="F34" s="298">
        <f>IFERROR(IF(Loan_Not_Paid*Values_Entered,Principal,""), "")</f>
        <v>497147.2113234782</v>
      </c>
      <c r="G34" s="298">
        <f>IFERROR(IF(Loan_Not_Paid*Values_Entered,Interest,""), "")</f>
        <v>1180364.9704176837</v>
      </c>
      <c r="H34" s="298">
        <f>IFERROR(IF(Loan_Not_Paid*Values_Entered,Ending_Balance,""), "")</f>
        <v>332782373.8477869</v>
      </c>
    </row>
    <row r="35" spans="2:8">
      <c r="B35" s="300">
        <f>IFERROR(IF(Loan_Not_Paid*Values_Entered,Payment_Number,""), "")</f>
        <v>18</v>
      </c>
      <c r="C35" s="299"/>
      <c r="D35" s="298">
        <f>IFERROR(IF(Loan_Not_Paid*Values_Entered,Beginning_Balance,""), "")</f>
        <v>332782373.8477869</v>
      </c>
      <c r="E35" s="298">
        <f>IFERROR(IF(Loan_Not_Paid*Values_Entered,Monthly_Payment,""), "")</f>
        <v>1677512.1817411617</v>
      </c>
      <c r="F35" s="298">
        <f>IFERROR(IF(Loan_Not_Paid*Values_Entered,Principal,""), "")</f>
        <v>498907.94103024871</v>
      </c>
      <c r="G35" s="298">
        <f>IFERROR(IF(Loan_Not_Paid*Values_Entered,Interest,""), "")</f>
        <v>1178604.2407109132</v>
      </c>
      <c r="H35" s="298">
        <f>IFERROR(IF(Loan_Not_Paid*Values_Entered,Ending_Balance,""), "")</f>
        <v>332283465.90675664</v>
      </c>
    </row>
    <row r="36" spans="2:8">
      <c r="B36" s="300">
        <f>IFERROR(IF(Loan_Not_Paid*Values_Entered,Payment_Number,""), "")</f>
        <v>19</v>
      </c>
      <c r="C36" s="299"/>
      <c r="D36" s="298">
        <f>IFERROR(IF(Loan_Not_Paid*Values_Entered,Beginning_Balance,""), "")</f>
        <v>332283465.90675664</v>
      </c>
      <c r="E36" s="298">
        <f>IFERROR(IF(Loan_Not_Paid*Values_Entered,Monthly_Payment,""), "")</f>
        <v>1677512.1817411617</v>
      </c>
      <c r="F36" s="298">
        <f>IFERROR(IF(Loan_Not_Paid*Values_Entered,Principal,""), "")</f>
        <v>500674.90665473102</v>
      </c>
      <c r="G36" s="298">
        <f>IFERROR(IF(Loan_Not_Paid*Values_Entered,Interest,""), "")</f>
        <v>1176837.2750864306</v>
      </c>
      <c r="H36" s="298">
        <f>IFERROR(IF(Loan_Not_Paid*Values_Entered,Ending_Balance,""), "")</f>
        <v>331782791.00010186</v>
      </c>
    </row>
    <row r="37" spans="2:8">
      <c r="B37" s="300">
        <f>IFERROR(IF(Loan_Not_Paid*Values_Entered,Payment_Number,""), "")</f>
        <v>20</v>
      </c>
      <c r="C37" s="299"/>
      <c r="D37" s="298">
        <f>IFERROR(IF(Loan_Not_Paid*Values_Entered,Beginning_Balance,""), "")</f>
        <v>331782791.00010186</v>
      </c>
      <c r="E37" s="298">
        <f>IFERROR(IF(Loan_Not_Paid*Values_Entered,Monthly_Payment,""), "")</f>
        <v>1677512.1817411617</v>
      </c>
      <c r="F37" s="298">
        <f>IFERROR(IF(Loan_Not_Paid*Values_Entered,Principal,""), "")</f>
        <v>502448.13028246647</v>
      </c>
      <c r="G37" s="298">
        <f>IFERROR(IF(Loan_Not_Paid*Values_Entered,Interest,""), "")</f>
        <v>1175064.0514586952</v>
      </c>
      <c r="H37" s="298">
        <f>IFERROR(IF(Loan_Not_Paid*Values_Entered,Ending_Balance,""), "")</f>
        <v>331280342.8698194</v>
      </c>
    </row>
    <row r="38" spans="2:8">
      <c r="B38" s="300">
        <f>IFERROR(IF(Loan_Not_Paid*Values_Entered,Payment_Number,""), "")</f>
        <v>21</v>
      </c>
      <c r="C38" s="299"/>
      <c r="D38" s="298">
        <f>IFERROR(IF(Loan_Not_Paid*Values_Entered,Beginning_Balance,""), "")</f>
        <v>331280342.8698194</v>
      </c>
      <c r="E38" s="298">
        <f>IFERROR(IF(Loan_Not_Paid*Values_Entered,Monthly_Payment,""), "")</f>
        <v>1677512.1817411617</v>
      </c>
      <c r="F38" s="298">
        <f>IFERROR(IF(Loan_Not_Paid*Values_Entered,Principal,""), "")</f>
        <v>504227.63407721685</v>
      </c>
      <c r="G38" s="298">
        <f>IFERROR(IF(Loan_Not_Paid*Values_Entered,Interest,""), "")</f>
        <v>1173284.5476639448</v>
      </c>
      <c r="H38" s="298">
        <f>IFERROR(IF(Loan_Not_Paid*Values_Entered,Ending_Balance,""), "")</f>
        <v>330776115.23574209</v>
      </c>
    </row>
    <row r="39" spans="2:8">
      <c r="B39" s="300">
        <f>IFERROR(IF(Loan_Not_Paid*Values_Entered,Payment_Number,""), "")</f>
        <v>22</v>
      </c>
      <c r="C39" s="299"/>
      <c r="D39" s="298">
        <f>IFERROR(IF(Loan_Not_Paid*Values_Entered,Beginning_Balance,""), "")</f>
        <v>330776115.23574209</v>
      </c>
      <c r="E39" s="298">
        <f>IFERROR(IF(Loan_Not_Paid*Values_Entered,Monthly_Payment,""), "")</f>
        <v>1677512.1817411617</v>
      </c>
      <c r="F39" s="298">
        <f>IFERROR(IF(Loan_Not_Paid*Values_Entered,Principal,""), "")</f>
        <v>506013.44028124033</v>
      </c>
      <c r="G39" s="298">
        <f>IFERROR(IF(Loan_Not_Paid*Values_Entered,Interest,""), "")</f>
        <v>1171498.7414599215</v>
      </c>
      <c r="H39" s="298">
        <f>IFERROR(IF(Loan_Not_Paid*Values_Entered,Ending_Balance,""), "")</f>
        <v>330270101.79546088</v>
      </c>
    </row>
    <row r="40" spans="2:8">
      <c r="B40" s="300">
        <f>IFERROR(IF(Loan_Not_Paid*Values_Entered,Payment_Number,""), "")</f>
        <v>23</v>
      </c>
      <c r="C40" s="299"/>
      <c r="D40" s="298">
        <f>IFERROR(IF(Loan_Not_Paid*Values_Entered,Beginning_Balance,""), "")</f>
        <v>330270101.79546088</v>
      </c>
      <c r="E40" s="298">
        <f>IFERROR(IF(Loan_Not_Paid*Values_Entered,Monthly_Payment,""), "")</f>
        <v>1677512.1817411617</v>
      </c>
      <c r="F40" s="298">
        <f>IFERROR(IF(Loan_Not_Paid*Values_Entered,Principal,""), "")</f>
        <v>507805.57121556974</v>
      </c>
      <c r="G40" s="298">
        <f>IFERROR(IF(Loan_Not_Paid*Values_Entered,Interest,""), "")</f>
        <v>1169706.6105255922</v>
      </c>
      <c r="H40" s="298">
        <f>IFERROR(IF(Loan_Not_Paid*Values_Entered,Ending_Balance,""), "")</f>
        <v>329762296.22424531</v>
      </c>
    </row>
    <row r="41" spans="2:8">
      <c r="B41" s="300">
        <f>IFERROR(IF(Loan_Not_Paid*Values_Entered,Payment_Number,""), "")</f>
        <v>24</v>
      </c>
      <c r="C41" s="299"/>
      <c r="D41" s="298">
        <f>IFERROR(IF(Loan_Not_Paid*Values_Entered,Beginning_Balance,""), "")</f>
        <v>329762296.22424531</v>
      </c>
      <c r="E41" s="298">
        <f>IFERROR(IF(Loan_Not_Paid*Values_Entered,Monthly_Payment,""), "")</f>
        <v>1677512.1817411617</v>
      </c>
      <c r="F41" s="298">
        <f>IFERROR(IF(Loan_Not_Paid*Values_Entered,Principal,""), "")</f>
        <v>509604.04928029154</v>
      </c>
      <c r="G41" s="298">
        <f>IFERROR(IF(Loan_Not_Paid*Values_Entered,Interest,""), "")</f>
        <v>1167908.1324608698</v>
      </c>
      <c r="H41" s="298">
        <f>IFERROR(IF(Loan_Not_Paid*Values_Entered,Ending_Balance,""), "")</f>
        <v>329252692.17496502</v>
      </c>
    </row>
    <row r="42" spans="2:8">
      <c r="B42" s="300">
        <f>IFERROR(IF(Loan_Not_Paid*Values_Entered,Payment_Number,""), "")</f>
        <v>25</v>
      </c>
      <c r="C42" s="299"/>
      <c r="D42" s="298">
        <f>IFERROR(IF(Loan_Not_Paid*Values_Entered,Beginning_Balance,""), "")</f>
        <v>329252692.17496502</v>
      </c>
      <c r="E42" s="298">
        <f>IFERROR(IF(Loan_Not_Paid*Values_Entered,Monthly_Payment,""), "")</f>
        <v>1677512.1817411617</v>
      </c>
      <c r="F42" s="298">
        <f>IFERROR(IF(Loan_Not_Paid*Values_Entered,Principal,""), "")</f>
        <v>511408.8969548259</v>
      </c>
      <c r="G42" s="298">
        <f>IFERROR(IF(Loan_Not_Paid*Values_Entered,Interest,""), "")</f>
        <v>1166103.2847863359</v>
      </c>
      <c r="H42" s="298">
        <f>IFERROR(IF(Loan_Not_Paid*Values_Entered,Ending_Balance,""), "")</f>
        <v>328741283.27801013</v>
      </c>
    </row>
    <row r="43" spans="2:8">
      <c r="B43" s="300">
        <f>IFERROR(IF(Loan_Not_Paid*Values_Entered,Payment_Number,""), "")</f>
        <v>26</v>
      </c>
      <c r="C43" s="299"/>
      <c r="D43" s="298">
        <f>IFERROR(IF(Loan_Not_Paid*Values_Entered,Beginning_Balance,""), "")</f>
        <v>328741283.27801013</v>
      </c>
      <c r="E43" s="298">
        <f>IFERROR(IF(Loan_Not_Paid*Values_Entered,Monthly_Payment,""), "")</f>
        <v>1677512.1817411617</v>
      </c>
      <c r="F43" s="298">
        <f>IFERROR(IF(Loan_Not_Paid*Values_Entered,Principal,""), "")</f>
        <v>513220.13679820759</v>
      </c>
      <c r="G43" s="298">
        <f>IFERROR(IF(Loan_Not_Paid*Values_Entered,Interest,""), "")</f>
        <v>1164292.0449429541</v>
      </c>
      <c r="H43" s="298">
        <f>IFERROR(IF(Loan_Not_Paid*Values_Entered,Ending_Balance,""), "")</f>
        <v>328228063.14121187</v>
      </c>
    </row>
    <row r="44" spans="2:8">
      <c r="B44" s="300">
        <f>IFERROR(IF(Loan_Not_Paid*Values_Entered,Payment_Number,""), "")</f>
        <v>27</v>
      </c>
      <c r="C44" s="299"/>
      <c r="D44" s="298">
        <f>IFERROR(IF(Loan_Not_Paid*Values_Entered,Beginning_Balance,""), "")</f>
        <v>328228063.14121187</v>
      </c>
      <c r="E44" s="298">
        <f>IFERROR(IF(Loan_Not_Paid*Values_Entered,Monthly_Payment,""), "")</f>
        <v>1677512.1817411617</v>
      </c>
      <c r="F44" s="298">
        <f>IFERROR(IF(Loan_Not_Paid*Values_Entered,Principal,""), "")</f>
        <v>515037.79144936794</v>
      </c>
      <c r="G44" s="298">
        <f>IFERROR(IF(Loan_Not_Paid*Values_Entered,Interest,""), "")</f>
        <v>1162474.3902917937</v>
      </c>
      <c r="H44" s="298">
        <f>IFERROR(IF(Loan_Not_Paid*Values_Entered,Ending_Balance,""), "")</f>
        <v>327713025.3497625</v>
      </c>
    </row>
    <row r="45" spans="2:8">
      <c r="B45" s="300">
        <f>IFERROR(IF(Loan_Not_Paid*Values_Entered,Payment_Number,""), "")</f>
        <v>28</v>
      </c>
      <c r="C45" s="299"/>
      <c r="D45" s="298">
        <f>IFERROR(IF(Loan_Not_Paid*Values_Entered,Beginning_Balance,""), "")</f>
        <v>327713025.3497625</v>
      </c>
      <c r="E45" s="298">
        <f>IFERROR(IF(Loan_Not_Paid*Values_Entered,Monthly_Payment,""), "")</f>
        <v>1677512.1817411617</v>
      </c>
      <c r="F45" s="298">
        <f>IFERROR(IF(Loan_Not_Paid*Values_Entered,Principal,""), "")</f>
        <v>516861.88362741785</v>
      </c>
      <c r="G45" s="298">
        <f>IFERROR(IF(Loan_Not_Paid*Values_Entered,Interest,""), "")</f>
        <v>1160650.2981137438</v>
      </c>
      <c r="H45" s="298">
        <f>IFERROR(IF(Loan_Not_Paid*Values_Entered,Ending_Balance,""), "")</f>
        <v>327196163.46613508</v>
      </c>
    </row>
    <row r="46" spans="2:8">
      <c r="B46" s="300">
        <f>IFERROR(IF(Loan_Not_Paid*Values_Entered,Payment_Number,""), "")</f>
        <v>29</v>
      </c>
      <c r="C46" s="299"/>
      <c r="D46" s="298">
        <f>IFERROR(IF(Loan_Not_Paid*Values_Entered,Beginning_Balance,""), "")</f>
        <v>327196163.46613508</v>
      </c>
      <c r="E46" s="298">
        <f>IFERROR(IF(Loan_Not_Paid*Values_Entered,Monthly_Payment,""), "")</f>
        <v>1677512.1817411617</v>
      </c>
      <c r="F46" s="298">
        <f>IFERROR(IF(Loan_Not_Paid*Values_Entered,Principal,""), "")</f>
        <v>518692.43613193149</v>
      </c>
      <c r="G46" s="298">
        <f>IFERROR(IF(Loan_Not_Paid*Values_Entered,Interest,""), "")</f>
        <v>1158819.7456092301</v>
      </c>
      <c r="H46" s="298">
        <f>IFERROR(IF(Loan_Not_Paid*Values_Entered,Ending_Balance,""), "")</f>
        <v>326677471.03000313</v>
      </c>
    </row>
    <row r="47" spans="2:8">
      <c r="B47" s="300">
        <f>IFERROR(IF(Loan_Not_Paid*Values_Entered,Payment_Number,""), "")</f>
        <v>30</v>
      </c>
      <c r="C47" s="299"/>
      <c r="D47" s="298">
        <f>IFERROR(IF(Loan_Not_Paid*Values_Entered,Beginning_Balance,""), "")</f>
        <v>326677471.03000313</v>
      </c>
      <c r="E47" s="298">
        <f>IFERROR(IF(Loan_Not_Paid*Values_Entered,Monthly_Payment,""), "")</f>
        <v>1677512.1817411617</v>
      </c>
      <c r="F47" s="298">
        <f>IFERROR(IF(Loan_Not_Paid*Values_Entered,Principal,""), "")</f>
        <v>520529.47184323211</v>
      </c>
      <c r="G47" s="298">
        <f>IFERROR(IF(Loan_Not_Paid*Values_Entered,Interest,""), "")</f>
        <v>1156982.7098979296</v>
      </c>
      <c r="H47" s="298">
        <f>IFERROR(IF(Loan_Not_Paid*Values_Entered,Ending_Balance,""), "")</f>
        <v>326156941.55815989</v>
      </c>
    </row>
    <row r="48" spans="2:8">
      <c r="B48" s="300">
        <f>IFERROR(IF(Loan_Not_Paid*Values_Entered,Payment_Number,""), "")</f>
        <v>31</v>
      </c>
      <c r="C48" s="299"/>
      <c r="D48" s="298">
        <f>IFERROR(IF(Loan_Not_Paid*Values_Entered,Beginning_Balance,""), "")</f>
        <v>326156941.55815989</v>
      </c>
      <c r="E48" s="298">
        <f>IFERROR(IF(Loan_Not_Paid*Values_Entered,Monthly_Payment,""), "")</f>
        <v>1677512.1817411617</v>
      </c>
      <c r="F48" s="298">
        <f>IFERROR(IF(Loan_Not_Paid*Values_Entered,Principal,""), "")</f>
        <v>522373.01372267678</v>
      </c>
      <c r="G48" s="298">
        <f>IFERROR(IF(Loan_Not_Paid*Values_Entered,Interest,""), "")</f>
        <v>1155139.1680184847</v>
      </c>
      <c r="H48" s="298">
        <f>IFERROR(IF(Loan_Not_Paid*Values_Entered,Ending_Balance,""), "")</f>
        <v>325634568.54443711</v>
      </c>
    </row>
    <row r="49" spans="2:8">
      <c r="B49" s="300">
        <f>IFERROR(IF(Loan_Not_Paid*Values_Entered,Payment_Number,""), "")</f>
        <v>32</v>
      </c>
      <c r="C49" s="299"/>
      <c r="D49" s="298">
        <f>IFERROR(IF(Loan_Not_Paid*Values_Entered,Beginning_Balance,""), "")</f>
        <v>325634568.54443711</v>
      </c>
      <c r="E49" s="298">
        <f>IFERROR(IF(Loan_Not_Paid*Values_Entered,Monthly_Payment,""), "")</f>
        <v>1677512.1817411617</v>
      </c>
      <c r="F49" s="298">
        <f>IFERROR(IF(Loan_Not_Paid*Values_Entered,Principal,""), "")</f>
        <v>524223.08481294475</v>
      </c>
      <c r="G49" s="298">
        <f>IFERROR(IF(Loan_Not_Paid*Values_Entered,Interest,""), "")</f>
        <v>1153289.096928217</v>
      </c>
      <c r="H49" s="298">
        <f>IFERROR(IF(Loan_Not_Paid*Values_Entered,Ending_Balance,""), "")</f>
        <v>325110345.45962423</v>
      </c>
    </row>
    <row r="50" spans="2:8">
      <c r="B50" s="300">
        <f>IFERROR(IF(Loan_Not_Paid*Values_Entered,Payment_Number,""), "")</f>
        <v>33</v>
      </c>
      <c r="C50" s="299"/>
      <c r="D50" s="298">
        <f>IFERROR(IF(Loan_Not_Paid*Values_Entered,Beginning_Balance,""), "")</f>
        <v>325110345.45962423</v>
      </c>
      <c r="E50" s="298">
        <f>IFERROR(IF(Loan_Not_Paid*Values_Entered,Monthly_Payment,""), "")</f>
        <v>1677512.1817411617</v>
      </c>
      <c r="F50" s="298">
        <f>IFERROR(IF(Loan_Not_Paid*Values_Entered,Principal,""), "")</f>
        <v>526079.70823832392</v>
      </c>
      <c r="G50" s="298">
        <f>IFERROR(IF(Loan_Not_Paid*Values_Entered,Interest,""), "")</f>
        <v>1151432.4735028378</v>
      </c>
      <c r="H50" s="298">
        <f>IFERROR(IF(Loan_Not_Paid*Values_Entered,Ending_Balance,""), "")</f>
        <v>324584265.75138587</v>
      </c>
    </row>
    <row r="51" spans="2:8">
      <c r="B51" s="300">
        <f>IFERROR(IF(Loan_Not_Paid*Values_Entered,Payment_Number,""), "")</f>
        <v>34</v>
      </c>
      <c r="C51" s="299"/>
      <c r="D51" s="298">
        <f>IFERROR(IF(Loan_Not_Paid*Values_Entered,Beginning_Balance,""), "")</f>
        <v>324584265.75138587</v>
      </c>
      <c r="E51" s="298">
        <f>IFERROR(IF(Loan_Not_Paid*Values_Entered,Monthly_Payment,""), "")</f>
        <v>1677512.1817411617</v>
      </c>
      <c r="F51" s="298">
        <f>IFERROR(IF(Loan_Not_Paid*Values_Entered,Principal,""), "")</f>
        <v>527942.90720500133</v>
      </c>
      <c r="G51" s="298">
        <f>IFERROR(IF(Loan_Not_Paid*Values_Entered,Interest,""), "")</f>
        <v>1149569.2745361605</v>
      </c>
      <c r="H51" s="298">
        <f>IFERROR(IF(Loan_Not_Paid*Values_Entered,Ending_Balance,""), "")</f>
        <v>324056322.84418082</v>
      </c>
    </row>
    <row r="52" spans="2:8">
      <c r="B52" s="300">
        <f>IFERROR(IF(Loan_Not_Paid*Values_Entered,Payment_Number,""), "")</f>
        <v>35</v>
      </c>
      <c r="C52" s="299"/>
      <c r="D52" s="298">
        <f>IFERROR(IF(Loan_Not_Paid*Values_Entered,Beginning_Balance,""), "")</f>
        <v>324056322.84418082</v>
      </c>
      <c r="E52" s="298">
        <f>IFERROR(IF(Loan_Not_Paid*Values_Entered,Monthly_Payment,""), "")</f>
        <v>1677512.1817411617</v>
      </c>
      <c r="F52" s="298">
        <f>IFERROR(IF(Loan_Not_Paid*Values_Entered,Principal,""), "")</f>
        <v>529812.70500135235</v>
      </c>
      <c r="G52" s="298">
        <f>IFERROR(IF(Loan_Not_Paid*Values_Entered,Interest,""), "")</f>
        <v>1147699.4767398094</v>
      </c>
      <c r="H52" s="298">
        <f>IFERROR(IF(Loan_Not_Paid*Values_Entered,Ending_Balance,""), "")</f>
        <v>323526510.13917947</v>
      </c>
    </row>
    <row r="53" spans="2:8">
      <c r="B53" s="300">
        <f>IFERROR(IF(Loan_Not_Paid*Values_Entered,Payment_Number,""), "")</f>
        <v>36</v>
      </c>
      <c r="C53" s="299"/>
      <c r="D53" s="298">
        <f>IFERROR(IF(Loan_Not_Paid*Values_Entered,Beginning_Balance,""), "")</f>
        <v>323526510.13917947</v>
      </c>
      <c r="E53" s="298">
        <f>IFERROR(IF(Loan_Not_Paid*Values_Entered,Monthly_Payment,""), "")</f>
        <v>1677512.1817411617</v>
      </c>
      <c r="F53" s="298">
        <f>IFERROR(IF(Loan_Not_Paid*Values_Entered,Principal,""), "")</f>
        <v>531689.12499823212</v>
      </c>
      <c r="G53" s="298">
        <f>IFERROR(IF(Loan_Not_Paid*Values_Entered,Interest,""), "")</f>
        <v>1145823.0567429294</v>
      </c>
      <c r="H53" s="298">
        <f>IFERROR(IF(Loan_Not_Paid*Values_Entered,Ending_Balance,""), "")</f>
        <v>322994821.01418126</v>
      </c>
    </row>
    <row r="54" spans="2:8">
      <c r="B54" s="300">
        <f>IFERROR(IF(Loan_Not_Paid*Values_Entered,Payment_Number,""), "")</f>
        <v>37</v>
      </c>
      <c r="C54" s="299"/>
      <c r="D54" s="298">
        <f>IFERROR(IF(Loan_Not_Paid*Values_Entered,Beginning_Balance,""), "")</f>
        <v>322994821.01418126</v>
      </c>
      <c r="E54" s="298">
        <f>IFERROR(IF(Loan_Not_Paid*Values_Entered,Monthly_Payment,""), "")</f>
        <v>1677512.1817411617</v>
      </c>
      <c r="F54" s="298">
        <f>IFERROR(IF(Loan_Not_Paid*Values_Entered,Principal,""), "")</f>
        <v>533572.19064926752</v>
      </c>
      <c r="G54" s="298">
        <f>IFERROR(IF(Loan_Not_Paid*Values_Entered,Interest,""), "")</f>
        <v>1143939.9910918942</v>
      </c>
      <c r="H54" s="298">
        <f>IFERROR(IF(Loan_Not_Paid*Values_Entered,Ending_Balance,""), "")</f>
        <v>322461248.82353199</v>
      </c>
    </row>
    <row r="55" spans="2:8">
      <c r="B55" s="300">
        <f>IFERROR(IF(Loan_Not_Paid*Values_Entered,Payment_Number,""), "")</f>
        <v>38</v>
      </c>
      <c r="C55" s="299"/>
      <c r="D55" s="298">
        <f>IFERROR(IF(Loan_Not_Paid*Values_Entered,Beginning_Balance,""), "")</f>
        <v>322461248.82353199</v>
      </c>
      <c r="E55" s="298">
        <f>IFERROR(IF(Loan_Not_Paid*Values_Entered,Monthly_Payment,""), "")</f>
        <v>1677512.1817411617</v>
      </c>
      <c r="F55" s="298">
        <f>IFERROR(IF(Loan_Not_Paid*Values_Entered,Principal,""), "")</f>
        <v>535461.92549115035</v>
      </c>
      <c r="G55" s="298">
        <f>IFERROR(IF(Loan_Not_Paid*Values_Entered,Interest,""), "")</f>
        <v>1142050.2562500113</v>
      </c>
      <c r="H55" s="298">
        <f>IFERROR(IF(Loan_Not_Paid*Values_Entered,Ending_Balance,""), "")</f>
        <v>321925786.89804077</v>
      </c>
    </row>
    <row r="56" spans="2:8">
      <c r="B56" s="300">
        <f>IFERROR(IF(Loan_Not_Paid*Values_Entered,Payment_Number,""), "")</f>
        <v>39</v>
      </c>
      <c r="C56" s="299"/>
      <c r="D56" s="298">
        <f>IFERROR(IF(Loan_Not_Paid*Values_Entered,Beginning_Balance,""), "")</f>
        <v>321925786.89804077</v>
      </c>
      <c r="E56" s="298">
        <f>IFERROR(IF(Loan_Not_Paid*Values_Entered,Monthly_Payment,""), "")</f>
        <v>1677512.1817411617</v>
      </c>
      <c r="F56" s="298">
        <f>IFERROR(IF(Loan_Not_Paid*Values_Entered,Principal,""), "")</f>
        <v>537358.35314393148</v>
      </c>
      <c r="G56" s="298">
        <f>IFERROR(IF(Loan_Not_Paid*Values_Entered,Interest,""), "")</f>
        <v>1140153.8285972304</v>
      </c>
      <c r="H56" s="298">
        <f>IFERROR(IF(Loan_Not_Paid*Values_Entered,Ending_Balance,""), "")</f>
        <v>321388428.54489684</v>
      </c>
    </row>
    <row r="57" spans="2:8">
      <c r="B57" s="300">
        <f>IFERROR(IF(Loan_Not_Paid*Values_Entered,Payment_Number,""), "")</f>
        <v>40</v>
      </c>
      <c r="C57" s="299"/>
      <c r="D57" s="298">
        <f>IFERROR(IF(Loan_Not_Paid*Values_Entered,Beginning_Balance,""), "")</f>
        <v>321388428.54489684</v>
      </c>
      <c r="E57" s="298">
        <f>IFERROR(IF(Loan_Not_Paid*Values_Entered,Monthly_Payment,""), "")</f>
        <v>1677512.1817411617</v>
      </c>
      <c r="F57" s="298">
        <f>IFERROR(IF(Loan_Not_Paid*Values_Entered,Principal,""), "")</f>
        <v>539261.4973113162</v>
      </c>
      <c r="G57" s="298">
        <f>IFERROR(IF(Loan_Not_Paid*Values_Entered,Interest,""), "")</f>
        <v>1138250.6844298455</v>
      </c>
      <c r="H57" s="298">
        <f>IFERROR(IF(Loan_Not_Paid*Values_Entered,Ending_Balance,""), "")</f>
        <v>320849167.04758543</v>
      </c>
    </row>
    <row r="58" spans="2:8">
      <c r="B58" s="300">
        <f>IFERROR(IF(Loan_Not_Paid*Values_Entered,Payment_Number,""), "")</f>
        <v>41</v>
      </c>
      <c r="C58" s="299"/>
      <c r="D58" s="298">
        <f>IFERROR(IF(Loan_Not_Paid*Values_Entered,Beginning_Balance,""), "")</f>
        <v>320849167.04758543</v>
      </c>
      <c r="E58" s="298">
        <f>IFERROR(IF(Loan_Not_Paid*Values_Entered,Monthly_Payment,""), "")</f>
        <v>1677512.1817411617</v>
      </c>
      <c r="F58" s="298">
        <f>IFERROR(IF(Loan_Not_Paid*Values_Entered,Principal,""), "")</f>
        <v>541171.38178096048</v>
      </c>
      <c r="G58" s="298">
        <f>IFERROR(IF(Loan_Not_Paid*Values_Entered,Interest,""), "")</f>
        <v>1136340.7999602011</v>
      </c>
      <c r="H58" s="298">
        <f>IFERROR(IF(Loan_Not_Paid*Values_Entered,Ending_Balance,""), "")</f>
        <v>320307995.66580451</v>
      </c>
    </row>
    <row r="59" spans="2:8">
      <c r="B59" s="300">
        <f>IFERROR(IF(Loan_Not_Paid*Values_Entered,Payment_Number,""), "")</f>
        <v>42</v>
      </c>
      <c r="C59" s="299"/>
      <c r="D59" s="298">
        <f>IFERROR(IF(Loan_Not_Paid*Values_Entered,Beginning_Balance,""), "")</f>
        <v>320307995.66580451</v>
      </c>
      <c r="E59" s="298">
        <f>IFERROR(IF(Loan_Not_Paid*Values_Entered,Monthly_Payment,""), "")</f>
        <v>1677512.1817411617</v>
      </c>
      <c r="F59" s="298">
        <f>IFERROR(IF(Loan_Not_Paid*Values_Entered,Principal,""), "")</f>
        <v>543088.03042476811</v>
      </c>
      <c r="G59" s="298">
        <f>IFERROR(IF(Loan_Not_Paid*Values_Entered,Interest,""), "")</f>
        <v>1134424.1513163936</v>
      </c>
      <c r="H59" s="298">
        <f>IFERROR(IF(Loan_Not_Paid*Values_Entered,Ending_Balance,""), "")</f>
        <v>319764907.63537967</v>
      </c>
    </row>
    <row r="60" spans="2:8">
      <c r="B60" s="300">
        <f>IFERROR(IF(Loan_Not_Paid*Values_Entered,Payment_Number,""), "")</f>
        <v>43</v>
      </c>
      <c r="C60" s="299"/>
      <c r="D60" s="298">
        <f>IFERROR(IF(Loan_Not_Paid*Values_Entered,Beginning_Balance,""), "")</f>
        <v>319764907.63537967</v>
      </c>
      <c r="E60" s="298">
        <f>IFERROR(IF(Loan_Not_Paid*Values_Entered,Monthly_Payment,""), "")</f>
        <v>1677512.1817411617</v>
      </c>
      <c r="F60" s="298">
        <f>IFERROR(IF(Loan_Not_Paid*Values_Entered,Principal,""), "")</f>
        <v>545011.46719918912</v>
      </c>
      <c r="G60" s="298">
        <f>IFERROR(IF(Loan_Not_Paid*Values_Entered,Interest,""), "")</f>
        <v>1132500.7145419724</v>
      </c>
      <c r="H60" s="298">
        <f>IFERROR(IF(Loan_Not_Paid*Values_Entered,Ending_Balance,""), "")</f>
        <v>319219896.16818047</v>
      </c>
    </row>
    <row r="61" spans="2:8">
      <c r="B61" s="300">
        <f>IFERROR(IF(Loan_Not_Paid*Values_Entered,Payment_Number,""), "")</f>
        <v>44</v>
      </c>
      <c r="C61" s="299"/>
      <c r="D61" s="298">
        <f>IFERROR(IF(Loan_Not_Paid*Values_Entered,Beginning_Balance,""), "")</f>
        <v>319219896.16818047</v>
      </c>
      <c r="E61" s="298">
        <f>IFERROR(IF(Loan_Not_Paid*Values_Entered,Monthly_Payment,""), "")</f>
        <v>1677512.1817411617</v>
      </c>
      <c r="F61" s="298">
        <f>IFERROR(IF(Loan_Not_Paid*Values_Entered,Principal,""), "")</f>
        <v>546941.71614551963</v>
      </c>
      <c r="G61" s="298">
        <f>IFERROR(IF(Loan_Not_Paid*Values_Entered,Interest,""), "")</f>
        <v>1130570.4655956419</v>
      </c>
      <c r="H61" s="298">
        <f>IFERROR(IF(Loan_Not_Paid*Values_Entered,Ending_Balance,""), "")</f>
        <v>318672954.45203495</v>
      </c>
    </row>
    <row r="62" spans="2:8">
      <c r="B62" s="300">
        <f>IFERROR(IF(Loan_Not_Paid*Values_Entered,Payment_Number,""), "")</f>
        <v>45</v>
      </c>
      <c r="C62" s="299"/>
      <c r="D62" s="298">
        <f>IFERROR(IF(Loan_Not_Paid*Values_Entered,Beginning_Balance,""), "")</f>
        <v>318672954.45203495</v>
      </c>
      <c r="E62" s="298">
        <f>IFERROR(IF(Loan_Not_Paid*Values_Entered,Monthly_Payment,""), "")</f>
        <v>1677512.1817411617</v>
      </c>
      <c r="F62" s="298">
        <f>IFERROR(IF(Loan_Not_Paid*Values_Entered,Principal,""), "")</f>
        <v>548878.80139020155</v>
      </c>
      <c r="G62" s="298">
        <f>IFERROR(IF(Loan_Not_Paid*Values_Entered,Interest,""), "")</f>
        <v>1128633.3803509602</v>
      </c>
      <c r="H62" s="298">
        <f>IFERROR(IF(Loan_Not_Paid*Values_Entered,Ending_Balance,""), "")</f>
        <v>318124075.65064472</v>
      </c>
    </row>
    <row r="63" spans="2:8">
      <c r="B63" s="300">
        <f>IFERROR(IF(Loan_Not_Paid*Values_Entered,Payment_Number,""), "")</f>
        <v>46</v>
      </c>
      <c r="C63" s="299"/>
      <c r="D63" s="298">
        <f>IFERROR(IF(Loan_Not_Paid*Values_Entered,Beginning_Balance,""), "")</f>
        <v>318124075.65064472</v>
      </c>
      <c r="E63" s="298">
        <f>IFERROR(IF(Loan_Not_Paid*Values_Entered,Monthly_Payment,""), "")</f>
        <v>1677512.1817411617</v>
      </c>
      <c r="F63" s="298">
        <f>IFERROR(IF(Loan_Not_Paid*Values_Entered,Principal,""), "")</f>
        <v>550822.74714512529</v>
      </c>
      <c r="G63" s="298">
        <f>IFERROR(IF(Loan_Not_Paid*Values_Entered,Interest,""), "")</f>
        <v>1126689.4345960363</v>
      </c>
      <c r="H63" s="298">
        <f>IFERROR(IF(Loan_Not_Paid*Values_Entered,Ending_Balance,""), "")</f>
        <v>317573252.90349954</v>
      </c>
    </row>
    <row r="64" spans="2:8">
      <c r="B64" s="300">
        <f>IFERROR(IF(Loan_Not_Paid*Values_Entered,Payment_Number,""), "")</f>
        <v>47</v>
      </c>
      <c r="C64" s="299"/>
      <c r="D64" s="298">
        <f>IFERROR(IF(Loan_Not_Paid*Values_Entered,Beginning_Balance,""), "")</f>
        <v>317573252.90349954</v>
      </c>
      <c r="E64" s="298">
        <f>IFERROR(IF(Loan_Not_Paid*Values_Entered,Monthly_Payment,""), "")</f>
        <v>1677512.1817411617</v>
      </c>
      <c r="F64" s="298">
        <f>IFERROR(IF(Loan_Not_Paid*Values_Entered,Principal,""), "")</f>
        <v>552773.57770793093</v>
      </c>
      <c r="G64" s="298">
        <f>IFERROR(IF(Loan_Not_Paid*Values_Entered,Interest,""), "")</f>
        <v>1124738.6040332308</v>
      </c>
      <c r="H64" s="298">
        <f>IFERROR(IF(Loan_Not_Paid*Values_Entered,Ending_Balance,""), "")</f>
        <v>317020479.3257916</v>
      </c>
    </row>
    <row r="65" spans="2:8">
      <c r="B65" s="300">
        <f>IFERROR(IF(Loan_Not_Paid*Values_Entered,Payment_Number,""), "")</f>
        <v>48</v>
      </c>
      <c r="C65" s="299"/>
      <c r="D65" s="298">
        <f>IFERROR(IF(Loan_Not_Paid*Values_Entered,Beginning_Balance,""), "")</f>
        <v>317020479.3257916</v>
      </c>
      <c r="E65" s="298">
        <f>IFERROR(IF(Loan_Not_Paid*Values_Entered,Monthly_Payment,""), "")</f>
        <v>1677512.1817411617</v>
      </c>
      <c r="F65" s="298">
        <f>IFERROR(IF(Loan_Not_Paid*Values_Entered,Principal,""), "")</f>
        <v>554731.31746231311</v>
      </c>
      <c r="G65" s="298">
        <f>IFERROR(IF(Loan_Not_Paid*Values_Entered,Interest,""), "")</f>
        <v>1122780.8642788485</v>
      </c>
      <c r="H65" s="298">
        <f>IFERROR(IF(Loan_Not_Paid*Values_Entered,Ending_Balance,""), "")</f>
        <v>316465748.00832927</v>
      </c>
    </row>
    <row r="66" spans="2:8">
      <c r="B66" s="300">
        <f>IFERROR(IF(Loan_Not_Paid*Values_Entered,Payment_Number,""), "")</f>
        <v>49</v>
      </c>
      <c r="C66" s="299"/>
      <c r="D66" s="298">
        <f>IFERROR(IF(Loan_Not_Paid*Values_Entered,Beginning_Balance,""), "")</f>
        <v>316465748.00832927</v>
      </c>
      <c r="E66" s="298">
        <f>IFERROR(IF(Loan_Not_Paid*Values_Entered,Monthly_Payment,""), "")</f>
        <v>1677512.1817411617</v>
      </c>
      <c r="F66" s="298">
        <f>IFERROR(IF(Loan_Not_Paid*Values_Entered,Principal,""), "")</f>
        <v>556695.99087832554</v>
      </c>
      <c r="G66" s="298">
        <f>IFERROR(IF(Loan_Not_Paid*Values_Entered,Interest,""), "")</f>
        <v>1120816.1908628363</v>
      </c>
      <c r="H66" s="298">
        <f>IFERROR(IF(Loan_Not_Paid*Values_Entered,Ending_Balance,""), "")</f>
        <v>315909052.01745099</v>
      </c>
    </row>
    <row r="67" spans="2:8">
      <c r="B67" s="300">
        <f>IFERROR(IF(Loan_Not_Paid*Values_Entered,Payment_Number,""), "")</f>
        <v>50</v>
      </c>
      <c r="C67" s="299"/>
      <c r="D67" s="298">
        <f>IFERROR(IF(Loan_Not_Paid*Values_Entered,Beginning_Balance,""), "")</f>
        <v>315909052.01745099</v>
      </c>
      <c r="E67" s="298">
        <f>IFERROR(IF(Loan_Not_Paid*Values_Entered,Monthly_Payment,""), "")</f>
        <v>1677512.1817411617</v>
      </c>
      <c r="F67" s="298">
        <f>IFERROR(IF(Loan_Not_Paid*Values_Entered,Principal,""), "")</f>
        <v>558667.6225126863</v>
      </c>
      <c r="G67" s="298">
        <f>IFERROR(IF(Loan_Not_Paid*Values_Entered,Interest,""), "")</f>
        <v>1118844.5592284752</v>
      </c>
      <c r="H67" s="298">
        <f>IFERROR(IF(Loan_Not_Paid*Values_Entered,Ending_Balance,""), "")</f>
        <v>315350384.39493823</v>
      </c>
    </row>
    <row r="68" spans="2:8">
      <c r="B68" s="300">
        <f>IFERROR(IF(Loan_Not_Paid*Values_Entered,Payment_Number,""), "")</f>
        <v>51</v>
      </c>
      <c r="C68" s="299"/>
      <c r="D68" s="298">
        <f>IFERROR(IF(Loan_Not_Paid*Values_Entered,Beginning_Balance,""), "")</f>
        <v>315350384.39493823</v>
      </c>
      <c r="E68" s="298">
        <f>IFERROR(IF(Loan_Not_Paid*Values_Entered,Monthly_Payment,""), "")</f>
        <v>1677512.1817411617</v>
      </c>
      <c r="F68" s="298">
        <f>IFERROR(IF(Loan_Not_Paid*Values_Entered,Principal,""), "")</f>
        <v>560646.23700908537</v>
      </c>
      <c r="G68" s="298">
        <f>IFERROR(IF(Loan_Not_Paid*Values_Entered,Interest,""), "")</f>
        <v>1116865.9447320765</v>
      </c>
      <c r="H68" s="298">
        <f>IFERROR(IF(Loan_Not_Paid*Values_Entered,Ending_Balance,""), "")</f>
        <v>314789738.15792912</v>
      </c>
    </row>
    <row r="69" spans="2:8">
      <c r="B69" s="300">
        <f>IFERROR(IF(Loan_Not_Paid*Values_Entered,Payment_Number,""), "")</f>
        <v>52</v>
      </c>
      <c r="C69" s="299"/>
      <c r="D69" s="298">
        <f>IFERROR(IF(Loan_Not_Paid*Values_Entered,Beginning_Balance,""), "")</f>
        <v>314789738.15792912</v>
      </c>
      <c r="E69" s="298">
        <f>IFERROR(IF(Loan_Not_Paid*Values_Entered,Monthly_Payment,""), "")</f>
        <v>1677512.1817411617</v>
      </c>
      <c r="F69" s="298">
        <f>IFERROR(IF(Loan_Not_Paid*Values_Entered,Principal,""), "")</f>
        <v>562631.85909849266</v>
      </c>
      <c r="G69" s="298">
        <f>IFERROR(IF(Loan_Not_Paid*Values_Entered,Interest,""), "")</f>
        <v>1114880.3226426691</v>
      </c>
      <c r="H69" s="298">
        <f>IFERROR(IF(Loan_Not_Paid*Values_Entered,Ending_Balance,""), "")</f>
        <v>314227106.29883063</v>
      </c>
    </row>
    <row r="70" spans="2:8">
      <c r="B70" s="300">
        <f>IFERROR(IF(Loan_Not_Paid*Values_Entered,Payment_Number,""), "")</f>
        <v>53</v>
      </c>
      <c r="C70" s="299"/>
      <c r="D70" s="298">
        <f>IFERROR(IF(Loan_Not_Paid*Values_Entered,Beginning_Balance,""), "")</f>
        <v>314227106.29883063</v>
      </c>
      <c r="E70" s="298">
        <f>IFERROR(IF(Loan_Not_Paid*Values_Entered,Monthly_Payment,""), "")</f>
        <v>1677512.1817411617</v>
      </c>
      <c r="F70" s="298">
        <f>IFERROR(IF(Loan_Not_Paid*Values_Entered,Principal,""), "")</f>
        <v>564624.5135994663</v>
      </c>
      <c r="G70" s="298">
        <f>IFERROR(IF(Loan_Not_Paid*Values_Entered,Interest,""), "")</f>
        <v>1112887.6681416954</v>
      </c>
      <c r="H70" s="298">
        <f>IFERROR(IF(Loan_Not_Paid*Values_Entered,Ending_Balance,""), "")</f>
        <v>313662481.78523111</v>
      </c>
    </row>
    <row r="71" spans="2:8">
      <c r="B71" s="300">
        <f>IFERROR(IF(Loan_Not_Paid*Values_Entered,Payment_Number,""), "")</f>
        <v>54</v>
      </c>
      <c r="C71" s="299"/>
      <c r="D71" s="298">
        <f>IFERROR(IF(Loan_Not_Paid*Values_Entered,Beginning_Balance,""), "")</f>
        <v>313662481.78523111</v>
      </c>
      <c r="E71" s="298">
        <f>IFERROR(IF(Loan_Not_Paid*Values_Entered,Monthly_Payment,""), "")</f>
        <v>1677512.1817411617</v>
      </c>
      <c r="F71" s="298">
        <f>IFERROR(IF(Loan_Not_Paid*Values_Entered,Principal,""), "")</f>
        <v>566624.22541846451</v>
      </c>
      <c r="G71" s="298">
        <f>IFERROR(IF(Loan_Not_Paid*Values_Entered,Interest,""), "")</f>
        <v>1110887.9563226972</v>
      </c>
      <c r="H71" s="298">
        <f>IFERROR(IF(Loan_Not_Paid*Values_Entered,Ending_Balance,""), "")</f>
        <v>313095857.55981261</v>
      </c>
    </row>
    <row r="72" spans="2:8">
      <c r="B72" s="300">
        <f>IFERROR(IF(Loan_Not_Paid*Values_Entered,Payment_Number,""), "")</f>
        <v>55</v>
      </c>
      <c r="C72" s="299"/>
      <c r="D72" s="298">
        <f>IFERROR(IF(Loan_Not_Paid*Values_Entered,Beginning_Balance,""), "")</f>
        <v>313095857.55981261</v>
      </c>
      <c r="E72" s="298">
        <f>IFERROR(IF(Loan_Not_Paid*Values_Entered,Monthly_Payment,""), "")</f>
        <v>1677512.1817411617</v>
      </c>
      <c r="F72" s="298">
        <f>IFERROR(IF(Loan_Not_Paid*Values_Entered,Principal,""), "")</f>
        <v>568631.0195501548</v>
      </c>
      <c r="G72" s="298">
        <f>IFERROR(IF(Loan_Not_Paid*Values_Entered,Interest,""), "")</f>
        <v>1108881.1621910068</v>
      </c>
      <c r="H72" s="298">
        <f>IFERROR(IF(Loan_Not_Paid*Values_Entered,Ending_Balance,""), "")</f>
        <v>312527226.54026246</v>
      </c>
    </row>
    <row r="73" spans="2:8">
      <c r="B73" s="300">
        <f>IFERROR(IF(Loan_Not_Paid*Values_Entered,Payment_Number,""), "")</f>
        <v>56</v>
      </c>
      <c r="C73" s="299"/>
      <c r="D73" s="298">
        <f>IFERROR(IF(Loan_Not_Paid*Values_Entered,Beginning_Balance,""), "")</f>
        <v>312527226.54026246</v>
      </c>
      <c r="E73" s="298">
        <f>IFERROR(IF(Loan_Not_Paid*Values_Entered,Monthly_Payment,""), "")</f>
        <v>1677512.1817411617</v>
      </c>
      <c r="F73" s="298">
        <f>IFERROR(IF(Loan_Not_Paid*Values_Entered,Principal,""), "")</f>
        <v>570644.92107772839</v>
      </c>
      <c r="G73" s="298">
        <f>IFERROR(IF(Loan_Not_Paid*Values_Entered,Interest,""), "")</f>
        <v>1106867.2606634335</v>
      </c>
      <c r="H73" s="298">
        <f>IFERROR(IF(Loan_Not_Paid*Values_Entered,Ending_Balance,""), "")</f>
        <v>311956581.61918473</v>
      </c>
    </row>
    <row r="74" spans="2:8">
      <c r="B74" s="300">
        <f>IFERROR(IF(Loan_Not_Paid*Values_Entered,Payment_Number,""), "")</f>
        <v>57</v>
      </c>
      <c r="C74" s="299"/>
      <c r="D74" s="298">
        <f>IFERROR(IF(Loan_Not_Paid*Values_Entered,Beginning_Balance,""), "")</f>
        <v>311956581.61918473</v>
      </c>
      <c r="E74" s="298">
        <f>IFERROR(IF(Loan_Not_Paid*Values_Entered,Monthly_Payment,""), "")</f>
        <v>1677512.1817411617</v>
      </c>
      <c r="F74" s="298">
        <f>IFERROR(IF(Loan_Not_Paid*Values_Entered,Principal,""), "")</f>
        <v>572665.95517321199</v>
      </c>
      <c r="G74" s="298">
        <f>IFERROR(IF(Loan_Not_Paid*Values_Entered,Interest,""), "")</f>
        <v>1104846.2265679499</v>
      </c>
      <c r="H74" s="298">
        <f>IFERROR(IF(Loan_Not_Paid*Values_Entered,Ending_Balance,""), "")</f>
        <v>311383915.66401148</v>
      </c>
    </row>
    <row r="75" spans="2:8">
      <c r="B75" s="300">
        <f>IFERROR(IF(Loan_Not_Paid*Values_Entered,Payment_Number,""), "")</f>
        <v>58</v>
      </c>
      <c r="C75" s="299"/>
      <c r="D75" s="298">
        <f>IFERROR(IF(Loan_Not_Paid*Values_Entered,Beginning_Balance,""), "")</f>
        <v>311383915.66401148</v>
      </c>
      <c r="E75" s="298">
        <f>IFERROR(IF(Loan_Not_Paid*Values_Entered,Monthly_Payment,""), "")</f>
        <v>1677512.1817411617</v>
      </c>
      <c r="F75" s="298">
        <f>IFERROR(IF(Loan_Not_Paid*Values_Entered,Principal,""), "")</f>
        <v>574694.14709778375</v>
      </c>
      <c r="G75" s="298">
        <f>IFERROR(IF(Loan_Not_Paid*Values_Entered,Interest,""), "")</f>
        <v>1102818.0346433779</v>
      </c>
      <c r="H75" s="298">
        <f>IFERROR(IF(Loan_Not_Paid*Values_Entered,Ending_Balance,""), "")</f>
        <v>310809221.51691371</v>
      </c>
    </row>
    <row r="76" spans="2:8">
      <c r="B76" s="300">
        <f>IFERROR(IF(Loan_Not_Paid*Values_Entered,Payment_Number,""), "")</f>
        <v>59</v>
      </c>
      <c r="C76" s="299"/>
      <c r="D76" s="298">
        <f>IFERROR(IF(Loan_Not_Paid*Values_Entered,Beginning_Balance,""), "")</f>
        <v>310809221.51691371</v>
      </c>
      <c r="E76" s="298">
        <f>IFERROR(IF(Loan_Not_Paid*Values_Entered,Monthly_Payment,""), "")</f>
        <v>1677512.1817411617</v>
      </c>
      <c r="F76" s="298">
        <f>IFERROR(IF(Loan_Not_Paid*Values_Entered,Principal,""), "")</f>
        <v>576729.52220208838</v>
      </c>
      <c r="G76" s="298">
        <f>IFERROR(IF(Loan_Not_Paid*Values_Entered,Interest,""), "")</f>
        <v>1100782.6595390732</v>
      </c>
      <c r="H76" s="298">
        <f>IFERROR(IF(Loan_Not_Paid*Values_Entered,Ending_Balance,""), "")</f>
        <v>310232491.99471152</v>
      </c>
    </row>
    <row r="77" spans="2:8">
      <c r="B77" s="300">
        <f>IFERROR(IF(Loan_Not_Paid*Values_Entered,Payment_Number,""), "")</f>
        <v>60</v>
      </c>
      <c r="C77" s="299"/>
      <c r="D77" s="298">
        <f>IFERROR(IF(Loan_Not_Paid*Values_Entered,Beginning_Balance,""), "")</f>
        <v>310232491.99471152</v>
      </c>
      <c r="E77" s="298">
        <f>IFERROR(IF(Loan_Not_Paid*Values_Entered,Monthly_Payment,""), "")</f>
        <v>1677512.1817411617</v>
      </c>
      <c r="F77" s="298">
        <f>IFERROR(IF(Loan_Not_Paid*Values_Entered,Principal,""), "")</f>
        <v>578772.10592655407</v>
      </c>
      <c r="G77" s="298">
        <f>IFERROR(IF(Loan_Not_Paid*Values_Entered,Interest,""), "")</f>
        <v>1098740.0758146076</v>
      </c>
      <c r="H77" s="298">
        <f>IFERROR(IF(Loan_Not_Paid*Values_Entered,Ending_Balance,""), "")</f>
        <v>309653719.888785</v>
      </c>
    </row>
    <row r="78" spans="2:8">
      <c r="B78" s="300">
        <f>IFERROR(IF(Loan_Not_Paid*Values_Entered,Payment_Number,""), "")</f>
        <v>61</v>
      </c>
      <c r="C78" s="299"/>
      <c r="D78" s="298">
        <f>IFERROR(IF(Loan_Not_Paid*Values_Entered,Beginning_Balance,""), "")</f>
        <v>309653719.888785</v>
      </c>
      <c r="E78" s="298">
        <f>IFERROR(IF(Loan_Not_Paid*Values_Entered,Monthly_Payment,""), "")</f>
        <v>1677512.1817411617</v>
      </c>
      <c r="F78" s="298">
        <f>IFERROR(IF(Loan_Not_Paid*Values_Entered,Principal,""), "")</f>
        <v>580821.9238017106</v>
      </c>
      <c r="G78" s="298">
        <f>IFERROR(IF(Loan_Not_Paid*Values_Entered,Interest,""), "")</f>
        <v>1096690.2579394509</v>
      </c>
      <c r="H78" s="298">
        <f>IFERROR(IF(Loan_Not_Paid*Values_Entered,Ending_Balance,""), "")</f>
        <v>309072897.96498322</v>
      </c>
    </row>
    <row r="79" spans="2:8">
      <c r="B79" s="300">
        <f>IFERROR(IF(Loan_Not_Paid*Values_Entered,Payment_Number,""), "")</f>
        <v>62</v>
      </c>
      <c r="C79" s="299"/>
      <c r="D79" s="298">
        <f>IFERROR(IF(Loan_Not_Paid*Values_Entered,Beginning_Balance,""), "")</f>
        <v>309072897.96498322</v>
      </c>
      <c r="E79" s="298">
        <f>IFERROR(IF(Loan_Not_Paid*Values_Entered,Monthly_Payment,""), "")</f>
        <v>1677512.1817411617</v>
      </c>
      <c r="F79" s="298">
        <f>IFERROR(IF(Loan_Not_Paid*Values_Entered,Principal,""), "")</f>
        <v>582879.00144850847</v>
      </c>
      <c r="G79" s="298">
        <f>IFERROR(IF(Loan_Not_Paid*Values_Entered,Interest,""), "")</f>
        <v>1094633.1802926532</v>
      </c>
      <c r="H79" s="298">
        <f>IFERROR(IF(Loan_Not_Paid*Values_Entered,Ending_Balance,""), "")</f>
        <v>308490018.96353471</v>
      </c>
    </row>
    <row r="80" spans="2:8">
      <c r="B80" s="300">
        <f>IFERROR(IF(Loan_Not_Paid*Values_Entered,Payment_Number,""), "")</f>
        <v>63</v>
      </c>
      <c r="C80" s="299"/>
      <c r="D80" s="298">
        <f>IFERROR(IF(Loan_Not_Paid*Values_Entered,Beginning_Balance,""), "")</f>
        <v>308490018.96353471</v>
      </c>
      <c r="E80" s="298">
        <f>IFERROR(IF(Loan_Not_Paid*Values_Entered,Monthly_Payment,""), "")</f>
        <v>1677512.1817411617</v>
      </c>
      <c r="F80" s="298">
        <f>IFERROR(IF(Loan_Not_Paid*Values_Entered,Principal,""), "")</f>
        <v>584943.36457863858</v>
      </c>
      <c r="G80" s="298">
        <f>IFERROR(IF(Loan_Not_Paid*Values_Entered,Interest,""), "")</f>
        <v>1092568.8171625233</v>
      </c>
      <c r="H80" s="298">
        <f>IFERROR(IF(Loan_Not_Paid*Values_Entered,Ending_Balance,""), "")</f>
        <v>307905075.59895605</v>
      </c>
    </row>
    <row r="81" spans="2:8">
      <c r="B81" s="300">
        <f>IFERROR(IF(Loan_Not_Paid*Values_Entered,Payment_Number,""), "")</f>
        <v>64</v>
      </c>
      <c r="C81" s="299"/>
      <c r="D81" s="298">
        <f>IFERROR(IF(Loan_Not_Paid*Values_Entered,Beginning_Balance,""), "")</f>
        <v>307905075.59895605</v>
      </c>
      <c r="E81" s="298">
        <f>IFERROR(IF(Loan_Not_Paid*Values_Entered,Monthly_Payment,""), "")</f>
        <v>1677512.1817411617</v>
      </c>
      <c r="F81" s="298">
        <f>IFERROR(IF(Loan_Not_Paid*Values_Entered,Principal,""), "")</f>
        <v>587015.03899485455</v>
      </c>
      <c r="G81" s="298">
        <f>IFERROR(IF(Loan_Not_Paid*Values_Entered,Interest,""), "")</f>
        <v>1090497.142746307</v>
      </c>
      <c r="H81" s="298">
        <f>IFERROR(IF(Loan_Not_Paid*Values_Entered,Ending_Balance,""), "")</f>
        <v>307318060.5599612</v>
      </c>
    </row>
    <row r="82" spans="2:8">
      <c r="B82" s="300">
        <f>IFERROR(IF(Loan_Not_Paid*Values_Entered,Payment_Number,""), "")</f>
        <v>65</v>
      </c>
      <c r="C82" s="299"/>
      <c r="D82" s="298">
        <f>IFERROR(IF(Loan_Not_Paid*Values_Entered,Beginning_Balance,""), "")</f>
        <v>307318060.5599612</v>
      </c>
      <c r="E82" s="298">
        <f>IFERROR(IF(Loan_Not_Paid*Values_Entered,Monthly_Payment,""), "")</f>
        <v>1677512.1817411617</v>
      </c>
      <c r="F82" s="298">
        <f>IFERROR(IF(Loan_Not_Paid*Values_Entered,Principal,""), "")</f>
        <v>589094.05059129465</v>
      </c>
      <c r="G82" s="298">
        <f>IFERROR(IF(Loan_Not_Paid*Values_Entered,Interest,""), "")</f>
        <v>1088418.1311498671</v>
      </c>
      <c r="H82" s="298">
        <f>IFERROR(IF(Loan_Not_Paid*Values_Entered,Ending_Balance,""), "")</f>
        <v>306728966.50936985</v>
      </c>
    </row>
    <row r="83" spans="2:8">
      <c r="B83" s="300">
        <f>IFERROR(IF(Loan_Not_Paid*Values_Entered,Payment_Number,""), "")</f>
        <v>66</v>
      </c>
      <c r="C83" s="299"/>
      <c r="D83" s="298">
        <f>IFERROR(IF(Loan_Not_Paid*Values_Entered,Beginning_Balance,""), "")</f>
        <v>306728966.50936985</v>
      </c>
      <c r="E83" s="298">
        <f>IFERROR(IF(Loan_Not_Paid*Values_Entered,Monthly_Payment,""), "")</f>
        <v>1677512.1817411617</v>
      </c>
      <c r="F83" s="298">
        <f>IFERROR(IF(Loan_Not_Paid*Values_Entered,Principal,""), "")</f>
        <v>591180.42535380553</v>
      </c>
      <c r="G83" s="298">
        <f>IFERROR(IF(Loan_Not_Paid*Values_Entered,Interest,""), "")</f>
        <v>1086331.756387356</v>
      </c>
      <c r="H83" s="298">
        <f>IFERROR(IF(Loan_Not_Paid*Values_Entered,Ending_Balance,""), "")</f>
        <v>306137786.08401608</v>
      </c>
    </row>
    <row r="84" spans="2:8">
      <c r="B84" s="300">
        <f>IFERROR(IF(Loan_Not_Paid*Values_Entered,Payment_Number,""), "")</f>
        <v>67</v>
      </c>
      <c r="C84" s="299"/>
      <c r="D84" s="298">
        <f>IFERROR(IF(Loan_Not_Paid*Values_Entered,Beginning_Balance,""), "")</f>
        <v>306137786.08401608</v>
      </c>
      <c r="E84" s="298">
        <f>IFERROR(IF(Loan_Not_Paid*Values_Entered,Monthly_Payment,""), "")</f>
        <v>1677512.1817411617</v>
      </c>
      <c r="F84" s="298">
        <f>IFERROR(IF(Loan_Not_Paid*Values_Entered,Principal,""), "")</f>
        <v>593274.1893602669</v>
      </c>
      <c r="G84" s="298">
        <f>IFERROR(IF(Loan_Not_Paid*Values_Entered,Interest,""), "")</f>
        <v>1084237.9923808947</v>
      </c>
      <c r="H84" s="298">
        <f>IFERROR(IF(Loan_Not_Paid*Values_Entered,Ending_Balance,""), "")</f>
        <v>305544511.8946557</v>
      </c>
    </row>
    <row r="85" spans="2:8">
      <c r="B85" s="300">
        <f>IFERROR(IF(Loan_Not_Paid*Values_Entered,Payment_Number,""), "")</f>
        <v>68</v>
      </c>
      <c r="C85" s="299"/>
      <c r="D85" s="298">
        <f>IFERROR(IF(Loan_Not_Paid*Values_Entered,Beginning_Balance,""), "")</f>
        <v>305544511.8946557</v>
      </c>
      <c r="E85" s="298">
        <f>IFERROR(IF(Loan_Not_Paid*Values_Entered,Monthly_Payment,""), "")</f>
        <v>1677512.1817411617</v>
      </c>
      <c r="F85" s="298">
        <f>IFERROR(IF(Loan_Not_Paid*Values_Entered,Principal,""), "")</f>
        <v>595375.36878091784</v>
      </c>
      <c r="G85" s="298">
        <f>IFERROR(IF(Loan_Not_Paid*Values_Entered,Interest,""), "")</f>
        <v>1082136.8129602438</v>
      </c>
      <c r="H85" s="298">
        <f>IFERROR(IF(Loan_Not_Paid*Values_Entered,Ending_Balance,""), "")</f>
        <v>304949136.52587479</v>
      </c>
    </row>
    <row r="86" spans="2:8">
      <c r="B86" s="300">
        <f>IFERROR(IF(Loan_Not_Paid*Values_Entered,Payment_Number,""), "")</f>
        <v>69</v>
      </c>
      <c r="C86" s="299"/>
      <c r="D86" s="298">
        <f>IFERROR(IF(Loan_Not_Paid*Values_Entered,Beginning_Balance,""), "")</f>
        <v>304949136.52587479</v>
      </c>
      <c r="E86" s="298">
        <f>IFERROR(IF(Loan_Not_Paid*Values_Entered,Monthly_Payment,""), "")</f>
        <v>1677512.1817411617</v>
      </c>
      <c r="F86" s="298">
        <f>IFERROR(IF(Loan_Not_Paid*Values_Entered,Principal,""), "")</f>
        <v>597483.98987868358</v>
      </c>
      <c r="G86" s="298">
        <f>IFERROR(IF(Loan_Not_Paid*Values_Entered,Interest,""), "")</f>
        <v>1080028.1918624782</v>
      </c>
      <c r="H86" s="298">
        <f>IFERROR(IF(Loan_Not_Paid*Values_Entered,Ending_Balance,""), "")</f>
        <v>304351652.53599608</v>
      </c>
    </row>
    <row r="87" spans="2:8">
      <c r="B87" s="300">
        <f>IFERROR(IF(Loan_Not_Paid*Values_Entered,Payment_Number,""), "")</f>
        <v>70</v>
      </c>
      <c r="C87" s="299"/>
      <c r="D87" s="298">
        <f>IFERROR(IF(Loan_Not_Paid*Values_Entered,Beginning_Balance,""), "")</f>
        <v>304351652.53599608</v>
      </c>
      <c r="E87" s="298">
        <f>IFERROR(IF(Loan_Not_Paid*Values_Entered,Monthly_Payment,""), "")</f>
        <v>1677512.1817411617</v>
      </c>
      <c r="F87" s="298">
        <f>IFERROR(IF(Loan_Not_Paid*Values_Entered,Principal,""), "")</f>
        <v>599600.07900950394</v>
      </c>
      <c r="G87" s="298">
        <f>IFERROR(IF(Loan_Not_Paid*Values_Entered,Interest,""), "")</f>
        <v>1077912.1027316577</v>
      </c>
      <c r="H87" s="298">
        <f>IFERROR(IF(Loan_Not_Paid*Values_Entered,Ending_Balance,""), "")</f>
        <v>303752052.45698655</v>
      </c>
    </row>
    <row r="88" spans="2:8">
      <c r="B88" s="300">
        <f>IFERROR(IF(Loan_Not_Paid*Values_Entered,Payment_Number,""), "")</f>
        <v>71</v>
      </c>
      <c r="C88" s="299"/>
      <c r="D88" s="298">
        <f>IFERROR(IF(Loan_Not_Paid*Values_Entered,Beginning_Balance,""), "")</f>
        <v>303752052.45698655</v>
      </c>
      <c r="E88" s="298">
        <f>IFERROR(IF(Loan_Not_Paid*Values_Entered,Monthly_Payment,""), "")</f>
        <v>1677512.1817411617</v>
      </c>
      <c r="F88" s="298">
        <f>IFERROR(IF(Loan_Not_Paid*Values_Entered,Principal,""), "")</f>
        <v>601723.66262266261</v>
      </c>
      <c r="G88" s="298">
        <f>IFERROR(IF(Loan_Not_Paid*Values_Entered,Interest,""), "")</f>
        <v>1075788.5191184995</v>
      </c>
      <c r="H88" s="298">
        <f>IFERROR(IF(Loan_Not_Paid*Values_Entered,Ending_Balance,""), "")</f>
        <v>303150328.7943638</v>
      </c>
    </row>
    <row r="89" spans="2:8">
      <c r="B89" s="300">
        <f>IFERROR(IF(Loan_Not_Paid*Values_Entered,Payment_Number,""), "")</f>
        <v>72</v>
      </c>
      <c r="C89" s="299"/>
      <c r="D89" s="298">
        <f>IFERROR(IF(Loan_Not_Paid*Values_Entered,Beginning_Balance,""), "")</f>
        <v>303150328.7943638</v>
      </c>
      <c r="E89" s="298">
        <f>IFERROR(IF(Loan_Not_Paid*Values_Entered,Monthly_Payment,""), "")</f>
        <v>1677512.1817411617</v>
      </c>
      <c r="F89" s="298">
        <f>IFERROR(IF(Loan_Not_Paid*Values_Entered,Principal,""), "")</f>
        <v>603854.76726111793</v>
      </c>
      <c r="G89" s="298">
        <f>IFERROR(IF(Loan_Not_Paid*Values_Entered,Interest,""), "")</f>
        <v>1073657.4144800438</v>
      </c>
      <c r="H89" s="298">
        <f>IFERROR(IF(Loan_Not_Paid*Values_Entered,Ending_Balance,""), "")</f>
        <v>302546474.02710271</v>
      </c>
    </row>
    <row r="90" spans="2:8">
      <c r="B90" s="300">
        <f>IFERROR(IF(Loan_Not_Paid*Values_Entered,Payment_Number,""), "")</f>
        <v>73</v>
      </c>
      <c r="C90" s="299"/>
      <c r="D90" s="298">
        <f>IFERROR(IF(Loan_Not_Paid*Values_Entered,Beginning_Balance,""), "")</f>
        <v>302546474.02710271</v>
      </c>
      <c r="E90" s="298">
        <f>IFERROR(IF(Loan_Not_Paid*Values_Entered,Monthly_Payment,""), "")</f>
        <v>1677512.1817411617</v>
      </c>
      <c r="F90" s="298">
        <f>IFERROR(IF(Loan_Not_Paid*Values_Entered,Principal,""), "")</f>
        <v>605993.41956183431</v>
      </c>
      <c r="G90" s="298">
        <f>IFERROR(IF(Loan_Not_Paid*Values_Entered,Interest,""), "")</f>
        <v>1071518.7621793274</v>
      </c>
      <c r="H90" s="298">
        <f>IFERROR(IF(Loan_Not_Paid*Values_Entered,Ending_Balance,""), "")</f>
        <v>301940480.60754085</v>
      </c>
    </row>
    <row r="91" spans="2:8">
      <c r="B91" s="300">
        <f>IFERROR(IF(Loan_Not_Paid*Values_Entered,Payment_Number,""), "")</f>
        <v>74</v>
      </c>
      <c r="C91" s="299"/>
      <c r="D91" s="298">
        <f>IFERROR(IF(Loan_Not_Paid*Values_Entered,Beginning_Balance,""), "")</f>
        <v>301940480.60754085</v>
      </c>
      <c r="E91" s="298">
        <f>IFERROR(IF(Loan_Not_Paid*Values_Entered,Monthly_Payment,""), "")</f>
        <v>1677512.1817411617</v>
      </c>
      <c r="F91" s="298">
        <f>IFERROR(IF(Loan_Not_Paid*Values_Entered,Principal,""), "")</f>
        <v>608139.64625611587</v>
      </c>
      <c r="G91" s="298">
        <f>IFERROR(IF(Loan_Not_Paid*Values_Entered,Interest,""), "")</f>
        <v>1069372.5354850458</v>
      </c>
      <c r="H91" s="298">
        <f>IFERROR(IF(Loan_Not_Paid*Values_Entered,Ending_Balance,""), "")</f>
        <v>301332340.96128476</v>
      </c>
    </row>
    <row r="92" spans="2:8">
      <c r="B92" s="300">
        <f>IFERROR(IF(Loan_Not_Paid*Values_Entered,Payment_Number,""), "")</f>
        <v>75</v>
      </c>
      <c r="C92" s="299"/>
      <c r="D92" s="298">
        <f>IFERROR(IF(Loan_Not_Paid*Values_Entered,Beginning_Balance,""), "")</f>
        <v>301332340.96128476</v>
      </c>
      <c r="E92" s="298">
        <f>IFERROR(IF(Loan_Not_Paid*Values_Entered,Monthly_Payment,""), "")</f>
        <v>1677512.1817411617</v>
      </c>
      <c r="F92" s="298">
        <f>IFERROR(IF(Loan_Not_Paid*Values_Entered,Principal,""), "")</f>
        <v>610293.47416993952</v>
      </c>
      <c r="G92" s="298">
        <f>IFERROR(IF(Loan_Not_Paid*Values_Entered,Interest,""), "")</f>
        <v>1067218.7075712222</v>
      </c>
      <c r="H92" s="298">
        <f>IFERROR(IF(Loan_Not_Paid*Values_Entered,Ending_Balance,""), "")</f>
        <v>300722047.48711473</v>
      </c>
    </row>
    <row r="93" spans="2:8">
      <c r="B93" s="300">
        <f>IFERROR(IF(Loan_Not_Paid*Values_Entered,Payment_Number,""), "")</f>
        <v>76</v>
      </c>
      <c r="C93" s="299"/>
      <c r="D93" s="298">
        <f>IFERROR(IF(Loan_Not_Paid*Values_Entered,Beginning_Balance,""), "")</f>
        <v>300722047.48711473</v>
      </c>
      <c r="E93" s="298">
        <f>IFERROR(IF(Loan_Not_Paid*Values_Entered,Monthly_Payment,""), "")</f>
        <v>1677512.1817411617</v>
      </c>
      <c r="F93" s="298">
        <f>IFERROR(IF(Loan_Not_Paid*Values_Entered,Principal,""), "")</f>
        <v>612454.93022429151</v>
      </c>
      <c r="G93" s="298">
        <f>IFERROR(IF(Loan_Not_Paid*Values_Entered,Interest,""), "")</f>
        <v>1065057.2515168702</v>
      </c>
      <c r="H93" s="298">
        <f>IFERROR(IF(Loan_Not_Paid*Values_Entered,Ending_Balance,""), "")</f>
        <v>300109592.55689043</v>
      </c>
    </row>
    <row r="94" spans="2:8">
      <c r="B94" s="300">
        <f>IFERROR(IF(Loan_Not_Paid*Values_Entered,Payment_Number,""), "")</f>
        <v>77</v>
      </c>
      <c r="C94" s="299"/>
      <c r="D94" s="298">
        <f>IFERROR(IF(Loan_Not_Paid*Values_Entered,Beginning_Balance,""), "")</f>
        <v>300109592.55689043</v>
      </c>
      <c r="E94" s="298">
        <f>IFERROR(IF(Loan_Not_Paid*Values_Entered,Monthly_Payment,""), "")</f>
        <v>1677512.1817411617</v>
      </c>
      <c r="F94" s="298">
        <f>IFERROR(IF(Loan_Not_Paid*Values_Entered,Principal,""), "")</f>
        <v>614624.04143550247</v>
      </c>
      <c r="G94" s="298">
        <f>IFERROR(IF(Loan_Not_Paid*Values_Entered,Interest,""), "")</f>
        <v>1062888.1403056593</v>
      </c>
      <c r="H94" s="298">
        <f>IFERROR(IF(Loan_Not_Paid*Values_Entered,Ending_Balance,""), "")</f>
        <v>299494968.51545489</v>
      </c>
    </row>
    <row r="95" spans="2:8">
      <c r="B95" s="300">
        <f>IFERROR(IF(Loan_Not_Paid*Values_Entered,Payment_Number,""), "")</f>
        <v>78</v>
      </c>
      <c r="C95" s="299"/>
      <c r="D95" s="298">
        <f>IFERROR(IF(Loan_Not_Paid*Values_Entered,Beginning_Balance,""), "")</f>
        <v>299494968.51545489</v>
      </c>
      <c r="E95" s="298">
        <f>IFERROR(IF(Loan_Not_Paid*Values_Entered,Monthly_Payment,""), "")</f>
        <v>1677512.1817411617</v>
      </c>
      <c r="F95" s="298">
        <f>IFERROR(IF(Loan_Not_Paid*Values_Entered,Principal,""), "")</f>
        <v>616800.83491558651</v>
      </c>
      <c r="G95" s="298">
        <f>IFERROR(IF(Loan_Not_Paid*Values_Entered,Interest,""), "")</f>
        <v>1060711.3468255752</v>
      </c>
      <c r="H95" s="298">
        <f>IFERROR(IF(Loan_Not_Paid*Values_Entered,Ending_Balance,""), "")</f>
        <v>298878167.68053931</v>
      </c>
    </row>
    <row r="96" spans="2:8">
      <c r="B96" s="300">
        <f>IFERROR(IF(Loan_Not_Paid*Values_Entered,Payment_Number,""), "")</f>
        <v>79</v>
      </c>
      <c r="C96" s="299"/>
      <c r="D96" s="298">
        <f>IFERROR(IF(Loan_Not_Paid*Values_Entered,Beginning_Balance,""), "")</f>
        <v>298878167.68053931</v>
      </c>
      <c r="E96" s="298">
        <f>IFERROR(IF(Loan_Not_Paid*Values_Entered,Monthly_Payment,""), "")</f>
        <v>1677512.1817411617</v>
      </c>
      <c r="F96" s="298">
        <f>IFERROR(IF(Loan_Not_Paid*Values_Entered,Principal,""), "")</f>
        <v>618985.33787257923</v>
      </c>
      <c r="G96" s="298">
        <f>IFERROR(IF(Loan_Not_Paid*Values_Entered,Interest,""), "")</f>
        <v>1058526.8438685825</v>
      </c>
      <c r="H96" s="298">
        <f>IFERROR(IF(Loan_Not_Paid*Values_Entered,Ending_Balance,""), "")</f>
        <v>298259182.34266669</v>
      </c>
    </row>
    <row r="97" spans="2:8">
      <c r="B97" s="300">
        <f>IFERROR(IF(Loan_Not_Paid*Values_Entered,Payment_Number,""), "")</f>
        <v>80</v>
      </c>
      <c r="C97" s="299"/>
      <c r="D97" s="298">
        <f>IFERROR(IF(Loan_Not_Paid*Values_Entered,Beginning_Balance,""), "")</f>
        <v>298259182.34266669</v>
      </c>
      <c r="E97" s="298">
        <f>IFERROR(IF(Loan_Not_Paid*Values_Entered,Monthly_Payment,""), "")</f>
        <v>1677512.1817411617</v>
      </c>
      <c r="F97" s="298">
        <f>IFERROR(IF(Loan_Not_Paid*Values_Entered,Principal,""), "")</f>
        <v>621177.57761087804</v>
      </c>
      <c r="G97" s="298">
        <f>IFERROR(IF(Loan_Not_Paid*Values_Entered,Interest,""), "")</f>
        <v>1056334.6041302837</v>
      </c>
      <c r="H97" s="298">
        <f>IFERROR(IF(Loan_Not_Paid*Values_Entered,Ending_Balance,""), "")</f>
        <v>297638004.76505578</v>
      </c>
    </row>
    <row r="98" spans="2:8">
      <c r="B98" s="300">
        <f>IFERROR(IF(Loan_Not_Paid*Values_Entered,Payment_Number,""), "")</f>
        <v>81</v>
      </c>
      <c r="C98" s="299"/>
      <c r="D98" s="298">
        <f>IFERROR(IF(Loan_Not_Paid*Values_Entered,Beginning_Balance,""), "")</f>
        <v>297638004.76505578</v>
      </c>
      <c r="E98" s="298">
        <f>IFERROR(IF(Loan_Not_Paid*Values_Entered,Monthly_Payment,""), "")</f>
        <v>1677512.1817411617</v>
      </c>
      <c r="F98" s="298">
        <f>IFERROR(IF(Loan_Not_Paid*Values_Entered,Principal,""), "")</f>
        <v>623377.5815315831</v>
      </c>
      <c r="G98" s="298">
        <f>IFERROR(IF(Loan_Not_Paid*Values_Entered,Interest,""), "")</f>
        <v>1054134.6002095784</v>
      </c>
      <c r="H98" s="298">
        <f>IFERROR(IF(Loan_Not_Paid*Values_Entered,Ending_Balance,""), "")</f>
        <v>297014627.18352419</v>
      </c>
    </row>
    <row r="99" spans="2:8">
      <c r="B99" s="300">
        <f>IFERROR(IF(Loan_Not_Paid*Values_Entered,Payment_Number,""), "")</f>
        <v>82</v>
      </c>
      <c r="C99" s="299"/>
      <c r="D99" s="298">
        <f>IFERROR(IF(Loan_Not_Paid*Values_Entered,Beginning_Balance,""), "")</f>
        <v>297014627.18352419</v>
      </c>
      <c r="E99" s="298">
        <f>IFERROR(IF(Loan_Not_Paid*Values_Entered,Monthly_Payment,""), "")</f>
        <v>1677512.1817411617</v>
      </c>
      <c r="F99" s="298">
        <f>IFERROR(IF(Loan_Not_Paid*Values_Entered,Principal,""), "")</f>
        <v>625585.3771328408</v>
      </c>
      <c r="G99" s="298">
        <f>IFERROR(IF(Loan_Not_Paid*Values_Entered,Interest,""), "")</f>
        <v>1051926.8046083208</v>
      </c>
      <c r="H99" s="298">
        <f>IFERROR(IF(Loan_Not_Paid*Values_Entered,Ending_Balance,""), "")</f>
        <v>296389041.8063913</v>
      </c>
    </row>
    <row r="100" spans="2:8">
      <c r="B100" s="300">
        <f>IFERROR(IF(Loan_Not_Paid*Values_Entered,Payment_Number,""), "")</f>
        <v>83</v>
      </c>
      <c r="C100" s="299"/>
      <c r="D100" s="298">
        <f>IFERROR(IF(Loan_Not_Paid*Values_Entered,Beginning_Balance,""), "")</f>
        <v>296389041.8063913</v>
      </c>
      <c r="E100" s="298">
        <f>IFERROR(IF(Loan_Not_Paid*Values_Entered,Monthly_Payment,""), "")</f>
        <v>1677512.1817411617</v>
      </c>
      <c r="F100" s="298">
        <f>IFERROR(IF(Loan_Not_Paid*Values_Entered,Principal,""), "")</f>
        <v>627800.99201018631</v>
      </c>
      <c r="G100" s="298">
        <f>IFERROR(IF(Loan_Not_Paid*Values_Entered,Interest,""), "")</f>
        <v>1049711.1897309753</v>
      </c>
      <c r="H100" s="298">
        <f>IFERROR(IF(Loan_Not_Paid*Values_Entered,Ending_Balance,""), "")</f>
        <v>295761240.81438106</v>
      </c>
    </row>
    <row r="101" spans="2:8">
      <c r="B101" s="300">
        <f>IFERROR(IF(Loan_Not_Paid*Values_Entered,Payment_Number,""), "")</f>
        <v>84</v>
      </c>
      <c r="C101" s="299"/>
      <c r="D101" s="298">
        <f>IFERROR(IF(Loan_Not_Paid*Values_Entered,Beginning_Balance,""), "")</f>
        <v>295761240.81438106</v>
      </c>
      <c r="E101" s="298">
        <f>IFERROR(IF(Loan_Not_Paid*Values_Entered,Monthly_Payment,""), "")</f>
        <v>1677512.1817411617</v>
      </c>
      <c r="F101" s="298">
        <f>IFERROR(IF(Loan_Not_Paid*Values_Entered,Principal,""), "")</f>
        <v>630024.45385688916</v>
      </c>
      <c r="G101" s="298">
        <f>IFERROR(IF(Loan_Not_Paid*Values_Entered,Interest,""), "")</f>
        <v>1047487.7278842725</v>
      </c>
      <c r="H101" s="298">
        <f>IFERROR(IF(Loan_Not_Paid*Values_Entered,Ending_Balance,""), "")</f>
        <v>295131216.36052418</v>
      </c>
    </row>
    <row r="102" spans="2:8">
      <c r="B102" s="300">
        <f>IFERROR(IF(Loan_Not_Paid*Values_Entered,Payment_Number,""), "")</f>
        <v>85</v>
      </c>
      <c r="C102" s="299"/>
      <c r="D102" s="298">
        <f>IFERROR(IF(Loan_Not_Paid*Values_Entered,Beginning_Balance,""), "")</f>
        <v>295131216.36052418</v>
      </c>
      <c r="E102" s="298">
        <f>IFERROR(IF(Loan_Not_Paid*Values_Entered,Monthly_Payment,""), "")</f>
        <v>1677512.1817411617</v>
      </c>
      <c r="F102" s="298">
        <f>IFERROR(IF(Loan_Not_Paid*Values_Entered,Principal,""), "")</f>
        <v>632255.7904642988</v>
      </c>
      <c r="G102" s="298">
        <f>IFERROR(IF(Loan_Not_Paid*Values_Entered,Interest,""), "")</f>
        <v>1045256.3912768628</v>
      </c>
      <c r="H102" s="298">
        <f>IFERROR(IF(Loan_Not_Paid*Values_Entered,Ending_Balance,""), "")</f>
        <v>294498960.57005984</v>
      </c>
    </row>
    <row r="103" spans="2:8">
      <c r="B103" s="300">
        <f>IFERROR(IF(Loan_Not_Paid*Values_Entered,Payment_Number,""), "")</f>
        <v>86</v>
      </c>
      <c r="C103" s="299"/>
      <c r="D103" s="298">
        <f>IFERROR(IF(Loan_Not_Paid*Values_Entered,Beginning_Balance,""), "")</f>
        <v>294498960.57005984</v>
      </c>
      <c r="E103" s="298">
        <f>IFERROR(IF(Loan_Not_Paid*Values_Entered,Monthly_Payment,""), "")</f>
        <v>1677512.1817411617</v>
      </c>
      <c r="F103" s="298">
        <f>IFERROR(IF(Loan_Not_Paid*Values_Entered,Principal,""), "")</f>
        <v>634495.02972219326</v>
      </c>
      <c r="G103" s="298">
        <f>IFERROR(IF(Loan_Not_Paid*Values_Entered,Interest,""), "")</f>
        <v>1043017.1520189685</v>
      </c>
      <c r="H103" s="298">
        <f>IFERROR(IF(Loan_Not_Paid*Values_Entered,Ending_Balance,""), "")</f>
        <v>293864465.54033756</v>
      </c>
    </row>
    <row r="104" spans="2:8">
      <c r="B104" s="300">
        <f>IFERROR(IF(Loan_Not_Paid*Values_Entered,Payment_Number,""), "")</f>
        <v>87</v>
      </c>
      <c r="C104" s="299"/>
      <c r="D104" s="298">
        <f>IFERROR(IF(Loan_Not_Paid*Values_Entered,Beginning_Balance,""), "")</f>
        <v>293864465.54033756</v>
      </c>
      <c r="E104" s="298">
        <f>IFERROR(IF(Loan_Not_Paid*Values_Entered,Monthly_Payment,""), "")</f>
        <v>1677512.1817411617</v>
      </c>
      <c r="F104" s="298">
        <f>IFERROR(IF(Loan_Not_Paid*Values_Entered,Principal,""), "")</f>
        <v>636742.19961912604</v>
      </c>
      <c r="G104" s="298">
        <f>IFERROR(IF(Loan_Not_Paid*Values_Entered,Interest,""), "")</f>
        <v>1040769.9821220357</v>
      </c>
      <c r="H104" s="298">
        <f>IFERROR(IF(Loan_Not_Paid*Values_Entered,Ending_Balance,""), "")</f>
        <v>293227723.34071851</v>
      </c>
    </row>
    <row r="105" spans="2:8">
      <c r="B105" s="300">
        <f>IFERROR(IF(Loan_Not_Paid*Values_Entered,Payment_Number,""), "")</f>
        <v>88</v>
      </c>
      <c r="C105" s="299"/>
      <c r="D105" s="298">
        <f>IFERROR(IF(Loan_Not_Paid*Values_Entered,Beginning_Balance,""), "")</f>
        <v>293227723.34071851</v>
      </c>
      <c r="E105" s="298">
        <f>IFERROR(IF(Loan_Not_Paid*Values_Entered,Monthly_Payment,""), "")</f>
        <v>1677512.1817411617</v>
      </c>
      <c r="F105" s="298">
        <f>IFERROR(IF(Loan_Not_Paid*Values_Entered,Principal,""), "")</f>
        <v>638997.32824277715</v>
      </c>
      <c r="G105" s="298">
        <f>IFERROR(IF(Loan_Not_Paid*Values_Entered,Interest,""), "")</f>
        <v>1038514.8534983847</v>
      </c>
      <c r="H105" s="298">
        <f>IFERROR(IF(Loan_Not_Paid*Values_Entered,Ending_Balance,""), "")</f>
        <v>292588726.01247561</v>
      </c>
    </row>
    <row r="106" spans="2:8">
      <c r="B106" s="300">
        <f>IFERROR(IF(Loan_Not_Paid*Values_Entered,Payment_Number,""), "")</f>
        <v>89</v>
      </c>
      <c r="C106" s="299"/>
      <c r="D106" s="298">
        <f>IFERROR(IF(Loan_Not_Paid*Values_Entered,Beginning_Balance,""), "")</f>
        <v>292588726.01247561</v>
      </c>
      <c r="E106" s="298">
        <f>IFERROR(IF(Loan_Not_Paid*Values_Entered,Monthly_Payment,""), "")</f>
        <v>1677512.1817411617</v>
      </c>
      <c r="F106" s="298">
        <f>IFERROR(IF(Loan_Not_Paid*Values_Entered,Principal,""), "")</f>
        <v>641260.4437803037</v>
      </c>
      <c r="G106" s="298">
        <f>IFERROR(IF(Loan_Not_Paid*Values_Entered,Interest,""), "")</f>
        <v>1036251.7379608582</v>
      </c>
      <c r="H106" s="298">
        <f>IFERROR(IF(Loan_Not_Paid*Values_Entered,Ending_Balance,""), "")</f>
        <v>291947465.56869531</v>
      </c>
    </row>
    <row r="107" spans="2:8">
      <c r="B107" s="300">
        <f>IFERROR(IF(Loan_Not_Paid*Values_Entered,Payment_Number,""), "")</f>
        <v>90</v>
      </c>
      <c r="C107" s="299"/>
      <c r="D107" s="298">
        <f>IFERROR(IF(Loan_Not_Paid*Values_Entered,Beginning_Balance,""), "")</f>
        <v>291947465.56869531</v>
      </c>
      <c r="E107" s="298">
        <f>IFERROR(IF(Loan_Not_Paid*Values_Entered,Monthly_Payment,""), "")</f>
        <v>1677512.1817411617</v>
      </c>
      <c r="F107" s="298">
        <f>IFERROR(IF(Loan_Not_Paid*Values_Entered,Principal,""), "")</f>
        <v>643531.5745186921</v>
      </c>
      <c r="G107" s="298">
        <f>IFERROR(IF(Loan_Not_Paid*Values_Entered,Interest,""), "")</f>
        <v>1033980.6072224696</v>
      </c>
      <c r="H107" s="298">
        <f>IFERROR(IF(Loan_Not_Paid*Values_Entered,Ending_Balance,""), "")</f>
        <v>291303933.99417663</v>
      </c>
    </row>
    <row r="108" spans="2:8">
      <c r="B108" s="300">
        <f>IFERROR(IF(Loan_Not_Paid*Values_Entered,Payment_Number,""), "")</f>
        <v>91</v>
      </c>
      <c r="C108" s="299"/>
      <c r="D108" s="298">
        <f>IFERROR(IF(Loan_Not_Paid*Values_Entered,Beginning_Balance,""), "")</f>
        <v>291303933.99417663</v>
      </c>
      <c r="E108" s="298">
        <f>IFERROR(IF(Loan_Not_Paid*Values_Entered,Monthly_Payment,""), "")</f>
        <v>1677512.1817411617</v>
      </c>
      <c r="F108" s="298">
        <f>IFERROR(IF(Loan_Not_Paid*Values_Entered,Principal,""), "")</f>
        <v>645810.74884511251</v>
      </c>
      <c r="G108" s="298">
        <f>IFERROR(IF(Loan_Not_Paid*Values_Entered,Interest,""), "")</f>
        <v>1031701.432896049</v>
      </c>
      <c r="H108" s="298">
        <f>IFERROR(IF(Loan_Not_Paid*Values_Entered,Ending_Balance,""), "")</f>
        <v>290658123.24533141</v>
      </c>
    </row>
    <row r="109" spans="2:8">
      <c r="B109" s="300">
        <f>IFERROR(IF(Loan_Not_Paid*Values_Entered,Payment_Number,""), "")</f>
        <v>92</v>
      </c>
      <c r="C109" s="299"/>
      <c r="D109" s="298">
        <f>IFERROR(IF(Loan_Not_Paid*Values_Entered,Beginning_Balance,""), "")</f>
        <v>290658123.24533141</v>
      </c>
      <c r="E109" s="298">
        <f>IFERROR(IF(Loan_Not_Paid*Values_Entered,Monthly_Payment,""), "")</f>
        <v>1677512.1817411617</v>
      </c>
      <c r="F109" s="298">
        <f>IFERROR(IF(Loan_Not_Paid*Values_Entered,Principal,""), "")</f>
        <v>648097.99524727231</v>
      </c>
      <c r="G109" s="298">
        <f>IFERROR(IF(Loan_Not_Paid*Values_Entered,Interest,""), "")</f>
        <v>1029414.1864938893</v>
      </c>
      <c r="H109" s="298">
        <f>IFERROR(IF(Loan_Not_Paid*Values_Entered,Ending_Balance,""), "")</f>
        <v>290010025.25008416</v>
      </c>
    </row>
    <row r="110" spans="2:8">
      <c r="B110" s="300">
        <f>IFERROR(IF(Loan_Not_Paid*Values_Entered,Payment_Number,""), "")</f>
        <v>93</v>
      </c>
      <c r="C110" s="299"/>
      <c r="D110" s="298">
        <f>IFERROR(IF(Loan_Not_Paid*Values_Entered,Beginning_Balance,""), "")</f>
        <v>290010025.25008416</v>
      </c>
      <c r="E110" s="298">
        <f>IFERROR(IF(Loan_Not_Paid*Values_Entered,Monthly_Payment,""), "")</f>
        <v>1677512.1817411617</v>
      </c>
      <c r="F110" s="298">
        <f>IFERROR(IF(Loan_Not_Paid*Values_Entered,Principal,""), "")</f>
        <v>650393.34231377312</v>
      </c>
      <c r="G110" s="298">
        <f>IFERROR(IF(Loan_Not_Paid*Values_Entered,Interest,""), "")</f>
        <v>1027118.8394273884</v>
      </c>
      <c r="H110" s="298">
        <f>IFERROR(IF(Loan_Not_Paid*Values_Entered,Ending_Balance,""), "")</f>
        <v>289359631.9077704</v>
      </c>
    </row>
    <row r="111" spans="2:8">
      <c r="B111" s="300">
        <f>IFERROR(IF(Loan_Not_Paid*Values_Entered,Payment_Number,""), "")</f>
        <v>94</v>
      </c>
      <c r="C111" s="299"/>
      <c r="D111" s="298">
        <f>IFERROR(IF(Loan_Not_Paid*Values_Entered,Beginning_Balance,""), "")</f>
        <v>289359631.9077704</v>
      </c>
      <c r="E111" s="298">
        <f>IFERROR(IF(Loan_Not_Paid*Values_Entered,Monthly_Payment,""), "")</f>
        <v>1677512.1817411617</v>
      </c>
      <c r="F111" s="298">
        <f>IFERROR(IF(Loan_Not_Paid*Values_Entered,Principal,""), "")</f>
        <v>652696.81873446773</v>
      </c>
      <c r="G111" s="298">
        <f>IFERROR(IF(Loan_Not_Paid*Values_Entered,Interest,""), "")</f>
        <v>1024815.363006694</v>
      </c>
      <c r="H111" s="298">
        <f>IFERROR(IF(Loan_Not_Paid*Values_Entered,Ending_Balance,""), "")</f>
        <v>288706935.08903587</v>
      </c>
    </row>
    <row r="112" spans="2:8">
      <c r="B112" s="300">
        <f>IFERROR(IF(Loan_Not_Paid*Values_Entered,Payment_Number,""), "")</f>
        <v>95</v>
      </c>
      <c r="C112" s="299"/>
      <c r="D112" s="298">
        <f>IFERROR(IF(Loan_Not_Paid*Values_Entered,Beginning_Balance,""), "")</f>
        <v>288706935.08903587</v>
      </c>
      <c r="E112" s="298">
        <f>IFERROR(IF(Loan_Not_Paid*Values_Entered,Monthly_Payment,""), "")</f>
        <v>1677512.1817411617</v>
      </c>
      <c r="F112" s="298">
        <f>IFERROR(IF(Loan_Not_Paid*Values_Entered,Principal,""), "")</f>
        <v>655008.45330081903</v>
      </c>
      <c r="G112" s="298">
        <f>IFERROR(IF(Loan_Not_Paid*Values_Entered,Interest,""), "")</f>
        <v>1022503.7284403428</v>
      </c>
      <c r="H112" s="298">
        <f>IFERROR(IF(Loan_Not_Paid*Values_Entered,Ending_Balance,""), "")</f>
        <v>288051926.63573503</v>
      </c>
    </row>
    <row r="113" spans="2:8">
      <c r="B113" s="300">
        <f>IFERROR(IF(Loan_Not_Paid*Values_Entered,Payment_Number,""), "")</f>
        <v>96</v>
      </c>
      <c r="C113" s="299"/>
      <c r="D113" s="298">
        <f>IFERROR(IF(Loan_Not_Paid*Values_Entered,Beginning_Balance,""), "")</f>
        <v>288051926.63573503</v>
      </c>
      <c r="E113" s="298">
        <f>IFERROR(IF(Loan_Not_Paid*Values_Entered,Monthly_Payment,""), "")</f>
        <v>1677512.1817411617</v>
      </c>
      <c r="F113" s="298">
        <f>IFERROR(IF(Loan_Not_Paid*Values_Entered,Principal,""), "")</f>
        <v>657328.27490625938</v>
      </c>
      <c r="G113" s="298">
        <f>IFERROR(IF(Loan_Not_Paid*Values_Entered,Interest,""), "")</f>
        <v>1020183.9068349021</v>
      </c>
      <c r="H113" s="298">
        <f>IFERROR(IF(Loan_Not_Paid*Values_Entered,Ending_Balance,""), "")</f>
        <v>287394598.36082876</v>
      </c>
    </row>
    <row r="114" spans="2:8">
      <c r="B114" s="300">
        <f>IFERROR(IF(Loan_Not_Paid*Values_Entered,Payment_Number,""), "")</f>
        <v>97</v>
      </c>
      <c r="C114" s="299"/>
      <c r="D114" s="298">
        <f>IFERROR(IF(Loan_Not_Paid*Values_Entered,Beginning_Balance,""), "")</f>
        <v>287394598.36082876</v>
      </c>
      <c r="E114" s="298">
        <f>IFERROR(IF(Loan_Not_Paid*Values_Entered,Monthly_Payment,""), "")</f>
        <v>1677512.1817411617</v>
      </c>
      <c r="F114" s="298">
        <f>IFERROR(IF(Loan_Not_Paid*Values_Entered,Principal,""), "")</f>
        <v>659656.31254655239</v>
      </c>
      <c r="G114" s="298">
        <f>IFERROR(IF(Loan_Not_Paid*Values_Entered,Interest,""), "")</f>
        <v>1017855.8691946093</v>
      </c>
      <c r="H114" s="298">
        <f>IFERROR(IF(Loan_Not_Paid*Values_Entered,Ending_Balance,""), "")</f>
        <v>286734942.04828215</v>
      </c>
    </row>
    <row r="115" spans="2:8">
      <c r="B115" s="300">
        <f>IFERROR(IF(Loan_Not_Paid*Values_Entered,Payment_Number,""), "")</f>
        <v>98</v>
      </c>
      <c r="C115" s="299"/>
      <c r="D115" s="298">
        <f>IFERROR(IF(Loan_Not_Paid*Values_Entered,Beginning_Balance,""), "")</f>
        <v>286734942.04828215</v>
      </c>
      <c r="E115" s="298">
        <f>IFERROR(IF(Loan_Not_Paid*Values_Entered,Monthly_Payment,""), "")</f>
        <v>1677512.1817411617</v>
      </c>
      <c r="F115" s="298">
        <f>IFERROR(IF(Loan_Not_Paid*Values_Entered,Principal,""), "")</f>
        <v>661992.59532015468</v>
      </c>
      <c r="G115" s="298">
        <f>IFERROR(IF(Loan_Not_Paid*Values_Entered,Interest,""), "")</f>
        <v>1015519.5864210069</v>
      </c>
      <c r="H115" s="298">
        <f>IFERROR(IF(Loan_Not_Paid*Values_Entered,Ending_Balance,""), "")</f>
        <v>286072949.45296192</v>
      </c>
    </row>
    <row r="116" spans="2:8">
      <c r="B116" s="300">
        <f>IFERROR(IF(Loan_Not_Paid*Values_Entered,Payment_Number,""), "")</f>
        <v>99</v>
      </c>
      <c r="C116" s="299"/>
      <c r="D116" s="298">
        <f>IFERROR(IF(Loan_Not_Paid*Values_Entered,Beginning_Balance,""), "")</f>
        <v>286072949.45296192</v>
      </c>
      <c r="E116" s="298">
        <f>IFERROR(IF(Loan_Not_Paid*Values_Entered,Monthly_Payment,""), "")</f>
        <v>1677512.1817411617</v>
      </c>
      <c r="F116" s="298">
        <f>IFERROR(IF(Loan_Not_Paid*Values_Entered,Principal,""), "")</f>
        <v>664337.15242858022</v>
      </c>
      <c r="G116" s="298">
        <f>IFERROR(IF(Loan_Not_Paid*Values_Entered,Interest,""), "")</f>
        <v>1013175.0293125815</v>
      </c>
      <c r="H116" s="298">
        <f>IFERROR(IF(Loan_Not_Paid*Values_Entered,Ending_Balance,""), "")</f>
        <v>285408612.30053329</v>
      </c>
    </row>
    <row r="117" spans="2:8">
      <c r="B117" s="300">
        <f>IFERROR(IF(Loan_Not_Paid*Values_Entered,Payment_Number,""), "")</f>
        <v>100</v>
      </c>
      <c r="C117" s="299"/>
      <c r="D117" s="298">
        <f>IFERROR(IF(Loan_Not_Paid*Values_Entered,Beginning_Balance,""), "")</f>
        <v>285408612.30053329</v>
      </c>
      <c r="E117" s="298">
        <f>IFERROR(IF(Loan_Not_Paid*Values_Entered,Monthly_Payment,""), "")</f>
        <v>1677512.1817411617</v>
      </c>
      <c r="F117" s="298">
        <f>IFERROR(IF(Loan_Not_Paid*Values_Entered,Principal,""), "")</f>
        <v>666690.01317676471</v>
      </c>
      <c r="G117" s="298">
        <f>IFERROR(IF(Loan_Not_Paid*Values_Entered,Interest,""), "")</f>
        <v>1010822.1685643968</v>
      </c>
      <c r="H117" s="298">
        <f>IFERROR(IF(Loan_Not_Paid*Values_Entered,Ending_Balance,""), "")</f>
        <v>284741922.28735656</v>
      </c>
    </row>
    <row r="118" spans="2:8">
      <c r="B118" s="300">
        <f>IFERROR(IF(Loan_Not_Paid*Values_Entered,Payment_Number,""), "")</f>
        <v>101</v>
      </c>
      <c r="C118" s="299"/>
      <c r="D118" s="298">
        <f>IFERROR(IF(Loan_Not_Paid*Values_Entered,Beginning_Balance,""), "")</f>
        <v>284741922.28735656</v>
      </c>
      <c r="E118" s="298">
        <f>IFERROR(IF(Loan_Not_Paid*Values_Entered,Monthly_Payment,""), "")</f>
        <v>1677512.1817411617</v>
      </c>
      <c r="F118" s="298">
        <f>IFERROR(IF(Loan_Not_Paid*Values_Entered,Principal,""), "")</f>
        <v>669051.20697343245</v>
      </c>
      <c r="G118" s="298">
        <f>IFERROR(IF(Loan_Not_Paid*Values_Entered,Interest,""), "")</f>
        <v>1008460.9747677291</v>
      </c>
      <c r="H118" s="298">
        <f>IFERROR(IF(Loan_Not_Paid*Values_Entered,Ending_Balance,""), "")</f>
        <v>284072871.08038306</v>
      </c>
    </row>
    <row r="119" spans="2:8">
      <c r="B119" s="300">
        <f>IFERROR(IF(Loan_Not_Paid*Values_Entered,Payment_Number,""), "")</f>
        <v>102</v>
      </c>
      <c r="C119" s="299"/>
      <c r="D119" s="298">
        <f>IFERROR(IF(Loan_Not_Paid*Values_Entered,Beginning_Balance,""), "")</f>
        <v>284072871.08038306</v>
      </c>
      <c r="E119" s="298">
        <f>IFERROR(IF(Loan_Not_Paid*Values_Entered,Monthly_Payment,""), "")</f>
        <v>1677512.1817411617</v>
      </c>
      <c r="F119" s="298">
        <f>IFERROR(IF(Loan_Not_Paid*Values_Entered,Principal,""), "")</f>
        <v>671420.76333146344</v>
      </c>
      <c r="G119" s="298">
        <f>IFERROR(IF(Loan_Not_Paid*Values_Entered,Interest,""), "")</f>
        <v>1006091.4184096983</v>
      </c>
      <c r="H119" s="298">
        <f>IFERROR(IF(Loan_Not_Paid*Values_Entered,Ending_Balance,""), "")</f>
        <v>283401450.31705153</v>
      </c>
    </row>
    <row r="120" spans="2:8">
      <c r="B120" s="300">
        <f>IFERROR(IF(Loan_Not_Paid*Values_Entered,Payment_Number,""), "")</f>
        <v>103</v>
      </c>
      <c r="C120" s="299"/>
      <c r="D120" s="298">
        <f>IFERROR(IF(Loan_Not_Paid*Values_Entered,Beginning_Balance,""), "")</f>
        <v>283401450.31705153</v>
      </c>
      <c r="E120" s="298">
        <f>IFERROR(IF(Loan_Not_Paid*Values_Entered,Monthly_Payment,""), "")</f>
        <v>1677512.1817411617</v>
      </c>
      <c r="F120" s="298">
        <f>IFERROR(IF(Loan_Not_Paid*Values_Entered,Principal,""), "")</f>
        <v>673798.71186826238</v>
      </c>
      <c r="G120" s="298">
        <f>IFERROR(IF(Loan_Not_Paid*Values_Entered,Interest,""), "")</f>
        <v>1003713.4698728996</v>
      </c>
      <c r="H120" s="298">
        <f>IFERROR(IF(Loan_Not_Paid*Values_Entered,Ending_Balance,""), "")</f>
        <v>282727651.6051833</v>
      </c>
    </row>
    <row r="121" spans="2:8">
      <c r="B121" s="300">
        <f>IFERROR(IF(Loan_Not_Paid*Values_Entered,Payment_Number,""), "")</f>
        <v>104</v>
      </c>
      <c r="C121" s="299"/>
      <c r="D121" s="298">
        <f>IFERROR(IF(Loan_Not_Paid*Values_Entered,Beginning_Balance,""), "")</f>
        <v>282727651.6051833</v>
      </c>
      <c r="E121" s="298">
        <f>IFERROR(IF(Loan_Not_Paid*Values_Entered,Monthly_Payment,""), "")</f>
        <v>1677512.1817411617</v>
      </c>
      <c r="F121" s="298">
        <f>IFERROR(IF(Loan_Not_Paid*Values_Entered,Principal,""), "")</f>
        <v>676185.08230612916</v>
      </c>
      <c r="G121" s="298">
        <f>IFERROR(IF(Loan_Not_Paid*Values_Entered,Interest,""), "")</f>
        <v>1001327.0994350325</v>
      </c>
      <c r="H121" s="298">
        <f>IFERROR(IF(Loan_Not_Paid*Values_Entered,Ending_Balance,""), "")</f>
        <v>282051466.52287716</v>
      </c>
    </row>
    <row r="122" spans="2:8">
      <c r="B122" s="300">
        <f>IFERROR(IF(Loan_Not_Paid*Values_Entered,Payment_Number,""), "")</f>
        <v>105</v>
      </c>
      <c r="C122" s="299"/>
      <c r="D122" s="298">
        <f>IFERROR(IF(Loan_Not_Paid*Values_Entered,Beginning_Balance,""), "")</f>
        <v>282051466.52287716</v>
      </c>
      <c r="E122" s="298">
        <f>IFERROR(IF(Loan_Not_Paid*Values_Entered,Monthly_Payment,""), "")</f>
        <v>1677512.1817411617</v>
      </c>
      <c r="F122" s="298">
        <f>IFERROR(IF(Loan_Not_Paid*Values_Entered,Principal,""), "")</f>
        <v>678579.90447262989</v>
      </c>
      <c r="G122" s="298">
        <f>IFERROR(IF(Loan_Not_Paid*Values_Entered,Interest,""), "")</f>
        <v>998932.27726853173</v>
      </c>
      <c r="H122" s="298">
        <f>IFERROR(IF(Loan_Not_Paid*Values_Entered,Ending_Balance,""), "")</f>
        <v>281372886.61840445</v>
      </c>
    </row>
    <row r="123" spans="2:8">
      <c r="B123" s="300">
        <f>IFERROR(IF(Loan_Not_Paid*Values_Entered,Payment_Number,""), "")</f>
        <v>106</v>
      </c>
      <c r="C123" s="299"/>
      <c r="D123" s="298">
        <f>IFERROR(IF(Loan_Not_Paid*Values_Entered,Beginning_Balance,""), "")</f>
        <v>281372886.61840445</v>
      </c>
      <c r="E123" s="298">
        <f>IFERROR(IF(Loan_Not_Paid*Values_Entered,Monthly_Payment,""), "")</f>
        <v>1677512.1817411617</v>
      </c>
      <c r="F123" s="298">
        <f>IFERROR(IF(Loan_Not_Paid*Values_Entered,Principal,""), "")</f>
        <v>680983.20830097061</v>
      </c>
      <c r="G123" s="298">
        <f>IFERROR(IF(Loan_Not_Paid*Values_Entered,Interest,""), "")</f>
        <v>996528.97344019113</v>
      </c>
      <c r="H123" s="298">
        <f>IFERROR(IF(Loan_Not_Paid*Values_Entered,Ending_Balance,""), "")</f>
        <v>280691903.41010344</v>
      </c>
    </row>
    <row r="124" spans="2:8">
      <c r="B124" s="300">
        <f>IFERROR(IF(Loan_Not_Paid*Values_Entered,Payment_Number,""), "")</f>
        <v>107</v>
      </c>
      <c r="C124" s="299"/>
      <c r="D124" s="298">
        <f>IFERROR(IF(Loan_Not_Paid*Values_Entered,Beginning_Balance,""), "")</f>
        <v>280691903.41010344</v>
      </c>
      <c r="E124" s="298">
        <f>IFERROR(IF(Loan_Not_Paid*Values_Entered,Monthly_Payment,""), "")</f>
        <v>1677512.1817411617</v>
      </c>
      <c r="F124" s="298">
        <f>IFERROR(IF(Loan_Not_Paid*Values_Entered,Principal,""), "")</f>
        <v>683395.02383036981</v>
      </c>
      <c r="G124" s="298">
        <f>IFERROR(IF(Loan_Not_Paid*Values_Entered,Interest,""), "")</f>
        <v>994117.15791079192</v>
      </c>
      <c r="H124" s="298">
        <f>IFERROR(IF(Loan_Not_Paid*Values_Entered,Ending_Balance,""), "")</f>
        <v>280008508.38627315</v>
      </c>
    </row>
    <row r="125" spans="2:8">
      <c r="B125" s="300">
        <f>IFERROR(IF(Loan_Not_Paid*Values_Entered,Payment_Number,""), "")</f>
        <v>108</v>
      </c>
      <c r="C125" s="299"/>
      <c r="D125" s="298">
        <f>IFERROR(IF(Loan_Not_Paid*Values_Entered,Beginning_Balance,""), "")</f>
        <v>280008508.38627315</v>
      </c>
      <c r="E125" s="298">
        <f>IFERROR(IF(Loan_Not_Paid*Values_Entered,Monthly_Payment,""), "")</f>
        <v>1677512.1817411617</v>
      </c>
      <c r="F125" s="298">
        <f>IFERROR(IF(Loan_Not_Paid*Values_Entered,Principal,""), "")</f>
        <v>685815.38120643573</v>
      </c>
      <c r="G125" s="298">
        <f>IFERROR(IF(Loan_Not_Paid*Values_Entered,Interest,""), "")</f>
        <v>991696.80053472612</v>
      </c>
      <c r="H125" s="298">
        <f>IFERROR(IF(Loan_Not_Paid*Values_Entered,Ending_Balance,""), "")</f>
        <v>279322693.00506663</v>
      </c>
    </row>
    <row r="126" spans="2:8">
      <c r="B126" s="300">
        <f>IFERROR(IF(Loan_Not_Paid*Values_Entered,Payment_Number,""), "")</f>
        <v>109</v>
      </c>
      <c r="C126" s="299"/>
      <c r="D126" s="298">
        <f>IFERROR(IF(Loan_Not_Paid*Values_Entered,Beginning_Balance,""), "")</f>
        <v>279322693.00506663</v>
      </c>
      <c r="E126" s="298">
        <f>IFERROR(IF(Loan_Not_Paid*Values_Entered,Monthly_Payment,""), "")</f>
        <v>1677512.1817411617</v>
      </c>
      <c r="F126" s="298">
        <f>IFERROR(IF(Loan_Not_Paid*Values_Entered,Principal,""), "")</f>
        <v>688244.31068154192</v>
      </c>
      <c r="G126" s="298">
        <f>IFERROR(IF(Loan_Not_Paid*Values_Entered,Interest,""), "")</f>
        <v>989267.87105961971</v>
      </c>
      <c r="H126" s="298">
        <f>IFERROR(IF(Loan_Not_Paid*Values_Entered,Ending_Balance,""), "")</f>
        <v>278634448.69438505</v>
      </c>
    </row>
    <row r="127" spans="2:8">
      <c r="B127" s="300">
        <f>IFERROR(IF(Loan_Not_Paid*Values_Entered,Payment_Number,""), "")</f>
        <v>110</v>
      </c>
      <c r="C127" s="299"/>
      <c r="D127" s="298">
        <f>IFERROR(IF(Loan_Not_Paid*Values_Entered,Beginning_Balance,""), "")</f>
        <v>278634448.69438505</v>
      </c>
      <c r="E127" s="298">
        <f>IFERROR(IF(Loan_Not_Paid*Values_Entered,Monthly_Payment,""), "")</f>
        <v>1677512.1817411617</v>
      </c>
      <c r="F127" s="298">
        <f>IFERROR(IF(Loan_Not_Paid*Values_Entered,Principal,""), "")</f>
        <v>690681.84261520556</v>
      </c>
      <c r="G127" s="298">
        <f>IFERROR(IF(Loan_Not_Paid*Values_Entered,Interest,""), "")</f>
        <v>986830.33912595594</v>
      </c>
      <c r="H127" s="298">
        <f>IFERROR(IF(Loan_Not_Paid*Values_Entered,Ending_Balance,""), "")</f>
        <v>277943766.8517698</v>
      </c>
    </row>
    <row r="128" spans="2:8">
      <c r="B128" s="300">
        <f>IFERROR(IF(Loan_Not_Paid*Values_Entered,Payment_Number,""), "")</f>
        <v>111</v>
      </c>
      <c r="C128" s="299"/>
      <c r="D128" s="298">
        <f>IFERROR(IF(Loan_Not_Paid*Values_Entered,Beginning_Balance,""), "")</f>
        <v>277943766.8517698</v>
      </c>
      <c r="E128" s="298">
        <f>IFERROR(IF(Loan_Not_Paid*Values_Entered,Monthly_Payment,""), "")</f>
        <v>1677512.1817411617</v>
      </c>
      <c r="F128" s="298">
        <f>IFERROR(IF(Loan_Not_Paid*Values_Entered,Principal,""), "")</f>
        <v>693128.00747446786</v>
      </c>
      <c r="G128" s="298">
        <f>IFERROR(IF(Loan_Not_Paid*Values_Entered,Interest,""), "")</f>
        <v>984384.17426669411</v>
      </c>
      <c r="H128" s="298">
        <f>IFERROR(IF(Loan_Not_Paid*Values_Entered,Ending_Balance,""), "")</f>
        <v>277250638.84429526</v>
      </c>
    </row>
    <row r="129" spans="2:8">
      <c r="B129" s="300">
        <f>IFERROR(IF(Loan_Not_Paid*Values_Entered,Payment_Number,""), "")</f>
        <v>112</v>
      </c>
      <c r="C129" s="299"/>
      <c r="D129" s="298">
        <f>IFERROR(IF(Loan_Not_Paid*Values_Entered,Beginning_Balance,""), "")</f>
        <v>277250638.84429526</v>
      </c>
      <c r="E129" s="298">
        <f>IFERROR(IF(Loan_Not_Paid*Values_Entered,Monthly_Payment,""), "")</f>
        <v>1677512.1817411617</v>
      </c>
      <c r="F129" s="298">
        <f>IFERROR(IF(Loan_Not_Paid*Values_Entered,Principal,""), "")</f>
        <v>695582.83583427314</v>
      </c>
      <c r="G129" s="298">
        <f>IFERROR(IF(Loan_Not_Paid*Values_Entered,Interest,""), "")</f>
        <v>981929.34590688837</v>
      </c>
      <c r="H129" s="298">
        <f>IFERROR(IF(Loan_Not_Paid*Values_Entered,Ending_Balance,""), "")</f>
        <v>276555056.008461</v>
      </c>
    </row>
    <row r="130" spans="2:8">
      <c r="B130" s="300">
        <f>IFERROR(IF(Loan_Not_Paid*Values_Entered,Payment_Number,""), "")</f>
        <v>113</v>
      </c>
      <c r="C130" s="299"/>
      <c r="D130" s="298">
        <f>IFERROR(IF(Loan_Not_Paid*Values_Entered,Beginning_Balance,""), "")</f>
        <v>276555056.008461</v>
      </c>
      <c r="E130" s="298">
        <f>IFERROR(IF(Loan_Not_Paid*Values_Entered,Monthly_Payment,""), "")</f>
        <v>1677512.1817411617</v>
      </c>
      <c r="F130" s="298">
        <f>IFERROR(IF(Loan_Not_Paid*Values_Entered,Principal,""), "")</f>
        <v>698046.35837785283</v>
      </c>
      <c r="G130" s="298">
        <f>IFERROR(IF(Loan_Not_Paid*Values_Entered,Interest,""), "")</f>
        <v>979465.82336330856</v>
      </c>
      <c r="H130" s="298">
        <f>IFERROR(IF(Loan_Not_Paid*Values_Entered,Ending_Balance,""), "")</f>
        <v>275857009.65008312</v>
      </c>
    </row>
    <row r="131" spans="2:8">
      <c r="B131" s="300">
        <f>IFERROR(IF(Loan_Not_Paid*Values_Entered,Payment_Number,""), "")</f>
        <v>114</v>
      </c>
      <c r="C131" s="299"/>
      <c r="D131" s="298">
        <f>IFERROR(IF(Loan_Not_Paid*Values_Entered,Beginning_Balance,""), "")</f>
        <v>275857009.65008312</v>
      </c>
      <c r="E131" s="298">
        <f>IFERROR(IF(Loan_Not_Paid*Values_Entered,Monthly_Payment,""), "")</f>
        <v>1677512.1817411617</v>
      </c>
      <c r="F131" s="298">
        <f>IFERROR(IF(Loan_Not_Paid*Values_Entered,Principal,""), "")</f>
        <v>700518.60589710786</v>
      </c>
      <c r="G131" s="298">
        <f>IFERROR(IF(Loan_Not_Paid*Values_Entered,Interest,""), "")</f>
        <v>976993.57584405376</v>
      </c>
      <c r="H131" s="298">
        <f>IFERROR(IF(Loan_Not_Paid*Values_Entered,Ending_Balance,""), "")</f>
        <v>275156491.044186</v>
      </c>
    </row>
    <row r="132" spans="2:8">
      <c r="B132" s="300">
        <f>IFERROR(IF(Loan_Not_Paid*Values_Entered,Payment_Number,""), "")</f>
        <v>115</v>
      </c>
      <c r="C132" s="299"/>
      <c r="D132" s="298">
        <f>IFERROR(IF(Loan_Not_Paid*Values_Entered,Beginning_Balance,""), "")</f>
        <v>275156491.044186</v>
      </c>
      <c r="E132" s="298">
        <f>IFERROR(IF(Loan_Not_Paid*Values_Entered,Monthly_Payment,""), "")</f>
        <v>1677512.1817411617</v>
      </c>
      <c r="F132" s="298">
        <f>IFERROR(IF(Loan_Not_Paid*Values_Entered,Principal,""), "")</f>
        <v>702999.60929299344</v>
      </c>
      <c r="G132" s="298">
        <f>IFERROR(IF(Loan_Not_Paid*Values_Entered,Interest,""), "")</f>
        <v>974512.5724481683</v>
      </c>
      <c r="H132" s="298">
        <f>IFERROR(IF(Loan_Not_Paid*Values_Entered,Ending_Balance,""), "")</f>
        <v>274453491.43489301</v>
      </c>
    </row>
    <row r="133" spans="2:8">
      <c r="B133" s="300">
        <f>IFERROR(IF(Loan_Not_Paid*Values_Entered,Payment_Number,""), "")</f>
        <v>116</v>
      </c>
      <c r="C133" s="299"/>
      <c r="D133" s="298">
        <f>IFERROR(IF(Loan_Not_Paid*Values_Entered,Beginning_Balance,""), "")</f>
        <v>274453491.43489301</v>
      </c>
      <c r="E133" s="298">
        <f>IFERROR(IF(Loan_Not_Paid*Values_Entered,Monthly_Payment,""), "")</f>
        <v>1677512.1817411617</v>
      </c>
      <c r="F133" s="298">
        <f>IFERROR(IF(Loan_Not_Paid*Values_Entered,Principal,""), "")</f>
        <v>705489.39957590622</v>
      </c>
      <c r="G133" s="298">
        <f>IFERROR(IF(Loan_Not_Paid*Values_Entered,Interest,""), "")</f>
        <v>972022.78216525563</v>
      </c>
      <c r="H133" s="298">
        <f>IFERROR(IF(Loan_Not_Paid*Values_Entered,Ending_Balance,""), "")</f>
        <v>273748002.03531694</v>
      </c>
    </row>
    <row r="134" spans="2:8">
      <c r="B134" s="300">
        <f>IFERROR(IF(Loan_Not_Paid*Values_Entered,Payment_Number,""), "")</f>
        <v>117</v>
      </c>
      <c r="C134" s="299"/>
      <c r="D134" s="298">
        <f>IFERROR(IF(Loan_Not_Paid*Values_Entered,Beginning_Balance,""), "")</f>
        <v>273748002.03531694</v>
      </c>
      <c r="E134" s="298">
        <f>IFERROR(IF(Loan_Not_Paid*Values_Entered,Monthly_Payment,""), "")</f>
        <v>1677512.1817411617</v>
      </c>
      <c r="F134" s="298">
        <f>IFERROR(IF(Loan_Not_Paid*Values_Entered,Principal,""), "")</f>
        <v>707988.00786607072</v>
      </c>
      <c r="G134" s="298">
        <f>IFERROR(IF(Loan_Not_Paid*Values_Entered,Interest,""), "")</f>
        <v>969524.17387509102</v>
      </c>
      <c r="H134" s="298">
        <f>IFERROR(IF(Loan_Not_Paid*Values_Entered,Ending_Balance,""), "")</f>
        <v>273040014.02745086</v>
      </c>
    </row>
    <row r="135" spans="2:8">
      <c r="B135" s="300">
        <f>IFERROR(IF(Loan_Not_Paid*Values_Entered,Payment_Number,""), "")</f>
        <v>118</v>
      </c>
      <c r="C135" s="299"/>
      <c r="D135" s="298">
        <f>IFERROR(IF(Loan_Not_Paid*Values_Entered,Beginning_Balance,""), "")</f>
        <v>273040014.02745086</v>
      </c>
      <c r="E135" s="298">
        <f>IFERROR(IF(Loan_Not_Paid*Values_Entered,Monthly_Payment,""), "")</f>
        <v>1677512.1817411617</v>
      </c>
      <c r="F135" s="298">
        <f>IFERROR(IF(Loan_Not_Paid*Values_Entered,Principal,""), "")</f>
        <v>710495.46539392986</v>
      </c>
      <c r="G135" s="298">
        <f>IFERROR(IF(Loan_Not_Paid*Values_Entered,Interest,""), "")</f>
        <v>967016.71634723223</v>
      </c>
      <c r="H135" s="298">
        <f>IFERROR(IF(Loan_Not_Paid*Values_Entered,Ending_Balance,""), "")</f>
        <v>272329518.5620569</v>
      </c>
    </row>
    <row r="136" spans="2:8">
      <c r="B136" s="300">
        <f>IFERROR(IF(Loan_Not_Paid*Values_Entered,Payment_Number,""), "")</f>
        <v>119</v>
      </c>
      <c r="C136" s="299"/>
      <c r="D136" s="298">
        <f>IFERROR(IF(Loan_Not_Paid*Values_Entered,Beginning_Balance,""), "")</f>
        <v>272329518.5620569</v>
      </c>
      <c r="E136" s="298">
        <f>IFERROR(IF(Loan_Not_Paid*Values_Entered,Monthly_Payment,""), "")</f>
        <v>1677512.1817411617</v>
      </c>
      <c r="F136" s="298">
        <f>IFERROR(IF(Loan_Not_Paid*Values_Entered,Principal,""), "")</f>
        <v>713011.80350053334</v>
      </c>
      <c r="G136" s="298">
        <f>IFERROR(IF(Loan_Not_Paid*Values_Entered,Interest,""), "")</f>
        <v>964500.37824062863</v>
      </c>
      <c r="H136" s="298">
        <f>IFERROR(IF(Loan_Not_Paid*Values_Entered,Ending_Balance,""), "")</f>
        <v>271616506.75855631</v>
      </c>
    </row>
    <row r="137" spans="2:8">
      <c r="B137" s="300">
        <f>IFERROR(IF(Loan_Not_Paid*Values_Entered,Payment_Number,""), "")</f>
        <v>120</v>
      </c>
      <c r="C137" s="299"/>
      <c r="D137" s="298">
        <f>IFERROR(IF(Loan_Not_Paid*Values_Entered,Beginning_Balance,""), "")</f>
        <v>271616506.75855631</v>
      </c>
      <c r="E137" s="298">
        <f>IFERROR(IF(Loan_Not_Paid*Values_Entered,Monthly_Payment,""), "")</f>
        <v>1677512.1817411617</v>
      </c>
      <c r="F137" s="298">
        <f>IFERROR(IF(Loan_Not_Paid*Values_Entered,Principal,""), "")</f>
        <v>715537.05363793089</v>
      </c>
      <c r="G137" s="298">
        <f>IFERROR(IF(Loan_Not_Paid*Values_Entered,Interest,""), "")</f>
        <v>961975.1281032305</v>
      </c>
      <c r="H137" s="298">
        <f>IFERROR(IF(Loan_Not_Paid*Values_Entered,Ending_Balance,""), "")</f>
        <v>270900969.70491844</v>
      </c>
    </row>
    <row r="138" spans="2:8">
      <c r="B138" s="300">
        <f>IFERROR(IF(Loan_Not_Paid*Values_Entered,Payment_Number,""), "")</f>
        <v>121</v>
      </c>
      <c r="C138" s="299"/>
      <c r="D138" s="298">
        <f>IFERROR(IF(Loan_Not_Paid*Values_Entered,Beginning_Balance,""), "")</f>
        <v>270900969.70491844</v>
      </c>
      <c r="E138" s="298">
        <f>IFERROR(IF(Loan_Not_Paid*Values_Entered,Monthly_Payment,""), "")</f>
        <v>1677512.1817411617</v>
      </c>
      <c r="F138" s="298">
        <f>IFERROR(IF(Loan_Not_Paid*Values_Entered,Principal,""), "")</f>
        <v>718071.2473695653</v>
      </c>
      <c r="G138" s="298">
        <f>IFERROR(IF(Loan_Not_Paid*Values_Entered,Interest,""), "")</f>
        <v>959440.93437159632</v>
      </c>
      <c r="H138" s="298">
        <f>IFERROR(IF(Loan_Not_Paid*Values_Entered,Ending_Balance,""), "")</f>
        <v>270182898.4575488</v>
      </c>
    </row>
    <row r="139" spans="2:8">
      <c r="B139" s="300">
        <f>IFERROR(IF(Loan_Not_Paid*Values_Entered,Payment_Number,""), "")</f>
        <v>122</v>
      </c>
      <c r="C139" s="299"/>
      <c r="D139" s="298">
        <f>IFERROR(IF(Loan_Not_Paid*Values_Entered,Beginning_Balance,""), "")</f>
        <v>270182898.4575488</v>
      </c>
      <c r="E139" s="298">
        <f>IFERROR(IF(Loan_Not_Paid*Values_Entered,Monthly_Payment,""), "")</f>
        <v>1677512.1817411617</v>
      </c>
      <c r="F139" s="298">
        <f>IFERROR(IF(Loan_Not_Paid*Values_Entered,Principal,""), "")</f>
        <v>720614.41637066589</v>
      </c>
      <c r="G139" s="298">
        <f>IFERROR(IF(Loan_Not_Paid*Values_Entered,Interest,""), "")</f>
        <v>956897.76537049597</v>
      </c>
      <c r="H139" s="298">
        <f>IFERROR(IF(Loan_Not_Paid*Values_Entered,Ending_Balance,""), "")</f>
        <v>269462284.04117811</v>
      </c>
    </row>
    <row r="140" spans="2:8">
      <c r="B140" s="300">
        <f>IFERROR(IF(Loan_Not_Paid*Values_Entered,Payment_Number,""), "")</f>
        <v>123</v>
      </c>
      <c r="C140" s="299"/>
      <c r="D140" s="298">
        <f>IFERROR(IF(Loan_Not_Paid*Values_Entered,Beginning_Balance,""), "")</f>
        <v>269462284.04117811</v>
      </c>
      <c r="E140" s="298">
        <f>IFERROR(IF(Loan_Not_Paid*Values_Entered,Monthly_Payment,""), "")</f>
        <v>1677512.1817411617</v>
      </c>
      <c r="F140" s="298">
        <f>IFERROR(IF(Loan_Not_Paid*Values_Entered,Principal,""), "")</f>
        <v>723166.59242864535</v>
      </c>
      <c r="G140" s="298">
        <f>IFERROR(IF(Loan_Not_Paid*Values_Entered,Interest,""), "")</f>
        <v>954345.58931251615</v>
      </c>
      <c r="H140" s="298">
        <f>IFERROR(IF(Loan_Not_Paid*Values_Entered,Ending_Balance,""), "")</f>
        <v>268739117.44874942</v>
      </c>
    </row>
    <row r="141" spans="2:8">
      <c r="B141" s="300">
        <f>IFERROR(IF(Loan_Not_Paid*Values_Entered,Payment_Number,""), "")</f>
        <v>124</v>
      </c>
      <c r="C141" s="299"/>
      <c r="D141" s="298">
        <f>IFERROR(IF(Loan_Not_Paid*Values_Entered,Beginning_Balance,""), "")</f>
        <v>268739117.44874942</v>
      </c>
      <c r="E141" s="298">
        <f>IFERROR(IF(Loan_Not_Paid*Values_Entered,Monthly_Payment,""), "")</f>
        <v>1677512.1817411617</v>
      </c>
      <c r="F141" s="298">
        <f>IFERROR(IF(Loan_Not_Paid*Values_Entered,Principal,""), "")</f>
        <v>725727.80744349677</v>
      </c>
      <c r="G141" s="298">
        <f>IFERROR(IF(Loan_Not_Paid*Values_Entered,Interest,""), "")</f>
        <v>951784.37429766485</v>
      </c>
      <c r="H141" s="298">
        <f>IFERROR(IF(Loan_Not_Paid*Values_Entered,Ending_Balance,""), "")</f>
        <v>268013389.64130592</v>
      </c>
    </row>
    <row r="142" spans="2:8">
      <c r="B142" s="300">
        <f>IFERROR(IF(Loan_Not_Paid*Values_Entered,Payment_Number,""), "")</f>
        <v>125</v>
      </c>
      <c r="C142" s="299"/>
      <c r="D142" s="298">
        <f>IFERROR(IF(Loan_Not_Paid*Values_Entered,Beginning_Balance,""), "")</f>
        <v>268013389.64130592</v>
      </c>
      <c r="E142" s="298">
        <f>IFERROR(IF(Loan_Not_Paid*Values_Entered,Monthly_Payment,""), "")</f>
        <v>1677512.1817411617</v>
      </c>
      <c r="F142" s="298">
        <f>IFERROR(IF(Loan_Not_Paid*Values_Entered,Principal,""), "")</f>
        <v>728298.09342819254</v>
      </c>
      <c r="G142" s="298">
        <f>IFERROR(IF(Loan_Not_Paid*Values_Entered,Interest,""), "")</f>
        <v>949214.08831296919</v>
      </c>
      <c r="H142" s="298">
        <f>IFERROR(IF(Loan_Not_Paid*Values_Entered,Ending_Balance,""), "")</f>
        <v>267285091.54787764</v>
      </c>
    </row>
    <row r="143" spans="2:8">
      <c r="B143" s="300">
        <f>IFERROR(IF(Loan_Not_Paid*Values_Entered,Payment_Number,""), "")</f>
        <v>126</v>
      </c>
      <c r="C143" s="299"/>
      <c r="D143" s="298">
        <f>IFERROR(IF(Loan_Not_Paid*Values_Entered,Beginning_Balance,""), "")</f>
        <v>267285091.54787764</v>
      </c>
      <c r="E143" s="298">
        <f>IFERROR(IF(Loan_Not_Paid*Values_Entered,Monthly_Payment,""), "")</f>
        <v>1677512.1817411617</v>
      </c>
      <c r="F143" s="298">
        <f>IFERROR(IF(Loan_Not_Paid*Values_Entered,Principal,""), "")</f>
        <v>730877.48250908405</v>
      </c>
      <c r="G143" s="298">
        <f>IFERROR(IF(Loan_Not_Paid*Values_Entered,Interest,""), "")</f>
        <v>946634.69923207758</v>
      </c>
      <c r="H143" s="298">
        <f>IFERROR(IF(Loan_Not_Paid*Values_Entered,Ending_Balance,""), "")</f>
        <v>266554214.06536853</v>
      </c>
    </row>
    <row r="144" spans="2:8">
      <c r="B144" s="300">
        <f>IFERROR(IF(Loan_Not_Paid*Values_Entered,Payment_Number,""), "")</f>
        <v>127</v>
      </c>
      <c r="C144" s="299"/>
      <c r="D144" s="298">
        <f>IFERROR(IF(Loan_Not_Paid*Values_Entered,Beginning_Balance,""), "")</f>
        <v>266554214.06536853</v>
      </c>
      <c r="E144" s="298">
        <f>IFERROR(IF(Loan_Not_Paid*Values_Entered,Monthly_Payment,""), "")</f>
        <v>1677512.1817411617</v>
      </c>
      <c r="F144" s="298">
        <f>IFERROR(IF(Loan_Not_Paid*Values_Entered,Principal,""), "")</f>
        <v>733466.00692630373</v>
      </c>
      <c r="G144" s="298">
        <f>IFERROR(IF(Loan_Not_Paid*Values_Entered,Interest,""), "")</f>
        <v>944046.17481485801</v>
      </c>
      <c r="H144" s="298">
        <f>IFERROR(IF(Loan_Not_Paid*Values_Entered,Ending_Balance,""), "")</f>
        <v>265820748.05844218</v>
      </c>
    </row>
    <row r="145" spans="2:8">
      <c r="B145" s="300">
        <f>IFERROR(IF(Loan_Not_Paid*Values_Entered,Payment_Number,""), "")</f>
        <v>128</v>
      </c>
      <c r="C145" s="299"/>
      <c r="D145" s="298">
        <f>IFERROR(IF(Loan_Not_Paid*Values_Entered,Beginning_Balance,""), "")</f>
        <v>265820748.05844218</v>
      </c>
      <c r="E145" s="298">
        <f>IFERROR(IF(Loan_Not_Paid*Values_Entered,Monthly_Payment,""), "")</f>
        <v>1677512.1817411617</v>
      </c>
      <c r="F145" s="298">
        <f>IFERROR(IF(Loan_Not_Paid*Values_Entered,Principal,""), "")</f>
        <v>736063.6990341678</v>
      </c>
      <c r="G145" s="298">
        <f>IFERROR(IF(Loan_Not_Paid*Values_Entered,Interest,""), "")</f>
        <v>941448.48270699428</v>
      </c>
      <c r="H145" s="298">
        <f>IFERROR(IF(Loan_Not_Paid*Values_Entered,Ending_Balance,""), "")</f>
        <v>265084684.35940796</v>
      </c>
    </row>
    <row r="146" spans="2:8">
      <c r="B146" s="300">
        <f>IFERROR(IF(Loan_Not_Paid*Values_Entered,Payment_Number,""), "")</f>
        <v>129</v>
      </c>
      <c r="C146" s="299"/>
      <c r="D146" s="298">
        <f>IFERROR(IF(Loan_Not_Paid*Values_Entered,Beginning_Balance,""), "")</f>
        <v>265084684.35940796</v>
      </c>
      <c r="E146" s="298">
        <f>IFERROR(IF(Loan_Not_Paid*Values_Entered,Monthly_Payment,""), "")</f>
        <v>1677512.1817411617</v>
      </c>
      <c r="F146" s="298">
        <f>IFERROR(IF(Loan_Not_Paid*Values_Entered,Principal,""), "")</f>
        <v>738670.59130158043</v>
      </c>
      <c r="G146" s="298">
        <f>IFERROR(IF(Loan_Not_Paid*Values_Entered,Interest,""), "")</f>
        <v>938841.5904395812</v>
      </c>
      <c r="H146" s="298">
        <f>IFERROR(IF(Loan_Not_Paid*Values_Entered,Ending_Balance,""), "")</f>
        <v>264346013.76810646</v>
      </c>
    </row>
    <row r="147" spans="2:8">
      <c r="B147" s="300">
        <f>IFERROR(IF(Loan_Not_Paid*Values_Entered,Payment_Number,""), "")</f>
        <v>130</v>
      </c>
      <c r="C147" s="299"/>
      <c r="D147" s="298">
        <f>IFERROR(IF(Loan_Not_Paid*Values_Entered,Beginning_Balance,""), "")</f>
        <v>264346013.76810646</v>
      </c>
      <c r="E147" s="298">
        <f>IFERROR(IF(Loan_Not_Paid*Values_Entered,Monthly_Payment,""), "")</f>
        <v>1677512.1817411617</v>
      </c>
      <c r="F147" s="298">
        <f>IFERROR(IF(Loan_Not_Paid*Values_Entered,Principal,""), "")</f>
        <v>741286.71631244023</v>
      </c>
      <c r="G147" s="298">
        <f>IFERROR(IF(Loan_Not_Paid*Values_Entered,Interest,""), "")</f>
        <v>936225.46542872151</v>
      </c>
      <c r="H147" s="298">
        <f>IFERROR(IF(Loan_Not_Paid*Values_Entered,Ending_Balance,""), "")</f>
        <v>263604727.05179387</v>
      </c>
    </row>
    <row r="148" spans="2:8">
      <c r="B148" s="300">
        <f>IFERROR(IF(Loan_Not_Paid*Values_Entered,Payment_Number,""), "")</f>
        <v>131</v>
      </c>
      <c r="C148" s="299"/>
      <c r="D148" s="298">
        <f>IFERROR(IF(Loan_Not_Paid*Values_Entered,Beginning_Balance,""), "")</f>
        <v>263604727.05179387</v>
      </c>
      <c r="E148" s="298">
        <f>IFERROR(IF(Loan_Not_Paid*Values_Entered,Monthly_Payment,""), "")</f>
        <v>1677512.1817411617</v>
      </c>
      <c r="F148" s="298">
        <f>IFERROR(IF(Loan_Not_Paid*Values_Entered,Principal,""), "")</f>
        <v>743912.10676604661</v>
      </c>
      <c r="G148" s="298">
        <f>IFERROR(IF(Loan_Not_Paid*Values_Entered,Interest,""), "")</f>
        <v>933600.07497511513</v>
      </c>
      <c r="H148" s="298">
        <f>IFERROR(IF(Loan_Not_Paid*Values_Entered,Ending_Balance,""), "")</f>
        <v>262860814.94502783</v>
      </c>
    </row>
    <row r="149" spans="2:8">
      <c r="B149" s="300">
        <f>IFERROR(IF(Loan_Not_Paid*Values_Entered,Payment_Number,""), "")</f>
        <v>132</v>
      </c>
      <c r="C149" s="299"/>
      <c r="D149" s="298">
        <f>IFERROR(IF(Loan_Not_Paid*Values_Entered,Beginning_Balance,""), "")</f>
        <v>262860814.94502783</v>
      </c>
      <c r="E149" s="298">
        <f>IFERROR(IF(Loan_Not_Paid*Values_Entered,Monthly_Payment,""), "")</f>
        <v>1677512.1817411617</v>
      </c>
      <c r="F149" s="298">
        <f>IFERROR(IF(Loan_Not_Paid*Values_Entered,Principal,""), "")</f>
        <v>746546.79547750985</v>
      </c>
      <c r="G149" s="298">
        <f>IFERROR(IF(Loan_Not_Paid*Values_Entered,Interest,""), "")</f>
        <v>930965.38626365177</v>
      </c>
      <c r="H149" s="298">
        <f>IFERROR(IF(Loan_Not_Paid*Values_Entered,Ending_Balance,""), "")</f>
        <v>262114268.14955026</v>
      </c>
    </row>
    <row r="150" spans="2:8">
      <c r="B150" s="300">
        <f>IFERROR(IF(Loan_Not_Paid*Values_Entered,Payment_Number,""), "")</f>
        <v>133</v>
      </c>
      <c r="C150" s="299"/>
      <c r="D150" s="298">
        <f>IFERROR(IF(Loan_Not_Paid*Values_Entered,Beginning_Balance,""), "")</f>
        <v>262114268.14955026</v>
      </c>
      <c r="E150" s="298">
        <f>IFERROR(IF(Loan_Not_Paid*Values_Entered,Monthly_Payment,""), "")</f>
        <v>1677512.1817411617</v>
      </c>
      <c r="F150" s="298">
        <f>IFERROR(IF(Loan_Not_Paid*Values_Entered,Principal,""), "")</f>
        <v>749190.81537815928</v>
      </c>
      <c r="G150" s="298">
        <f>IFERROR(IF(Loan_Not_Paid*Values_Entered,Interest,""), "")</f>
        <v>928321.36636300234</v>
      </c>
      <c r="H150" s="298">
        <f>IFERROR(IF(Loan_Not_Paid*Values_Entered,Ending_Balance,""), "")</f>
        <v>261365077.33417207</v>
      </c>
    </row>
    <row r="151" spans="2:8">
      <c r="B151" s="300">
        <f>IFERROR(IF(Loan_Not_Paid*Values_Entered,Payment_Number,""), "")</f>
        <v>134</v>
      </c>
      <c r="C151" s="299"/>
      <c r="D151" s="298">
        <f>IFERROR(IF(Loan_Not_Paid*Values_Entered,Beginning_Balance,""), "")</f>
        <v>261365077.33417207</v>
      </c>
      <c r="E151" s="298">
        <f>IFERROR(IF(Loan_Not_Paid*Values_Entered,Monthly_Payment,""), "")</f>
        <v>1677512.1817411617</v>
      </c>
      <c r="F151" s="298">
        <f>IFERROR(IF(Loan_Not_Paid*Values_Entered,Principal,""), "")</f>
        <v>751844.19951595692</v>
      </c>
      <c r="G151" s="298">
        <f>IFERROR(IF(Loan_Not_Paid*Values_Entered,Interest,""), "")</f>
        <v>925667.9822252047</v>
      </c>
      <c r="H151" s="298">
        <f>IFERROR(IF(Loan_Not_Paid*Values_Entered,Ending_Balance,""), "")</f>
        <v>260613233.13465601</v>
      </c>
    </row>
    <row r="152" spans="2:8">
      <c r="B152" s="300">
        <f>IFERROR(IF(Loan_Not_Paid*Values_Entered,Payment_Number,""), "")</f>
        <v>135</v>
      </c>
      <c r="C152" s="299"/>
      <c r="D152" s="298">
        <f>IFERROR(IF(Loan_Not_Paid*Values_Entered,Beginning_Balance,""), "")</f>
        <v>260613233.13465601</v>
      </c>
      <c r="E152" s="298">
        <f>IFERROR(IF(Loan_Not_Paid*Values_Entered,Monthly_Payment,""), "")</f>
        <v>1677512.1817411617</v>
      </c>
      <c r="F152" s="298">
        <f>IFERROR(IF(Loan_Not_Paid*Values_Entered,Principal,""), "")</f>
        <v>754506.9810559093</v>
      </c>
      <c r="G152" s="298">
        <f>IFERROR(IF(Loan_Not_Paid*Values_Entered,Interest,""), "")</f>
        <v>923005.20068525244</v>
      </c>
      <c r="H152" s="298">
        <f>IFERROR(IF(Loan_Not_Paid*Values_Entered,Ending_Balance,""), "")</f>
        <v>259858726.1536001</v>
      </c>
    </row>
    <row r="153" spans="2:8">
      <c r="B153" s="300">
        <f>IFERROR(IF(Loan_Not_Paid*Values_Entered,Payment_Number,""), "")</f>
        <v>136</v>
      </c>
      <c r="C153" s="299"/>
      <c r="D153" s="298">
        <f>IFERROR(IF(Loan_Not_Paid*Values_Entered,Beginning_Balance,""), "")</f>
        <v>259858726.1536001</v>
      </c>
      <c r="E153" s="298">
        <f>IFERROR(IF(Loan_Not_Paid*Values_Entered,Monthly_Payment,""), "")</f>
        <v>1677512.1817411617</v>
      </c>
      <c r="F153" s="298">
        <f>IFERROR(IF(Loan_Not_Paid*Values_Entered,Principal,""), "")</f>
        <v>757179.19328048232</v>
      </c>
      <c r="G153" s="298">
        <f>IFERROR(IF(Loan_Not_Paid*Values_Entered,Interest,""), "")</f>
        <v>920332.98846067931</v>
      </c>
      <c r="H153" s="298">
        <f>IFERROR(IF(Loan_Not_Paid*Values_Entered,Ending_Balance,""), "")</f>
        <v>259101546.96031964</v>
      </c>
    </row>
    <row r="154" spans="2:8">
      <c r="B154" s="300">
        <f>IFERROR(IF(Loan_Not_Paid*Values_Entered,Payment_Number,""), "")</f>
        <v>137</v>
      </c>
      <c r="C154" s="299"/>
      <c r="D154" s="298">
        <f>IFERROR(IF(Loan_Not_Paid*Values_Entered,Beginning_Balance,""), "")</f>
        <v>259101546.96031964</v>
      </c>
      <c r="E154" s="298">
        <f>IFERROR(IF(Loan_Not_Paid*Values_Entered,Monthly_Payment,""), "")</f>
        <v>1677512.1817411617</v>
      </c>
      <c r="F154" s="298">
        <f>IFERROR(IF(Loan_Not_Paid*Values_Entered,Principal,""), "")</f>
        <v>759860.86959001736</v>
      </c>
      <c r="G154" s="298">
        <f>IFERROR(IF(Loan_Not_Paid*Values_Entered,Interest,""), "")</f>
        <v>917651.31215114449</v>
      </c>
      <c r="H154" s="298">
        <f>IFERROR(IF(Loan_Not_Paid*Values_Entered,Ending_Balance,""), "")</f>
        <v>258341686.09072959</v>
      </c>
    </row>
    <row r="155" spans="2:8">
      <c r="B155" s="300">
        <f>IFERROR(IF(Loan_Not_Paid*Values_Entered,Payment_Number,""), "")</f>
        <v>138</v>
      </c>
      <c r="C155" s="299"/>
      <c r="D155" s="298">
        <f>IFERROR(IF(Loan_Not_Paid*Values_Entered,Beginning_Balance,""), "")</f>
        <v>258341686.09072959</v>
      </c>
      <c r="E155" s="298">
        <f>IFERROR(IF(Loan_Not_Paid*Values_Entered,Monthly_Payment,""), "")</f>
        <v>1677512.1817411617</v>
      </c>
      <c r="F155" s="298">
        <f>IFERROR(IF(Loan_Not_Paid*Values_Entered,Principal,""), "")</f>
        <v>762552.0435031486</v>
      </c>
      <c r="G155" s="298">
        <f>IFERROR(IF(Loan_Not_Paid*Values_Entered,Interest,""), "")</f>
        <v>914960.13823801302</v>
      </c>
      <c r="H155" s="298">
        <f>IFERROR(IF(Loan_Not_Paid*Values_Entered,Ending_Balance,""), "")</f>
        <v>257579134.04722637</v>
      </c>
    </row>
    <row r="156" spans="2:8">
      <c r="B156" s="300">
        <f>IFERROR(IF(Loan_Not_Paid*Values_Entered,Payment_Number,""), "")</f>
        <v>139</v>
      </c>
      <c r="C156" s="299"/>
      <c r="D156" s="298">
        <f>IFERROR(IF(Loan_Not_Paid*Values_Entered,Beginning_Balance,""), "")</f>
        <v>257579134.04722637</v>
      </c>
      <c r="E156" s="298">
        <f>IFERROR(IF(Loan_Not_Paid*Values_Entered,Monthly_Payment,""), "")</f>
        <v>1677512.1817411617</v>
      </c>
      <c r="F156" s="298">
        <f>IFERROR(IF(Loan_Not_Paid*Values_Entered,Principal,""), "")</f>
        <v>765252.74865722226</v>
      </c>
      <c r="G156" s="298">
        <f>IFERROR(IF(Loan_Not_Paid*Values_Entered,Interest,""), "")</f>
        <v>912259.43308393925</v>
      </c>
      <c r="H156" s="298">
        <f>IFERROR(IF(Loan_Not_Paid*Values_Entered,Ending_Balance,""), "")</f>
        <v>256813881.29856914</v>
      </c>
    </row>
    <row r="157" spans="2:8">
      <c r="B157" s="300">
        <f>IFERROR(IF(Loan_Not_Paid*Values_Entered,Payment_Number,""), "")</f>
        <v>140</v>
      </c>
      <c r="C157" s="299"/>
      <c r="D157" s="298">
        <f>IFERROR(IF(Loan_Not_Paid*Values_Entered,Beginning_Balance,""), "")</f>
        <v>256813881.29856914</v>
      </c>
      <c r="E157" s="298">
        <f>IFERROR(IF(Loan_Not_Paid*Values_Entered,Monthly_Payment,""), "")</f>
        <v>1677512.1817411617</v>
      </c>
      <c r="F157" s="298">
        <f>IFERROR(IF(Loan_Not_Paid*Values_Entered,Principal,""), "")</f>
        <v>767963.01880871656</v>
      </c>
      <c r="G157" s="298">
        <f>IFERROR(IF(Loan_Not_Paid*Values_Entered,Interest,""), "")</f>
        <v>909549.16293244506</v>
      </c>
      <c r="H157" s="298">
        <f>IFERROR(IF(Loan_Not_Paid*Values_Entered,Ending_Balance,""), "")</f>
        <v>256045918.2797603</v>
      </c>
    </row>
    <row r="158" spans="2:8">
      <c r="B158" s="300">
        <f>IFERROR(IF(Loan_Not_Paid*Values_Entered,Payment_Number,""), "")</f>
        <v>141</v>
      </c>
      <c r="C158" s="299"/>
      <c r="D158" s="298">
        <f>IFERROR(IF(Loan_Not_Paid*Values_Entered,Beginning_Balance,""), "")</f>
        <v>256045918.2797603</v>
      </c>
      <c r="E158" s="298">
        <f>IFERROR(IF(Loan_Not_Paid*Values_Entered,Monthly_Payment,""), "")</f>
        <v>1677512.1817411617</v>
      </c>
      <c r="F158" s="298">
        <f>IFERROR(IF(Loan_Not_Paid*Values_Entered,Principal,""), "")</f>
        <v>770682.88783366419</v>
      </c>
      <c r="G158" s="298">
        <f>IFERROR(IF(Loan_Not_Paid*Values_Entered,Interest,""), "")</f>
        <v>906829.29390749754</v>
      </c>
      <c r="H158" s="298">
        <f>IFERROR(IF(Loan_Not_Paid*Values_Entered,Ending_Balance,""), "")</f>
        <v>255275235.39192659</v>
      </c>
    </row>
    <row r="159" spans="2:8">
      <c r="B159" s="300">
        <f>IFERROR(IF(Loan_Not_Paid*Values_Entered,Payment_Number,""), "")</f>
        <v>142</v>
      </c>
      <c r="C159" s="299"/>
      <c r="D159" s="298">
        <f>IFERROR(IF(Loan_Not_Paid*Values_Entered,Beginning_Balance,""), "")</f>
        <v>255275235.39192659</v>
      </c>
      <c r="E159" s="298">
        <f>IFERROR(IF(Loan_Not_Paid*Values_Entered,Monthly_Payment,""), "")</f>
        <v>1677512.1817411617</v>
      </c>
      <c r="F159" s="298">
        <f>IFERROR(IF(Loan_Not_Paid*Values_Entered,Principal,""), "")</f>
        <v>773412.38972807501</v>
      </c>
      <c r="G159" s="298">
        <f>IFERROR(IF(Loan_Not_Paid*Values_Entered,Interest,""), "")</f>
        <v>904099.79201308673</v>
      </c>
      <c r="H159" s="298">
        <f>IFERROR(IF(Loan_Not_Paid*Values_Entered,Ending_Balance,""), "")</f>
        <v>254501823.00219846</v>
      </c>
    </row>
    <row r="160" spans="2:8">
      <c r="B160" s="300">
        <f>IFERROR(IF(Loan_Not_Paid*Values_Entered,Payment_Number,""), "")</f>
        <v>143</v>
      </c>
      <c r="C160" s="299"/>
      <c r="D160" s="298">
        <f>IFERROR(IF(Loan_Not_Paid*Values_Entered,Beginning_Balance,""), "")</f>
        <v>254501823.00219846</v>
      </c>
      <c r="E160" s="298">
        <f>IFERROR(IF(Loan_Not_Paid*Values_Entered,Monthly_Payment,""), "")</f>
        <v>1677512.1817411617</v>
      </c>
      <c r="F160" s="298">
        <f>IFERROR(IF(Loan_Not_Paid*Values_Entered,Principal,""), "")</f>
        <v>776151.55860836199</v>
      </c>
      <c r="G160" s="298">
        <f>IFERROR(IF(Loan_Not_Paid*Values_Entered,Interest,""), "")</f>
        <v>901360.62313279987</v>
      </c>
      <c r="H160" s="298">
        <f>IFERROR(IF(Loan_Not_Paid*Values_Entered,Ending_Balance,""), "")</f>
        <v>253725671.44359016</v>
      </c>
    </row>
    <row r="161" spans="2:8">
      <c r="B161" s="300">
        <f>IFERROR(IF(Loan_Not_Paid*Values_Entered,Payment_Number,""), "")</f>
        <v>144</v>
      </c>
      <c r="C161" s="299"/>
      <c r="D161" s="298">
        <f>IFERROR(IF(Loan_Not_Paid*Values_Entered,Beginning_Balance,""), "")</f>
        <v>253725671.44359016</v>
      </c>
      <c r="E161" s="298">
        <f>IFERROR(IF(Loan_Not_Paid*Values_Entered,Monthly_Payment,""), "")</f>
        <v>1677512.1817411617</v>
      </c>
      <c r="F161" s="298">
        <f>IFERROR(IF(Loan_Not_Paid*Values_Entered,Principal,""), "")</f>
        <v>778900.42871176661</v>
      </c>
      <c r="G161" s="298">
        <f>IFERROR(IF(Loan_Not_Paid*Values_Entered,Interest,""), "")</f>
        <v>898611.75302939513</v>
      </c>
      <c r="H161" s="298">
        <f>IFERROR(IF(Loan_Not_Paid*Values_Entered,Ending_Balance,""), "")</f>
        <v>252946771.01487839</v>
      </c>
    </row>
    <row r="162" spans="2:8">
      <c r="B162" s="300">
        <f>IFERROR(IF(Loan_Not_Paid*Values_Entered,Payment_Number,""), "")</f>
        <v>145</v>
      </c>
      <c r="C162" s="299"/>
      <c r="D162" s="298">
        <f>IFERROR(IF(Loan_Not_Paid*Values_Entered,Beginning_Balance,""), "")</f>
        <v>252946771.01487839</v>
      </c>
      <c r="E162" s="298">
        <f>IFERROR(IF(Loan_Not_Paid*Values_Entered,Monthly_Payment,""), "")</f>
        <v>1677512.1817411617</v>
      </c>
      <c r="F162" s="298">
        <f>IFERROR(IF(Loan_Not_Paid*Values_Entered,Principal,""), "")</f>
        <v>781659.03439678752</v>
      </c>
      <c r="G162" s="298">
        <f>IFERROR(IF(Loan_Not_Paid*Values_Entered,Interest,""), "")</f>
        <v>895853.14734437421</v>
      </c>
      <c r="H162" s="298">
        <f>IFERROR(IF(Loan_Not_Paid*Values_Entered,Ending_Balance,""), "")</f>
        <v>252165111.98048156</v>
      </c>
    </row>
    <row r="163" spans="2:8">
      <c r="B163" s="300">
        <f>IFERROR(IF(Loan_Not_Paid*Values_Entered,Payment_Number,""), "")</f>
        <v>146</v>
      </c>
      <c r="C163" s="299"/>
      <c r="D163" s="298">
        <f>IFERROR(IF(Loan_Not_Paid*Values_Entered,Beginning_Balance,""), "")</f>
        <v>252165111.98048156</v>
      </c>
      <c r="E163" s="298">
        <f>IFERROR(IF(Loan_Not_Paid*Values_Entered,Monthly_Payment,""), "")</f>
        <v>1677512.1817411617</v>
      </c>
      <c r="F163" s="298">
        <f>IFERROR(IF(Loan_Not_Paid*Values_Entered,Principal,""), "")</f>
        <v>784427.41014360939</v>
      </c>
      <c r="G163" s="298">
        <f>IFERROR(IF(Loan_Not_Paid*Values_Entered,Interest,""), "")</f>
        <v>893084.77159755246</v>
      </c>
      <c r="H163" s="298">
        <f>IFERROR(IF(Loan_Not_Paid*Values_Entered,Ending_Balance,""), "")</f>
        <v>251380684.57033783</v>
      </c>
    </row>
    <row r="164" spans="2:8">
      <c r="B164" s="300">
        <f>IFERROR(IF(Loan_Not_Paid*Values_Entered,Payment_Number,""), "")</f>
        <v>147</v>
      </c>
      <c r="C164" s="299"/>
      <c r="D164" s="298">
        <f>IFERROR(IF(Loan_Not_Paid*Values_Entered,Beginning_Balance,""), "")</f>
        <v>251380684.57033783</v>
      </c>
      <c r="E164" s="298">
        <f>IFERROR(IF(Loan_Not_Paid*Values_Entered,Monthly_Payment,""), "")</f>
        <v>1677512.1817411617</v>
      </c>
      <c r="F164" s="298">
        <f>IFERROR(IF(Loan_Not_Paid*Values_Entered,Principal,""), "")</f>
        <v>787205.59055453469</v>
      </c>
      <c r="G164" s="298">
        <f>IFERROR(IF(Loan_Not_Paid*Values_Entered,Interest,""), "")</f>
        <v>890306.59118662716</v>
      </c>
      <c r="H164" s="298">
        <f>IFERROR(IF(Loan_Not_Paid*Values_Entered,Ending_Balance,""), "")</f>
        <v>250593478.9797833</v>
      </c>
    </row>
    <row r="165" spans="2:8">
      <c r="B165" s="300">
        <f>IFERROR(IF(Loan_Not_Paid*Values_Entered,Payment_Number,""), "")</f>
        <v>148</v>
      </c>
      <c r="C165" s="299"/>
      <c r="D165" s="298">
        <f>IFERROR(IF(Loan_Not_Paid*Values_Entered,Beginning_Balance,""), "")</f>
        <v>250593478.9797833</v>
      </c>
      <c r="E165" s="298">
        <f>IFERROR(IF(Loan_Not_Paid*Values_Entered,Monthly_Payment,""), "")</f>
        <v>1677512.1817411617</v>
      </c>
      <c r="F165" s="298">
        <f>IFERROR(IF(Loan_Not_Paid*Values_Entered,Principal,""), "")</f>
        <v>789993.61035441537</v>
      </c>
      <c r="G165" s="298">
        <f>IFERROR(IF(Loan_Not_Paid*Values_Entered,Interest,""), "")</f>
        <v>887518.57138674625</v>
      </c>
      <c r="H165" s="298">
        <f>IFERROR(IF(Loan_Not_Paid*Values_Entered,Ending_Balance,""), "")</f>
        <v>249803485.36942875</v>
      </c>
    </row>
    <row r="166" spans="2:8">
      <c r="B166" s="300">
        <f>IFERROR(IF(Loan_Not_Paid*Values_Entered,Payment_Number,""), "")</f>
        <v>149</v>
      </c>
      <c r="C166" s="299"/>
      <c r="D166" s="298">
        <f>IFERROR(IF(Loan_Not_Paid*Values_Entered,Beginning_Balance,""), "")</f>
        <v>249803485.36942875</v>
      </c>
      <c r="E166" s="298">
        <f>IFERROR(IF(Loan_Not_Paid*Values_Entered,Monthly_Payment,""), "")</f>
        <v>1677512.1817411617</v>
      </c>
      <c r="F166" s="298">
        <f>IFERROR(IF(Loan_Not_Paid*Values_Entered,Principal,""), "")</f>
        <v>792791.50439108734</v>
      </c>
      <c r="G166" s="298">
        <f>IFERROR(IF(Loan_Not_Paid*Values_Entered,Interest,""), "")</f>
        <v>884720.67735007452</v>
      </c>
      <c r="H166" s="298">
        <f>IFERROR(IF(Loan_Not_Paid*Values_Entered,Ending_Balance,""), "")</f>
        <v>249010693.86503774</v>
      </c>
    </row>
    <row r="167" spans="2:8">
      <c r="B167" s="300">
        <f>IFERROR(IF(Loan_Not_Paid*Values_Entered,Payment_Number,""), "")</f>
        <v>150</v>
      </c>
      <c r="C167" s="299"/>
      <c r="D167" s="298">
        <f>IFERROR(IF(Loan_Not_Paid*Values_Entered,Beginning_Balance,""), "")</f>
        <v>249010693.86503774</v>
      </c>
      <c r="E167" s="298">
        <f>IFERROR(IF(Loan_Not_Paid*Values_Entered,Monthly_Payment,""), "")</f>
        <v>1677512.1817411617</v>
      </c>
      <c r="F167" s="298">
        <f>IFERROR(IF(Loan_Not_Paid*Values_Entered,Principal,""), "")</f>
        <v>795599.30763580569</v>
      </c>
      <c r="G167" s="298">
        <f>IFERROR(IF(Loan_Not_Paid*Values_Entered,Interest,""), "")</f>
        <v>881912.87410535594</v>
      </c>
      <c r="H167" s="298">
        <f>IFERROR(IF(Loan_Not_Paid*Values_Entered,Ending_Balance,""), "")</f>
        <v>248215094.55740184</v>
      </c>
    </row>
    <row r="168" spans="2:8">
      <c r="B168" s="300">
        <f>IFERROR(IF(Loan_Not_Paid*Values_Entered,Payment_Number,""), "")</f>
        <v>151</v>
      </c>
      <c r="C168" s="299"/>
      <c r="D168" s="298">
        <f>IFERROR(IF(Loan_Not_Paid*Values_Entered,Beginning_Balance,""), "")</f>
        <v>248215094.55740184</v>
      </c>
      <c r="E168" s="298">
        <f>IFERROR(IF(Loan_Not_Paid*Values_Entered,Monthly_Payment,""), "")</f>
        <v>1677512.1817411617</v>
      </c>
      <c r="F168" s="298">
        <f>IFERROR(IF(Loan_Not_Paid*Values_Entered,Principal,""), "")</f>
        <v>798417.05518368259</v>
      </c>
      <c r="G168" s="298">
        <f>IFERROR(IF(Loan_Not_Paid*Values_Entered,Interest,""), "")</f>
        <v>879095.12655747915</v>
      </c>
      <c r="H168" s="298">
        <f>IFERROR(IF(Loan_Not_Paid*Values_Entered,Ending_Balance,""), "")</f>
        <v>247416677.50221801</v>
      </c>
    </row>
    <row r="169" spans="2:8">
      <c r="B169" s="300">
        <f>IFERROR(IF(Loan_Not_Paid*Values_Entered,Payment_Number,""), "")</f>
        <v>152</v>
      </c>
      <c r="C169" s="299"/>
      <c r="D169" s="298">
        <f>IFERROR(IF(Loan_Not_Paid*Values_Entered,Beginning_Balance,""), "")</f>
        <v>247416677.50221801</v>
      </c>
      <c r="E169" s="298">
        <f>IFERROR(IF(Loan_Not_Paid*Values_Entered,Monthly_Payment,""), "")</f>
        <v>1677512.1817411617</v>
      </c>
      <c r="F169" s="298">
        <f>IFERROR(IF(Loan_Not_Paid*Values_Entered,Principal,""), "")</f>
        <v>801244.78225412464</v>
      </c>
      <c r="G169" s="298">
        <f>IFERROR(IF(Loan_Not_Paid*Values_Entered,Interest,""), "")</f>
        <v>876267.3994870371</v>
      </c>
      <c r="H169" s="298">
        <f>IFERROR(IF(Loan_Not_Paid*Values_Entered,Ending_Balance,""), "")</f>
        <v>246615432.71996397</v>
      </c>
    </row>
    <row r="170" spans="2:8">
      <c r="B170" s="300">
        <f>IFERROR(IF(Loan_Not_Paid*Values_Entered,Payment_Number,""), "")</f>
        <v>153</v>
      </c>
      <c r="C170" s="299"/>
      <c r="D170" s="298">
        <f>IFERROR(IF(Loan_Not_Paid*Values_Entered,Beginning_Balance,""), "")</f>
        <v>246615432.71996397</v>
      </c>
      <c r="E170" s="298">
        <f>IFERROR(IF(Loan_Not_Paid*Values_Entered,Monthly_Payment,""), "")</f>
        <v>1677512.1817411617</v>
      </c>
      <c r="F170" s="298">
        <f>IFERROR(IF(Loan_Not_Paid*Values_Entered,Principal,""), "")</f>
        <v>804082.52419127466</v>
      </c>
      <c r="G170" s="298">
        <f>IFERROR(IF(Loan_Not_Paid*Values_Entered,Interest,""), "")</f>
        <v>873429.65754988696</v>
      </c>
      <c r="H170" s="298">
        <f>IFERROR(IF(Loan_Not_Paid*Values_Entered,Ending_Balance,""), "")</f>
        <v>245811350.19577271</v>
      </c>
    </row>
    <row r="171" spans="2:8">
      <c r="B171" s="300">
        <f>IFERROR(IF(Loan_Not_Paid*Values_Entered,Payment_Number,""), "")</f>
        <v>154</v>
      </c>
      <c r="C171" s="299"/>
      <c r="D171" s="298">
        <f>IFERROR(IF(Loan_Not_Paid*Values_Entered,Beginning_Balance,""), "")</f>
        <v>245811350.19577271</v>
      </c>
      <c r="E171" s="298">
        <f>IFERROR(IF(Loan_Not_Paid*Values_Entered,Monthly_Payment,""), "")</f>
        <v>1677512.1817411617</v>
      </c>
      <c r="F171" s="298">
        <f>IFERROR(IF(Loan_Not_Paid*Values_Entered,Principal,""), "")</f>
        <v>806930.31646445219</v>
      </c>
      <c r="G171" s="298">
        <f>IFERROR(IF(Loan_Not_Paid*Values_Entered,Interest,""), "")</f>
        <v>870581.86527670955</v>
      </c>
      <c r="H171" s="298">
        <f>IFERROR(IF(Loan_Not_Paid*Values_Entered,Ending_Balance,""), "")</f>
        <v>245004419.87930816</v>
      </c>
    </row>
    <row r="172" spans="2:8">
      <c r="B172" s="300">
        <f>IFERROR(IF(Loan_Not_Paid*Values_Entered,Payment_Number,""), "")</f>
        <v>155</v>
      </c>
      <c r="C172" s="299"/>
      <c r="D172" s="298">
        <f>IFERROR(IF(Loan_Not_Paid*Values_Entered,Beginning_Balance,""), "")</f>
        <v>245004419.87930816</v>
      </c>
      <c r="E172" s="298">
        <f>IFERROR(IF(Loan_Not_Paid*Values_Entered,Monthly_Payment,""), "")</f>
        <v>1677512.1817411617</v>
      </c>
      <c r="F172" s="298">
        <f>IFERROR(IF(Loan_Not_Paid*Values_Entered,Principal,""), "")</f>
        <v>809788.19466859708</v>
      </c>
      <c r="G172" s="298">
        <f>IFERROR(IF(Loan_Not_Paid*Values_Entered,Interest,""), "")</f>
        <v>867723.98707256455</v>
      </c>
      <c r="H172" s="298">
        <f>IFERROR(IF(Loan_Not_Paid*Values_Entered,Ending_Balance,""), "")</f>
        <v>244194631.68463945</v>
      </c>
    </row>
    <row r="173" spans="2:8">
      <c r="B173" s="300">
        <f>IFERROR(IF(Loan_Not_Paid*Values_Entered,Payment_Number,""), "")</f>
        <v>156</v>
      </c>
      <c r="C173" s="299"/>
      <c r="D173" s="298">
        <f>IFERROR(IF(Loan_Not_Paid*Values_Entered,Beginning_Balance,""), "")</f>
        <v>244194631.68463945</v>
      </c>
      <c r="E173" s="298">
        <f>IFERROR(IF(Loan_Not_Paid*Values_Entered,Monthly_Payment,""), "")</f>
        <v>1677512.1817411617</v>
      </c>
      <c r="F173" s="298">
        <f>IFERROR(IF(Loan_Not_Paid*Values_Entered,Principal,""), "")</f>
        <v>812656.19452471519</v>
      </c>
      <c r="G173" s="298">
        <f>IFERROR(IF(Loan_Not_Paid*Values_Entered,Interest,""), "")</f>
        <v>864855.98721644655</v>
      </c>
      <c r="H173" s="298">
        <f>IFERROR(IF(Loan_Not_Paid*Values_Entered,Ending_Balance,""), "")</f>
        <v>243381975.49011475</v>
      </c>
    </row>
    <row r="174" spans="2:8">
      <c r="B174" s="300">
        <f>IFERROR(IF(Loan_Not_Paid*Values_Entered,Payment_Number,""), "")</f>
        <v>157</v>
      </c>
      <c r="C174" s="299"/>
      <c r="D174" s="298">
        <f>IFERROR(IF(Loan_Not_Paid*Values_Entered,Beginning_Balance,""), "")</f>
        <v>243381975.49011475</v>
      </c>
      <c r="E174" s="298">
        <f>IFERROR(IF(Loan_Not_Paid*Values_Entered,Monthly_Payment,""), "")</f>
        <v>1677512.1817411617</v>
      </c>
      <c r="F174" s="298">
        <f>IFERROR(IF(Loan_Not_Paid*Values_Entered,Principal,""), "")</f>
        <v>815534.35188032349</v>
      </c>
      <c r="G174" s="298">
        <f>IFERROR(IF(Loan_Not_Paid*Values_Entered,Interest,""), "")</f>
        <v>861977.82986083825</v>
      </c>
      <c r="H174" s="298">
        <f>IFERROR(IF(Loan_Not_Paid*Values_Entered,Ending_Balance,""), "")</f>
        <v>242566441.13823438</v>
      </c>
    </row>
    <row r="175" spans="2:8">
      <c r="B175" s="300">
        <f>IFERROR(IF(Loan_Not_Paid*Values_Entered,Payment_Number,""), "")</f>
        <v>158</v>
      </c>
      <c r="C175" s="299"/>
      <c r="D175" s="298">
        <f>IFERROR(IF(Loan_Not_Paid*Values_Entered,Beginning_Balance,""), "")</f>
        <v>242566441.13823438</v>
      </c>
      <c r="E175" s="298">
        <f>IFERROR(IF(Loan_Not_Paid*Values_Entered,Monthly_Payment,""), "")</f>
        <v>1677512.1817411617</v>
      </c>
      <c r="F175" s="298">
        <f>IFERROR(IF(Loan_Not_Paid*Values_Entered,Principal,""), "")</f>
        <v>818422.70270989963</v>
      </c>
      <c r="G175" s="298">
        <f>IFERROR(IF(Loan_Not_Paid*Values_Entered,Interest,""), "")</f>
        <v>859089.4790312621</v>
      </c>
      <c r="H175" s="298">
        <f>IFERROR(IF(Loan_Not_Paid*Values_Entered,Ending_Balance,""), "")</f>
        <v>241748018.4355244</v>
      </c>
    </row>
    <row r="176" spans="2:8">
      <c r="B176" s="300">
        <f>IFERROR(IF(Loan_Not_Paid*Values_Entered,Payment_Number,""), "")</f>
        <v>159</v>
      </c>
      <c r="C176" s="299"/>
      <c r="D176" s="298">
        <f>IFERROR(IF(Loan_Not_Paid*Values_Entered,Beginning_Balance,""), "")</f>
        <v>241748018.4355244</v>
      </c>
      <c r="E176" s="298">
        <f>IFERROR(IF(Loan_Not_Paid*Values_Entered,Monthly_Payment,""), "")</f>
        <v>1677512.1817411617</v>
      </c>
      <c r="F176" s="298">
        <f>IFERROR(IF(Loan_Not_Paid*Values_Entered,Principal,""), "")</f>
        <v>821321.28311533039</v>
      </c>
      <c r="G176" s="298">
        <f>IFERROR(IF(Loan_Not_Paid*Values_Entered,Interest,""), "")</f>
        <v>856190.89862583124</v>
      </c>
      <c r="H176" s="298">
        <f>IFERROR(IF(Loan_Not_Paid*Values_Entered,Ending_Balance,""), "")</f>
        <v>240926697.15240908</v>
      </c>
    </row>
    <row r="177" spans="2:8">
      <c r="B177" s="300">
        <f>IFERROR(IF(Loan_Not_Paid*Values_Entered,Payment_Number,""), "")</f>
        <v>160</v>
      </c>
      <c r="C177" s="299"/>
      <c r="D177" s="298">
        <f>IFERROR(IF(Loan_Not_Paid*Values_Entered,Beginning_Balance,""), "")</f>
        <v>240926697.15240908</v>
      </c>
      <c r="E177" s="298">
        <f>IFERROR(IF(Loan_Not_Paid*Values_Entered,Monthly_Payment,""), "")</f>
        <v>1677512.1817411617</v>
      </c>
      <c r="F177" s="298">
        <f>IFERROR(IF(Loan_Not_Paid*Values_Entered,Principal,""), "")</f>
        <v>824230.12932636403</v>
      </c>
      <c r="G177" s="298">
        <f>IFERROR(IF(Loan_Not_Paid*Values_Entered,Interest,""), "")</f>
        <v>853282.0524147976</v>
      </c>
      <c r="H177" s="298">
        <f>IFERROR(IF(Loan_Not_Paid*Values_Entered,Ending_Balance,""), "")</f>
        <v>240102467.02308267</v>
      </c>
    </row>
    <row r="178" spans="2:8">
      <c r="B178" s="300">
        <f>IFERROR(IF(Loan_Not_Paid*Values_Entered,Payment_Number,""), "")</f>
        <v>161</v>
      </c>
      <c r="C178" s="299"/>
      <c r="D178" s="298">
        <f>IFERROR(IF(Loan_Not_Paid*Values_Entered,Beginning_Balance,""), "")</f>
        <v>240102467.02308267</v>
      </c>
      <c r="E178" s="298">
        <f>IFERROR(IF(Loan_Not_Paid*Values_Entered,Monthly_Payment,""), "")</f>
        <v>1677512.1817411617</v>
      </c>
      <c r="F178" s="298">
        <f>IFERROR(IF(Loan_Not_Paid*Values_Entered,Principal,""), "")</f>
        <v>827149.27770106145</v>
      </c>
      <c r="G178" s="298">
        <f>IFERROR(IF(Loan_Not_Paid*Values_Entered,Interest,""), "")</f>
        <v>850362.9040401004</v>
      </c>
      <c r="H178" s="298">
        <f>IFERROR(IF(Loan_Not_Paid*Values_Entered,Ending_Balance,""), "")</f>
        <v>239275317.74538153</v>
      </c>
    </row>
    <row r="179" spans="2:8">
      <c r="B179" s="300">
        <f>IFERROR(IF(Loan_Not_Paid*Values_Entered,Payment_Number,""), "")</f>
        <v>162</v>
      </c>
      <c r="C179" s="299"/>
      <c r="D179" s="298">
        <f>IFERROR(IF(Loan_Not_Paid*Values_Entered,Beginning_Balance,""), "")</f>
        <v>239275317.74538153</v>
      </c>
      <c r="E179" s="298">
        <f>IFERROR(IF(Loan_Not_Paid*Values_Entered,Monthly_Payment,""), "")</f>
        <v>1677512.1817411617</v>
      </c>
      <c r="F179" s="298">
        <f>IFERROR(IF(Loan_Not_Paid*Values_Entered,Principal,""), "")</f>
        <v>830078.76472625276</v>
      </c>
      <c r="G179" s="298">
        <f>IFERROR(IF(Loan_Not_Paid*Values_Entered,Interest,""), "")</f>
        <v>847433.41701490898</v>
      </c>
      <c r="H179" s="298">
        <f>IFERROR(IF(Loan_Not_Paid*Values_Entered,Ending_Balance,""), "")</f>
        <v>238445238.98065531</v>
      </c>
    </row>
    <row r="180" spans="2:8">
      <c r="B180" s="300">
        <f>IFERROR(IF(Loan_Not_Paid*Values_Entered,Payment_Number,""), "")</f>
        <v>163</v>
      </c>
      <c r="C180" s="299"/>
      <c r="D180" s="298">
        <f>IFERROR(IF(Loan_Not_Paid*Values_Entered,Beginning_Balance,""), "")</f>
        <v>238445238.98065531</v>
      </c>
      <c r="E180" s="298">
        <f>IFERROR(IF(Loan_Not_Paid*Values_Entered,Monthly_Payment,""), "")</f>
        <v>1677512.1817411617</v>
      </c>
      <c r="F180" s="298">
        <f>IFERROR(IF(Loan_Not_Paid*Values_Entered,Principal,""), "")</f>
        <v>833018.6270179915</v>
      </c>
      <c r="G180" s="298">
        <f>IFERROR(IF(Loan_Not_Paid*Values_Entered,Interest,""), "")</f>
        <v>844493.55472317012</v>
      </c>
      <c r="H180" s="298">
        <f>IFERROR(IF(Loan_Not_Paid*Values_Entered,Ending_Balance,""), "")</f>
        <v>237612220.35363722</v>
      </c>
    </row>
    <row r="181" spans="2:8">
      <c r="B181" s="300">
        <f>IFERROR(IF(Loan_Not_Paid*Values_Entered,Payment_Number,""), "")</f>
        <v>164</v>
      </c>
      <c r="C181" s="299"/>
      <c r="D181" s="298">
        <f>IFERROR(IF(Loan_Not_Paid*Values_Entered,Beginning_Balance,""), "")</f>
        <v>237612220.35363722</v>
      </c>
      <c r="E181" s="298">
        <f>IFERROR(IF(Loan_Not_Paid*Values_Entered,Monthly_Payment,""), "")</f>
        <v>1677512.1817411617</v>
      </c>
      <c r="F181" s="298">
        <f>IFERROR(IF(Loan_Not_Paid*Values_Entered,Principal,""), "")</f>
        <v>835968.90132201358</v>
      </c>
      <c r="G181" s="298">
        <f>IFERROR(IF(Loan_Not_Paid*Values_Entered,Interest,""), "")</f>
        <v>841543.28041914816</v>
      </c>
      <c r="H181" s="298">
        <f>IFERROR(IF(Loan_Not_Paid*Values_Entered,Ending_Balance,""), "")</f>
        <v>236776251.45231515</v>
      </c>
    </row>
    <row r="182" spans="2:8">
      <c r="B182" s="300">
        <f>IFERROR(IF(Loan_Not_Paid*Values_Entered,Payment_Number,""), "")</f>
        <v>165</v>
      </c>
      <c r="C182" s="299"/>
      <c r="D182" s="298">
        <f>IFERROR(IF(Loan_Not_Paid*Values_Entered,Beginning_Balance,""), "")</f>
        <v>236776251.45231515</v>
      </c>
      <c r="E182" s="298">
        <f>IFERROR(IF(Loan_Not_Paid*Values_Entered,Monthly_Payment,""), "")</f>
        <v>1677512.1817411617</v>
      </c>
      <c r="F182" s="298">
        <f>IFERROR(IF(Loan_Not_Paid*Values_Entered,Principal,""), "")</f>
        <v>838929.62451419584</v>
      </c>
      <c r="G182" s="298">
        <f>IFERROR(IF(Loan_Not_Paid*Values_Entered,Interest,""), "")</f>
        <v>838582.5572269659</v>
      </c>
      <c r="H182" s="298">
        <f>IFERROR(IF(Loan_Not_Paid*Values_Entered,Ending_Balance,""), "")</f>
        <v>235937321.82780093</v>
      </c>
    </row>
    <row r="183" spans="2:8">
      <c r="B183" s="300">
        <f>IFERROR(IF(Loan_Not_Paid*Values_Entered,Payment_Number,""), "")</f>
        <v>166</v>
      </c>
      <c r="C183" s="299"/>
      <c r="D183" s="298">
        <f>IFERROR(IF(Loan_Not_Paid*Values_Entered,Beginning_Balance,""), "")</f>
        <v>235937321.82780093</v>
      </c>
      <c r="E183" s="298">
        <f>IFERROR(IF(Loan_Not_Paid*Values_Entered,Monthly_Payment,""), "")</f>
        <v>1677512.1817411617</v>
      </c>
      <c r="F183" s="298">
        <f>IFERROR(IF(Loan_Not_Paid*Values_Entered,Principal,""), "")</f>
        <v>841900.8336010169</v>
      </c>
      <c r="G183" s="298">
        <f>IFERROR(IF(Loan_Not_Paid*Values_Entered,Interest,""), "")</f>
        <v>835611.34814014495</v>
      </c>
      <c r="H183" s="298">
        <f>IFERROR(IF(Loan_Not_Paid*Values_Entered,Ending_Balance,""), "")</f>
        <v>235095420.99419981</v>
      </c>
    </row>
    <row r="184" spans="2:8">
      <c r="B184" s="300">
        <f>IFERROR(IF(Loan_Not_Paid*Values_Entered,Payment_Number,""), "")</f>
        <v>167</v>
      </c>
      <c r="C184" s="299"/>
      <c r="D184" s="298">
        <f>IFERROR(IF(Loan_Not_Paid*Values_Entered,Beginning_Balance,""), "")</f>
        <v>235095420.99419981</v>
      </c>
      <c r="E184" s="298">
        <f>IFERROR(IF(Loan_Not_Paid*Values_Entered,Monthly_Payment,""), "")</f>
        <v>1677512.1817411617</v>
      </c>
      <c r="F184" s="298">
        <f>IFERROR(IF(Loan_Not_Paid*Values_Entered,Principal,""), "")</f>
        <v>844882.56572002044</v>
      </c>
      <c r="G184" s="298">
        <f>IFERROR(IF(Loan_Not_Paid*Values_Entered,Interest,""), "")</f>
        <v>832629.61602114129</v>
      </c>
      <c r="H184" s="298">
        <f>IFERROR(IF(Loan_Not_Paid*Values_Entered,Ending_Balance,""), "")</f>
        <v>234250538.42847979</v>
      </c>
    </row>
    <row r="185" spans="2:8">
      <c r="B185" s="300">
        <f>IFERROR(IF(Loan_Not_Paid*Values_Entered,Payment_Number,""), "")</f>
        <v>168</v>
      </c>
      <c r="C185" s="299"/>
      <c r="D185" s="298">
        <f>IFERROR(IF(Loan_Not_Paid*Values_Entered,Beginning_Balance,""), "")</f>
        <v>234250538.42847979</v>
      </c>
      <c r="E185" s="298">
        <f>IFERROR(IF(Loan_Not_Paid*Values_Entered,Monthly_Payment,""), "")</f>
        <v>1677512.1817411617</v>
      </c>
      <c r="F185" s="298">
        <f>IFERROR(IF(Loan_Not_Paid*Values_Entered,Principal,""), "")</f>
        <v>847874.85814027884</v>
      </c>
      <c r="G185" s="298">
        <f>IFERROR(IF(Loan_Not_Paid*Values_Entered,Interest,""), "")</f>
        <v>829637.32360088278</v>
      </c>
      <c r="H185" s="298">
        <f>IFERROR(IF(Loan_Not_Paid*Values_Entered,Ending_Balance,""), "")</f>
        <v>233402663.57033944</v>
      </c>
    </row>
    <row r="186" spans="2:8">
      <c r="B186" s="300">
        <f>IFERROR(IF(Loan_Not_Paid*Values_Entered,Payment_Number,""), "")</f>
        <v>169</v>
      </c>
      <c r="C186" s="299"/>
      <c r="D186" s="298">
        <f>IFERROR(IF(Loan_Not_Paid*Values_Entered,Beginning_Balance,""), "")</f>
        <v>233402663.57033944</v>
      </c>
      <c r="E186" s="298">
        <f>IFERROR(IF(Loan_Not_Paid*Values_Entered,Monthly_Payment,""), "")</f>
        <v>1677512.1817411617</v>
      </c>
      <c r="F186" s="298">
        <f>IFERROR(IF(Loan_Not_Paid*Values_Entered,Principal,""), "")</f>
        <v>850877.74826285907</v>
      </c>
      <c r="G186" s="298">
        <f>IFERROR(IF(Loan_Not_Paid*Values_Entered,Interest,""), "")</f>
        <v>826634.43347830267</v>
      </c>
      <c r="H186" s="298">
        <f>IFERROR(IF(Loan_Not_Paid*Values_Entered,Ending_Balance,""), "")</f>
        <v>232551785.8220765</v>
      </c>
    </row>
    <row r="187" spans="2:8">
      <c r="B187" s="300">
        <f>IFERROR(IF(Loan_Not_Paid*Values_Entered,Payment_Number,""), "")</f>
        <v>170</v>
      </c>
      <c r="C187" s="299"/>
      <c r="D187" s="298">
        <f>IFERROR(IF(Loan_Not_Paid*Values_Entered,Beginning_Balance,""), "")</f>
        <v>232551785.8220765</v>
      </c>
      <c r="E187" s="298">
        <f>IFERROR(IF(Loan_Not_Paid*Values_Entered,Monthly_Payment,""), "")</f>
        <v>1677512.1817411617</v>
      </c>
      <c r="F187" s="298">
        <f>IFERROR(IF(Loan_Not_Paid*Values_Entered,Principal,""), "")</f>
        <v>853891.27362128987</v>
      </c>
      <c r="G187" s="298">
        <f>IFERROR(IF(Loan_Not_Paid*Values_Entered,Interest,""), "")</f>
        <v>823620.90811987163</v>
      </c>
      <c r="H187" s="298">
        <f>IFERROR(IF(Loan_Not_Paid*Values_Entered,Ending_Balance,""), "")</f>
        <v>231697894.54845518</v>
      </c>
    </row>
    <row r="188" spans="2:8">
      <c r="B188" s="300">
        <f>IFERROR(IF(Loan_Not_Paid*Values_Entered,Payment_Number,""), "")</f>
        <v>171</v>
      </c>
      <c r="C188" s="299"/>
      <c r="D188" s="298">
        <f>IFERROR(IF(Loan_Not_Paid*Values_Entered,Beginning_Balance,""), "")</f>
        <v>231697894.54845518</v>
      </c>
      <c r="E188" s="298">
        <f>IFERROR(IF(Loan_Not_Paid*Values_Entered,Monthly_Payment,""), "")</f>
        <v>1677512.1817411617</v>
      </c>
      <c r="F188" s="298">
        <f>IFERROR(IF(Loan_Not_Paid*Values_Entered,Principal,""), "")</f>
        <v>856915.47188203188</v>
      </c>
      <c r="G188" s="298">
        <f>IFERROR(IF(Loan_Not_Paid*Values_Entered,Interest,""), "")</f>
        <v>820596.70985912962</v>
      </c>
      <c r="H188" s="298">
        <f>IFERROR(IF(Loan_Not_Paid*Values_Entered,Ending_Balance,""), "")</f>
        <v>230840979.07657307</v>
      </c>
    </row>
    <row r="189" spans="2:8">
      <c r="B189" s="300">
        <f>IFERROR(IF(Loan_Not_Paid*Values_Entered,Payment_Number,""), "")</f>
        <v>172</v>
      </c>
      <c r="C189" s="299"/>
      <c r="D189" s="298">
        <f>IFERROR(IF(Loan_Not_Paid*Values_Entered,Beginning_Balance,""), "")</f>
        <v>230840979.07657307</v>
      </c>
      <c r="E189" s="298">
        <f>IFERROR(IF(Loan_Not_Paid*Values_Entered,Monthly_Payment,""), "")</f>
        <v>1677512.1817411617</v>
      </c>
      <c r="F189" s="298">
        <f>IFERROR(IF(Loan_Not_Paid*Values_Entered,Principal,""), "")</f>
        <v>859950.38084494753</v>
      </c>
      <c r="G189" s="298">
        <f>IFERROR(IF(Loan_Not_Paid*Values_Entered,Interest,""), "")</f>
        <v>817561.8008962142</v>
      </c>
      <c r="H189" s="298">
        <f>IFERROR(IF(Loan_Not_Paid*Values_Entered,Ending_Balance,""), "")</f>
        <v>229981028.69572818</v>
      </c>
    </row>
    <row r="190" spans="2:8">
      <c r="B190" s="300">
        <f>IFERROR(IF(Loan_Not_Paid*Values_Entered,Payment_Number,""), "")</f>
        <v>173</v>
      </c>
      <c r="C190" s="299"/>
      <c r="D190" s="298">
        <f>IFERROR(IF(Loan_Not_Paid*Values_Entered,Beginning_Balance,""), "")</f>
        <v>229981028.69572818</v>
      </c>
      <c r="E190" s="298">
        <f>IFERROR(IF(Loan_Not_Paid*Values_Entered,Monthly_Payment,""), "")</f>
        <v>1677512.1817411617</v>
      </c>
      <c r="F190" s="298">
        <f>IFERROR(IF(Loan_Not_Paid*Values_Entered,Principal,""), "")</f>
        <v>862996.0384437734</v>
      </c>
      <c r="G190" s="298">
        <f>IFERROR(IF(Loan_Not_Paid*Values_Entered,Interest,""), "")</f>
        <v>814516.14329738833</v>
      </c>
      <c r="H190" s="298">
        <f>IFERROR(IF(Loan_Not_Paid*Values_Entered,Ending_Balance,""), "")</f>
        <v>229118032.65728438</v>
      </c>
    </row>
    <row r="191" spans="2:8">
      <c r="B191" s="300">
        <f>IFERROR(IF(Loan_Not_Paid*Values_Entered,Payment_Number,""), "")</f>
        <v>174</v>
      </c>
      <c r="C191" s="299"/>
      <c r="D191" s="298">
        <f>IFERROR(IF(Loan_Not_Paid*Values_Entered,Beginning_Balance,""), "")</f>
        <v>229118032.65728438</v>
      </c>
      <c r="E191" s="298">
        <f>IFERROR(IF(Loan_Not_Paid*Values_Entered,Monthly_Payment,""), "")</f>
        <v>1677512.1817411617</v>
      </c>
      <c r="F191" s="298">
        <f>IFERROR(IF(Loan_Not_Paid*Values_Entered,Principal,""), "")</f>
        <v>866052.48274659517</v>
      </c>
      <c r="G191" s="298">
        <f>IFERROR(IF(Loan_Not_Paid*Values_Entered,Interest,""), "")</f>
        <v>811459.69899456657</v>
      </c>
      <c r="H191" s="298">
        <f>IFERROR(IF(Loan_Not_Paid*Values_Entered,Ending_Balance,""), "")</f>
        <v>228251980.1745376</v>
      </c>
    </row>
    <row r="192" spans="2:8">
      <c r="B192" s="300">
        <f>IFERROR(IF(Loan_Not_Paid*Values_Entered,Payment_Number,""), "")</f>
        <v>175</v>
      </c>
      <c r="C192" s="299"/>
      <c r="D192" s="298">
        <f>IFERROR(IF(Loan_Not_Paid*Values_Entered,Beginning_Balance,""), "")</f>
        <v>228251980.1745376</v>
      </c>
      <c r="E192" s="298">
        <f>IFERROR(IF(Loan_Not_Paid*Values_Entered,Monthly_Payment,""), "")</f>
        <v>1677512.1817411617</v>
      </c>
      <c r="F192" s="298">
        <f>IFERROR(IF(Loan_Not_Paid*Values_Entered,Principal,""), "")</f>
        <v>869119.7519563227</v>
      </c>
      <c r="G192" s="298">
        <f>IFERROR(IF(Loan_Not_Paid*Values_Entered,Interest,""), "")</f>
        <v>808392.42978483916</v>
      </c>
      <c r="H192" s="298">
        <f>IFERROR(IF(Loan_Not_Paid*Values_Entered,Ending_Balance,""), "")</f>
        <v>227382860.42258126</v>
      </c>
    </row>
    <row r="193" spans="2:8">
      <c r="B193" s="300">
        <f>IFERROR(IF(Loan_Not_Paid*Values_Entered,Payment_Number,""), "")</f>
        <v>176</v>
      </c>
      <c r="C193" s="299"/>
      <c r="D193" s="298">
        <f>IFERROR(IF(Loan_Not_Paid*Values_Entered,Beginning_Balance,""), "")</f>
        <v>227382860.42258126</v>
      </c>
      <c r="E193" s="298">
        <f>IFERROR(IF(Loan_Not_Paid*Values_Entered,Monthly_Payment,""), "")</f>
        <v>1677512.1817411617</v>
      </c>
      <c r="F193" s="298">
        <f>IFERROR(IF(Loan_Not_Paid*Values_Entered,Principal,""), "")</f>
        <v>872197.88441116805</v>
      </c>
      <c r="G193" s="298">
        <f>IFERROR(IF(Loan_Not_Paid*Values_Entered,Interest,""), "")</f>
        <v>805314.29732999369</v>
      </c>
      <c r="H193" s="298">
        <f>IFERROR(IF(Loan_Not_Paid*Values_Entered,Ending_Balance,""), "")</f>
        <v>226510662.5381701</v>
      </c>
    </row>
    <row r="194" spans="2:8">
      <c r="B194" s="300">
        <f>IFERROR(IF(Loan_Not_Paid*Values_Entered,Payment_Number,""), "")</f>
        <v>177</v>
      </c>
      <c r="C194" s="299"/>
      <c r="D194" s="298">
        <f>IFERROR(IF(Loan_Not_Paid*Values_Entered,Beginning_Balance,""), "")</f>
        <v>226510662.5381701</v>
      </c>
      <c r="E194" s="298">
        <f>IFERROR(IF(Loan_Not_Paid*Values_Entered,Monthly_Payment,""), "")</f>
        <v>1677512.1817411617</v>
      </c>
      <c r="F194" s="298">
        <f>IFERROR(IF(Loan_Not_Paid*Values_Entered,Principal,""), "")</f>
        <v>875286.91858512408</v>
      </c>
      <c r="G194" s="298">
        <f>IFERROR(IF(Loan_Not_Paid*Values_Entered,Interest,""), "")</f>
        <v>802225.26315603754</v>
      </c>
      <c r="H194" s="298">
        <f>IFERROR(IF(Loan_Not_Paid*Values_Entered,Ending_Balance,""), "")</f>
        <v>225635375.61958492</v>
      </c>
    </row>
    <row r="195" spans="2:8">
      <c r="B195" s="300">
        <f>IFERROR(IF(Loan_Not_Paid*Values_Entered,Payment_Number,""), "")</f>
        <v>178</v>
      </c>
      <c r="C195" s="299"/>
      <c r="D195" s="298">
        <f>IFERROR(IF(Loan_Not_Paid*Values_Entered,Beginning_Balance,""), "")</f>
        <v>225635375.61958492</v>
      </c>
      <c r="E195" s="298">
        <f>IFERROR(IF(Loan_Not_Paid*Values_Entered,Monthly_Payment,""), "")</f>
        <v>1677512.1817411617</v>
      </c>
      <c r="F195" s="298">
        <f>IFERROR(IF(Loan_Not_Paid*Values_Entered,Principal,""), "")</f>
        <v>878386.89308844646</v>
      </c>
      <c r="G195" s="298">
        <f>IFERROR(IF(Loan_Not_Paid*Values_Entered,Interest,""), "")</f>
        <v>799125.28865271527</v>
      </c>
      <c r="H195" s="298">
        <f>IFERROR(IF(Loan_Not_Paid*Values_Entered,Ending_Balance,""), "")</f>
        <v>224756988.7264964</v>
      </c>
    </row>
    <row r="196" spans="2:8">
      <c r="B196" s="300">
        <f>IFERROR(IF(Loan_Not_Paid*Values_Entered,Payment_Number,""), "")</f>
        <v>179</v>
      </c>
      <c r="C196" s="299"/>
      <c r="D196" s="298">
        <f>IFERROR(IF(Loan_Not_Paid*Values_Entered,Beginning_Balance,""), "")</f>
        <v>224756988.7264964</v>
      </c>
      <c r="E196" s="298">
        <f>IFERROR(IF(Loan_Not_Paid*Values_Entered,Monthly_Payment,""), "")</f>
        <v>1677512.1817411617</v>
      </c>
      <c r="F196" s="298">
        <f>IFERROR(IF(Loan_Not_Paid*Values_Entered,Principal,""), "")</f>
        <v>881497.84666813468</v>
      </c>
      <c r="G196" s="298">
        <f>IFERROR(IF(Loan_Not_Paid*Values_Entered,Interest,""), "")</f>
        <v>796014.33507302694</v>
      </c>
      <c r="H196" s="298">
        <f>IFERROR(IF(Loan_Not_Paid*Values_Entered,Ending_Balance,""), "")</f>
        <v>223875490.87982827</v>
      </c>
    </row>
    <row r="197" spans="2:8">
      <c r="B197" s="300">
        <f>IFERROR(IF(Loan_Not_Paid*Values_Entered,Payment_Number,""), "")</f>
        <v>180</v>
      </c>
      <c r="C197" s="299"/>
      <c r="D197" s="298">
        <f>IFERROR(IF(Loan_Not_Paid*Values_Entered,Beginning_Balance,""), "")</f>
        <v>223875490.87982827</v>
      </c>
      <c r="E197" s="298">
        <f>IFERROR(IF(Loan_Not_Paid*Values_Entered,Monthly_Payment,""), "")</f>
        <v>1677512.1817411617</v>
      </c>
      <c r="F197" s="298">
        <f>IFERROR(IF(Loan_Not_Paid*Values_Entered,Principal,""), "")</f>
        <v>884619.81820841762</v>
      </c>
      <c r="G197" s="298">
        <f>IFERROR(IF(Loan_Not_Paid*Values_Entered,Interest,""), "")</f>
        <v>792892.36353274423</v>
      </c>
      <c r="H197" s="298">
        <f>IFERROR(IF(Loan_Not_Paid*Values_Entered,Ending_Balance,""), "")</f>
        <v>222990871.06161976</v>
      </c>
    </row>
    <row r="198" spans="2:8">
      <c r="B198" s="300">
        <f>IFERROR(IF(Loan_Not_Paid*Values_Entered,Payment_Number,""), "")</f>
        <v>181</v>
      </c>
      <c r="C198" s="299"/>
      <c r="D198" s="298">
        <f>IFERROR(IF(Loan_Not_Paid*Values_Entered,Beginning_Balance,""), "")</f>
        <v>222990871.06161976</v>
      </c>
      <c r="E198" s="298">
        <f>IFERROR(IF(Loan_Not_Paid*Values_Entered,Monthly_Payment,""), "")</f>
        <v>1677512.1817411617</v>
      </c>
      <c r="F198" s="298">
        <f>IFERROR(IF(Loan_Not_Paid*Values_Entered,Principal,""), "")</f>
        <v>887752.84673123923</v>
      </c>
      <c r="G198" s="298">
        <f>IFERROR(IF(Loan_Not_Paid*Values_Entered,Interest,""), "")</f>
        <v>789759.33500992274</v>
      </c>
      <c r="H198" s="298">
        <f>IFERROR(IF(Loan_Not_Paid*Values_Entered,Ending_Balance,""), "")</f>
        <v>222103118.21488845</v>
      </c>
    </row>
    <row r="199" spans="2:8">
      <c r="B199" s="300">
        <f>IFERROR(IF(Loan_Not_Paid*Values_Entered,Payment_Number,""), "")</f>
        <v>182</v>
      </c>
      <c r="C199" s="299"/>
      <c r="D199" s="298">
        <f>IFERROR(IF(Loan_Not_Paid*Values_Entered,Beginning_Balance,""), "")</f>
        <v>222103118.21488845</v>
      </c>
      <c r="E199" s="298">
        <f>IFERROR(IF(Loan_Not_Paid*Values_Entered,Monthly_Payment,""), "")</f>
        <v>1677512.1817411617</v>
      </c>
      <c r="F199" s="298">
        <f>IFERROR(IF(Loan_Not_Paid*Values_Entered,Principal,""), "")</f>
        <v>890896.97139674553</v>
      </c>
      <c r="G199" s="298">
        <f>IFERROR(IF(Loan_Not_Paid*Values_Entered,Interest,""), "")</f>
        <v>786615.21034441597</v>
      </c>
      <c r="H199" s="298">
        <f>IFERROR(IF(Loan_Not_Paid*Values_Entered,Ending_Balance,""), "")</f>
        <v>221212221.24349165</v>
      </c>
    </row>
    <row r="200" spans="2:8">
      <c r="B200" s="300">
        <f>IFERROR(IF(Loan_Not_Paid*Values_Entered,Payment_Number,""), "")</f>
        <v>183</v>
      </c>
      <c r="C200" s="299"/>
      <c r="D200" s="298">
        <f>IFERROR(IF(Loan_Not_Paid*Values_Entered,Beginning_Balance,""), "")</f>
        <v>221212221.24349165</v>
      </c>
      <c r="E200" s="298">
        <f>IFERROR(IF(Loan_Not_Paid*Values_Entered,Monthly_Payment,""), "")</f>
        <v>1677512.1817411617</v>
      </c>
      <c r="F200" s="298">
        <f>IFERROR(IF(Loan_Not_Paid*Values_Entered,Principal,""), "")</f>
        <v>894052.23150377593</v>
      </c>
      <c r="G200" s="298">
        <f>IFERROR(IF(Loan_Not_Paid*Values_Entered,Interest,""), "")</f>
        <v>783459.95023738593</v>
      </c>
      <c r="H200" s="298">
        <f>IFERROR(IF(Loan_Not_Paid*Values_Entered,Ending_Balance,""), "")</f>
        <v>220318169.01198781</v>
      </c>
    </row>
    <row r="201" spans="2:8">
      <c r="B201" s="300">
        <f>IFERROR(IF(Loan_Not_Paid*Values_Entered,Payment_Number,""), "")</f>
        <v>184</v>
      </c>
      <c r="C201" s="299"/>
      <c r="D201" s="298">
        <f>IFERROR(IF(Loan_Not_Paid*Values_Entered,Beginning_Balance,""), "")</f>
        <v>220318169.01198781</v>
      </c>
      <c r="E201" s="298">
        <f>IFERROR(IF(Loan_Not_Paid*Values_Entered,Monthly_Payment,""), "")</f>
        <v>1677512.1817411617</v>
      </c>
      <c r="F201" s="298">
        <f>IFERROR(IF(Loan_Not_Paid*Values_Entered,Principal,""), "")</f>
        <v>897218.66649035166</v>
      </c>
      <c r="G201" s="298">
        <f>IFERROR(IF(Loan_Not_Paid*Values_Entered,Interest,""), "")</f>
        <v>780293.51525080996</v>
      </c>
      <c r="H201" s="298">
        <f>IFERROR(IF(Loan_Not_Paid*Values_Entered,Ending_Balance,""), "")</f>
        <v>219420950.34549749</v>
      </c>
    </row>
    <row r="202" spans="2:8">
      <c r="B202" s="300">
        <f>IFERROR(IF(Loan_Not_Paid*Values_Entered,Payment_Number,""), "")</f>
        <v>185</v>
      </c>
      <c r="C202" s="299"/>
      <c r="D202" s="298">
        <f>IFERROR(IF(Loan_Not_Paid*Values_Entered,Beginning_Balance,""), "")</f>
        <v>219420950.34549749</v>
      </c>
      <c r="E202" s="298">
        <f>IFERROR(IF(Loan_Not_Paid*Values_Entered,Monthly_Payment,""), "")</f>
        <v>1677512.1817411617</v>
      </c>
      <c r="F202" s="298">
        <f>IFERROR(IF(Loan_Not_Paid*Values_Entered,Principal,""), "")</f>
        <v>900396.31593417178</v>
      </c>
      <c r="G202" s="298">
        <f>IFERROR(IF(Loan_Not_Paid*Values_Entered,Interest,""), "")</f>
        <v>777115.86580699007</v>
      </c>
      <c r="H202" s="298">
        <f>IFERROR(IF(Loan_Not_Paid*Values_Entered,Ending_Balance,""), "")</f>
        <v>218520554.02956319</v>
      </c>
    </row>
    <row r="203" spans="2:8">
      <c r="B203" s="300">
        <f>IFERROR(IF(Loan_Not_Paid*Values_Entered,Payment_Number,""), "")</f>
        <v>186</v>
      </c>
      <c r="C203" s="299"/>
      <c r="D203" s="298">
        <f>IFERROR(IF(Loan_Not_Paid*Values_Entered,Beginning_Balance,""), "")</f>
        <v>218520554.02956319</v>
      </c>
      <c r="E203" s="298">
        <f>IFERROR(IF(Loan_Not_Paid*Values_Entered,Monthly_Payment,""), "")</f>
        <v>1677512.1817411617</v>
      </c>
      <c r="F203" s="298">
        <f>IFERROR(IF(Loan_Not_Paid*Values_Entered,Principal,""), "")</f>
        <v>903585.21955310507</v>
      </c>
      <c r="G203" s="298">
        <f>IFERROR(IF(Loan_Not_Paid*Values_Entered,Interest,""), "")</f>
        <v>773926.96218805667</v>
      </c>
      <c r="H203" s="298">
        <f>IFERROR(IF(Loan_Not_Paid*Values_Entered,Ending_Balance,""), "")</f>
        <v>217616968.81001002</v>
      </c>
    </row>
    <row r="204" spans="2:8">
      <c r="B204" s="300">
        <f>IFERROR(IF(Loan_Not_Paid*Values_Entered,Payment_Number,""), "")</f>
        <v>187</v>
      </c>
      <c r="C204" s="299"/>
      <c r="D204" s="298">
        <f>IFERROR(IF(Loan_Not_Paid*Values_Entered,Beginning_Balance,""), "")</f>
        <v>217616968.81001002</v>
      </c>
      <c r="E204" s="298">
        <f>IFERROR(IF(Loan_Not_Paid*Values_Entered,Monthly_Payment,""), "")</f>
        <v>1677512.1817411617</v>
      </c>
      <c r="F204" s="298">
        <f>IFERROR(IF(Loan_Not_Paid*Values_Entered,Principal,""), "")</f>
        <v>906785.41720568913</v>
      </c>
      <c r="G204" s="298">
        <f>IFERROR(IF(Loan_Not_Paid*Values_Entered,Interest,""), "")</f>
        <v>770726.7645354725</v>
      </c>
      <c r="H204" s="298">
        <f>IFERROR(IF(Loan_Not_Paid*Values_Entered,Ending_Balance,""), "")</f>
        <v>216710183.39280438</v>
      </c>
    </row>
    <row r="205" spans="2:8">
      <c r="B205" s="300">
        <f>IFERROR(IF(Loan_Not_Paid*Values_Entered,Payment_Number,""), "")</f>
        <v>188</v>
      </c>
      <c r="C205" s="299"/>
      <c r="D205" s="298">
        <f>IFERROR(IF(Loan_Not_Paid*Values_Entered,Beginning_Balance,""), "")</f>
        <v>216710183.39280438</v>
      </c>
      <c r="E205" s="298">
        <f>IFERROR(IF(Loan_Not_Paid*Values_Entered,Monthly_Payment,""), "")</f>
        <v>1677512.1817411617</v>
      </c>
      <c r="F205" s="298">
        <f>IFERROR(IF(Loan_Not_Paid*Values_Entered,Principal,""), "")</f>
        <v>909996.94889162586</v>
      </c>
      <c r="G205" s="298">
        <f>IFERROR(IF(Loan_Not_Paid*Values_Entered,Interest,""), "")</f>
        <v>767515.23284953588</v>
      </c>
      <c r="H205" s="298">
        <f>IFERROR(IF(Loan_Not_Paid*Values_Entered,Ending_Balance,""), "")</f>
        <v>215800186.44391274</v>
      </c>
    </row>
    <row r="206" spans="2:8">
      <c r="B206" s="300">
        <f>IFERROR(IF(Loan_Not_Paid*Values_Entered,Payment_Number,""), "")</f>
        <v>189</v>
      </c>
      <c r="C206" s="299"/>
      <c r="D206" s="298">
        <f>IFERROR(IF(Loan_Not_Paid*Values_Entered,Beginning_Balance,""), "")</f>
        <v>215800186.44391274</v>
      </c>
      <c r="E206" s="298">
        <f>IFERROR(IF(Loan_Not_Paid*Values_Entered,Monthly_Payment,""), "")</f>
        <v>1677512.1817411617</v>
      </c>
      <c r="F206" s="298">
        <f>IFERROR(IF(Loan_Not_Paid*Values_Entered,Principal,""), "")</f>
        <v>913219.85475228378</v>
      </c>
      <c r="G206" s="298">
        <f>IFERROR(IF(Loan_Not_Paid*Values_Entered,Interest,""), "")</f>
        <v>764292.32698887796</v>
      </c>
      <c r="H206" s="298">
        <f>IFERROR(IF(Loan_Not_Paid*Values_Entered,Ending_Balance,""), "")</f>
        <v>214886966.58916044</v>
      </c>
    </row>
    <row r="207" spans="2:8">
      <c r="B207" s="300">
        <f>IFERROR(IF(Loan_Not_Paid*Values_Entered,Payment_Number,""), "")</f>
        <v>190</v>
      </c>
      <c r="C207" s="299"/>
      <c r="D207" s="298">
        <f>IFERROR(IF(Loan_Not_Paid*Values_Entered,Beginning_Balance,""), "")</f>
        <v>214886966.58916044</v>
      </c>
      <c r="E207" s="298">
        <f>IFERROR(IF(Loan_Not_Paid*Values_Entered,Monthly_Payment,""), "")</f>
        <v>1677512.1817411617</v>
      </c>
      <c r="F207" s="298">
        <f>IFERROR(IF(Loan_Not_Paid*Values_Entered,Principal,""), "")</f>
        <v>916454.17507119803</v>
      </c>
      <c r="G207" s="298">
        <f>IFERROR(IF(Loan_Not_Paid*Values_Entered,Interest,""), "")</f>
        <v>761058.00666996371</v>
      </c>
      <c r="H207" s="298">
        <f>IFERROR(IF(Loan_Not_Paid*Values_Entered,Ending_Balance,""), "")</f>
        <v>213970512.41408914</v>
      </c>
    </row>
    <row r="208" spans="2:8">
      <c r="B208" s="300">
        <f>IFERROR(IF(Loan_Not_Paid*Values_Entered,Payment_Number,""), "")</f>
        <v>191</v>
      </c>
      <c r="C208" s="299"/>
      <c r="D208" s="298">
        <f>IFERROR(IF(Loan_Not_Paid*Values_Entered,Beginning_Balance,""), "")</f>
        <v>213970512.41408914</v>
      </c>
      <c r="E208" s="298">
        <f>IFERROR(IF(Loan_Not_Paid*Values_Entered,Monthly_Payment,""), "")</f>
        <v>1677512.1817411617</v>
      </c>
      <c r="F208" s="298">
        <f>IFERROR(IF(Loan_Not_Paid*Values_Entered,Principal,""), "")</f>
        <v>919699.95027457527</v>
      </c>
      <c r="G208" s="298">
        <f>IFERROR(IF(Loan_Not_Paid*Values_Entered,Interest,""), "")</f>
        <v>757812.23146658647</v>
      </c>
      <c r="H208" s="298">
        <f>IFERROR(IF(Loan_Not_Paid*Values_Entered,Ending_Balance,""), "")</f>
        <v>213050812.46381444</v>
      </c>
    </row>
    <row r="209" spans="2:8">
      <c r="B209" s="300">
        <f>IFERROR(IF(Loan_Not_Paid*Values_Entered,Payment_Number,""), "")</f>
        <v>192</v>
      </c>
      <c r="C209" s="299"/>
      <c r="D209" s="298">
        <f>IFERROR(IF(Loan_Not_Paid*Values_Entered,Beginning_Balance,""), "")</f>
        <v>213050812.46381444</v>
      </c>
      <c r="E209" s="298">
        <f>IFERROR(IF(Loan_Not_Paid*Values_Entered,Monthly_Payment,""), "")</f>
        <v>1677512.1817411617</v>
      </c>
      <c r="F209" s="298">
        <f>IFERROR(IF(Loan_Not_Paid*Values_Entered,Principal,""), "")</f>
        <v>922957.22093179775</v>
      </c>
      <c r="G209" s="298">
        <f>IFERROR(IF(Loan_Not_Paid*Values_Entered,Interest,""), "")</f>
        <v>754554.9608093641</v>
      </c>
      <c r="H209" s="298">
        <f>IFERROR(IF(Loan_Not_Paid*Values_Entered,Ending_Balance,""), "")</f>
        <v>212127855.24288261</v>
      </c>
    </row>
    <row r="210" spans="2:8">
      <c r="B210" s="300">
        <f>IFERROR(IF(Loan_Not_Paid*Values_Entered,Payment_Number,""), "")</f>
        <v>193</v>
      </c>
      <c r="C210" s="299"/>
      <c r="D210" s="298">
        <f>IFERROR(IF(Loan_Not_Paid*Values_Entered,Beginning_Balance,""), "")</f>
        <v>212127855.24288261</v>
      </c>
      <c r="E210" s="298">
        <f>IFERROR(IF(Loan_Not_Paid*Values_Entered,Monthly_Payment,""), "")</f>
        <v>1677512.1817411617</v>
      </c>
      <c r="F210" s="298">
        <f>IFERROR(IF(Loan_Not_Paid*Values_Entered,Principal,""), "")</f>
        <v>926226.02775593114</v>
      </c>
      <c r="G210" s="298">
        <f>IFERROR(IF(Loan_Not_Paid*Values_Entered,Interest,""), "")</f>
        <v>751286.15398523037</v>
      </c>
      <c r="H210" s="298">
        <f>IFERROR(IF(Loan_Not_Paid*Values_Entered,Ending_Balance,""), "")</f>
        <v>211201629.21512669</v>
      </c>
    </row>
    <row r="211" spans="2:8">
      <c r="B211" s="300">
        <f>IFERROR(IF(Loan_Not_Paid*Values_Entered,Payment_Number,""), "")</f>
        <v>194</v>
      </c>
      <c r="C211" s="299"/>
      <c r="D211" s="298">
        <f>IFERROR(IF(Loan_Not_Paid*Values_Entered,Beginning_Balance,""), "")</f>
        <v>211201629.21512669</v>
      </c>
      <c r="E211" s="298">
        <f>IFERROR(IF(Loan_Not_Paid*Values_Entered,Monthly_Payment,""), "")</f>
        <v>1677512.1817411617</v>
      </c>
      <c r="F211" s="298">
        <f>IFERROR(IF(Loan_Not_Paid*Values_Entered,Principal,""), "")</f>
        <v>929506.41160423355</v>
      </c>
      <c r="G211" s="298">
        <f>IFERROR(IF(Loan_Not_Paid*Values_Entered,Interest,""), "")</f>
        <v>748005.77013692842</v>
      </c>
      <c r="H211" s="298">
        <f>IFERROR(IF(Loan_Not_Paid*Values_Entered,Ending_Balance,""), "")</f>
        <v>210272122.80352235</v>
      </c>
    </row>
    <row r="212" spans="2:8">
      <c r="B212" s="300">
        <f>IFERROR(IF(Loan_Not_Paid*Values_Entered,Payment_Number,""), "")</f>
        <v>195</v>
      </c>
      <c r="C212" s="299"/>
      <c r="D212" s="298">
        <f>IFERROR(IF(Loan_Not_Paid*Values_Entered,Beginning_Balance,""), "")</f>
        <v>210272122.80352235</v>
      </c>
      <c r="E212" s="298">
        <f>IFERROR(IF(Loan_Not_Paid*Values_Entered,Monthly_Payment,""), "")</f>
        <v>1677512.1817411617</v>
      </c>
      <c r="F212" s="298">
        <f>IFERROR(IF(Loan_Not_Paid*Values_Entered,Principal,""), "")</f>
        <v>932798.41347866505</v>
      </c>
      <c r="G212" s="298">
        <f>IFERROR(IF(Loan_Not_Paid*Values_Entered,Interest,""), "")</f>
        <v>744713.76826249657</v>
      </c>
      <c r="H212" s="298">
        <f>IFERROR(IF(Loan_Not_Paid*Values_Entered,Ending_Balance,""), "")</f>
        <v>209339324.39004362</v>
      </c>
    </row>
    <row r="213" spans="2:8">
      <c r="B213" s="300">
        <f>IFERROR(IF(Loan_Not_Paid*Values_Entered,Payment_Number,""), "")</f>
        <v>196</v>
      </c>
      <c r="C213" s="299"/>
      <c r="D213" s="298">
        <f>IFERROR(IF(Loan_Not_Paid*Values_Entered,Beginning_Balance,""), "")</f>
        <v>209339324.39004362</v>
      </c>
      <c r="E213" s="298">
        <f>IFERROR(IF(Loan_Not_Paid*Values_Entered,Monthly_Payment,""), "")</f>
        <v>1677512.1817411617</v>
      </c>
      <c r="F213" s="298">
        <f>IFERROR(IF(Loan_Not_Paid*Values_Entered,Principal,""), "")</f>
        <v>936102.07452640205</v>
      </c>
      <c r="G213" s="298">
        <f>IFERROR(IF(Loan_Not_Paid*Values_Entered,Interest,""), "")</f>
        <v>741410.10721475969</v>
      </c>
      <c r="H213" s="298">
        <f>IFERROR(IF(Loan_Not_Paid*Values_Entered,Ending_Balance,""), "")</f>
        <v>208403222.31551719</v>
      </c>
    </row>
    <row r="214" spans="2:8">
      <c r="B214" s="300">
        <f>IFERROR(IF(Loan_Not_Paid*Values_Entered,Payment_Number,""), "")</f>
        <v>197</v>
      </c>
      <c r="C214" s="299"/>
      <c r="D214" s="298">
        <f>IFERROR(IF(Loan_Not_Paid*Values_Entered,Beginning_Balance,""), "")</f>
        <v>208403222.31551719</v>
      </c>
      <c r="E214" s="298">
        <f>IFERROR(IF(Loan_Not_Paid*Values_Entered,Monthly_Payment,""), "")</f>
        <v>1677512.1817411617</v>
      </c>
      <c r="F214" s="298">
        <f>IFERROR(IF(Loan_Not_Paid*Values_Entered,Principal,""), "")</f>
        <v>939417.43604034965</v>
      </c>
      <c r="G214" s="298">
        <f>IFERROR(IF(Loan_Not_Paid*Values_Entered,Interest,""), "")</f>
        <v>738094.74570081208</v>
      </c>
      <c r="H214" s="298">
        <f>IFERROR(IF(Loan_Not_Paid*Values_Entered,Ending_Balance,""), "")</f>
        <v>207463804.87947679</v>
      </c>
    </row>
    <row r="215" spans="2:8">
      <c r="B215" s="300">
        <f>IFERROR(IF(Loan_Not_Paid*Values_Entered,Payment_Number,""), "")</f>
        <v>198</v>
      </c>
      <c r="C215" s="299"/>
      <c r="D215" s="298">
        <f>IFERROR(IF(Loan_Not_Paid*Values_Entered,Beginning_Balance,""), "")</f>
        <v>207463804.87947679</v>
      </c>
      <c r="E215" s="298">
        <f>IFERROR(IF(Loan_Not_Paid*Values_Entered,Monthly_Payment,""), "")</f>
        <v>1677512.1817411617</v>
      </c>
      <c r="F215" s="298">
        <f>IFERROR(IF(Loan_Not_Paid*Values_Entered,Principal,""), "")</f>
        <v>942744.53945965925</v>
      </c>
      <c r="G215" s="298">
        <f>IFERROR(IF(Loan_Not_Paid*Values_Entered,Interest,""), "")</f>
        <v>734767.64228150249</v>
      </c>
      <c r="H215" s="298">
        <f>IFERROR(IF(Loan_Not_Paid*Values_Entered,Ending_Balance,""), "")</f>
        <v>206521060.34001702</v>
      </c>
    </row>
    <row r="216" spans="2:8">
      <c r="B216" s="300">
        <f>IFERROR(IF(Loan_Not_Paid*Values_Entered,Payment_Number,""), "")</f>
        <v>199</v>
      </c>
      <c r="C216" s="299"/>
      <c r="D216" s="298">
        <f>IFERROR(IF(Loan_Not_Paid*Values_Entered,Beginning_Balance,""), "")</f>
        <v>206521060.34001702</v>
      </c>
      <c r="E216" s="298">
        <f>IFERROR(IF(Loan_Not_Paid*Values_Entered,Monthly_Payment,""), "")</f>
        <v>1677512.1817411617</v>
      </c>
      <c r="F216" s="298">
        <f>IFERROR(IF(Loan_Not_Paid*Values_Entered,Principal,""), "")</f>
        <v>946083.4263702454</v>
      </c>
      <c r="G216" s="298">
        <f>IFERROR(IF(Loan_Not_Paid*Values_Entered,Interest,""), "")</f>
        <v>731428.7553709161</v>
      </c>
      <c r="H216" s="298">
        <f>IFERROR(IF(Loan_Not_Paid*Values_Entered,Ending_Balance,""), "")</f>
        <v>205574976.91364676</v>
      </c>
    </row>
    <row r="217" spans="2:8">
      <c r="B217" s="300">
        <f>IFERROR(IF(Loan_Not_Paid*Values_Entered,Payment_Number,""), "")</f>
        <v>200</v>
      </c>
      <c r="C217" s="299"/>
      <c r="D217" s="298">
        <f>IFERROR(IF(Loan_Not_Paid*Values_Entered,Beginning_Balance,""), "")</f>
        <v>205574976.91364676</v>
      </c>
      <c r="E217" s="298">
        <f>IFERROR(IF(Loan_Not_Paid*Values_Entered,Monthly_Payment,""), "")</f>
        <v>1677512.1817411617</v>
      </c>
      <c r="F217" s="298">
        <f>IFERROR(IF(Loan_Not_Paid*Values_Entered,Principal,""), "")</f>
        <v>949434.13850530679</v>
      </c>
      <c r="G217" s="298">
        <f>IFERROR(IF(Loan_Not_Paid*Values_Entered,Interest,""), "")</f>
        <v>728078.04323585494</v>
      </c>
      <c r="H217" s="298">
        <f>IFERROR(IF(Loan_Not_Paid*Values_Entered,Ending_Balance,""), "")</f>
        <v>204625542.77514142</v>
      </c>
    </row>
    <row r="218" spans="2:8">
      <c r="B218" s="300">
        <f>IFERROR(IF(Loan_Not_Paid*Values_Entered,Payment_Number,""), "")</f>
        <v>201</v>
      </c>
      <c r="C218" s="299"/>
      <c r="D218" s="298">
        <f>IFERROR(IF(Loan_Not_Paid*Values_Entered,Beginning_Balance,""), "")</f>
        <v>204625542.77514142</v>
      </c>
      <c r="E218" s="298">
        <f>IFERROR(IF(Loan_Not_Paid*Values_Entered,Monthly_Payment,""), "")</f>
        <v>1677512.1817411617</v>
      </c>
      <c r="F218" s="298">
        <f>IFERROR(IF(Loan_Not_Paid*Values_Entered,Principal,""), "")</f>
        <v>952796.7177458466</v>
      </c>
      <c r="G218" s="298">
        <f>IFERROR(IF(Loan_Not_Paid*Values_Entered,Interest,""), "")</f>
        <v>724715.46399531537</v>
      </c>
      <c r="H218" s="298">
        <f>IFERROR(IF(Loan_Not_Paid*Values_Entered,Ending_Balance,""), "")</f>
        <v>203672746.05739552</v>
      </c>
    </row>
    <row r="219" spans="2:8">
      <c r="B219" s="300">
        <f>IFERROR(IF(Loan_Not_Paid*Values_Entered,Payment_Number,""), "")</f>
        <v>202</v>
      </c>
      <c r="C219" s="299"/>
      <c r="D219" s="298">
        <f>IFERROR(IF(Loan_Not_Paid*Values_Entered,Beginning_Balance,""), "")</f>
        <v>203672746.05739552</v>
      </c>
      <c r="E219" s="298">
        <f>IFERROR(IF(Loan_Not_Paid*Values_Entered,Monthly_Payment,""), "")</f>
        <v>1677512.1817411617</v>
      </c>
      <c r="F219" s="298">
        <f>IFERROR(IF(Loan_Not_Paid*Values_Entered,Principal,""), "")</f>
        <v>956171.20612119616</v>
      </c>
      <c r="G219" s="298">
        <f>IFERROR(IF(Loan_Not_Paid*Values_Entered,Interest,""), "")</f>
        <v>721340.97561996535</v>
      </c>
      <c r="H219" s="298">
        <f>IFERROR(IF(Loan_Not_Paid*Values_Entered,Ending_Balance,""), "")</f>
        <v>202716574.85127431</v>
      </c>
    </row>
    <row r="220" spans="2:8">
      <c r="B220" s="300">
        <f>IFERROR(IF(Loan_Not_Paid*Values_Entered,Payment_Number,""), "")</f>
        <v>203</v>
      </c>
      <c r="C220" s="299"/>
      <c r="D220" s="298">
        <f>IFERROR(IF(Loan_Not_Paid*Values_Entered,Beginning_Balance,""), "")</f>
        <v>202716574.85127431</v>
      </c>
      <c r="E220" s="298">
        <f>IFERROR(IF(Loan_Not_Paid*Values_Entered,Monthly_Payment,""), "")</f>
        <v>1677512.1817411617</v>
      </c>
      <c r="F220" s="298">
        <f>IFERROR(IF(Loan_Not_Paid*Values_Entered,Principal,""), "")</f>
        <v>959557.64580954239</v>
      </c>
      <c r="G220" s="298">
        <f>IFERROR(IF(Loan_Not_Paid*Values_Entered,Interest,""), "")</f>
        <v>717954.53593161947</v>
      </c>
      <c r="H220" s="298">
        <f>IFERROR(IF(Loan_Not_Paid*Values_Entered,Ending_Balance,""), "")</f>
        <v>201757017.2054646</v>
      </c>
    </row>
    <row r="221" spans="2:8">
      <c r="B221" s="300">
        <f>IFERROR(IF(Loan_Not_Paid*Values_Entered,Payment_Number,""), "")</f>
        <v>204</v>
      </c>
      <c r="C221" s="299"/>
      <c r="D221" s="298">
        <f>IFERROR(IF(Loan_Not_Paid*Values_Entered,Beginning_Balance,""), "")</f>
        <v>201757017.2054646</v>
      </c>
      <c r="E221" s="298">
        <f>IFERROR(IF(Loan_Not_Paid*Values_Entered,Monthly_Payment,""), "")</f>
        <v>1677512.1817411617</v>
      </c>
      <c r="F221" s="298">
        <f>IFERROR(IF(Loan_Not_Paid*Values_Entered,Principal,""), "")</f>
        <v>962956.07913845114</v>
      </c>
      <c r="G221" s="298">
        <f>IFERROR(IF(Loan_Not_Paid*Values_Entered,Interest,""), "")</f>
        <v>714556.10260271071</v>
      </c>
      <c r="H221" s="298">
        <f>IFERROR(IF(Loan_Not_Paid*Values_Entered,Ending_Balance,""), "")</f>
        <v>200794061.12632614</v>
      </c>
    </row>
    <row r="222" spans="2:8">
      <c r="B222" s="300">
        <f>IFERROR(IF(Loan_Not_Paid*Values_Entered,Payment_Number,""), "")</f>
        <v>205</v>
      </c>
      <c r="C222" s="299"/>
      <c r="D222" s="298">
        <f>IFERROR(IF(Loan_Not_Paid*Values_Entered,Beginning_Balance,""), "")</f>
        <v>200794061.12632614</v>
      </c>
      <c r="E222" s="298">
        <f>IFERROR(IF(Loan_Not_Paid*Values_Entered,Monthly_Payment,""), "")</f>
        <v>1677512.1817411617</v>
      </c>
      <c r="F222" s="298">
        <f>IFERROR(IF(Loan_Not_Paid*Values_Entered,Principal,""), "")</f>
        <v>966366.54858539975</v>
      </c>
      <c r="G222" s="298">
        <f>IFERROR(IF(Loan_Not_Paid*Values_Entered,Interest,""), "")</f>
        <v>711145.63315576199</v>
      </c>
      <c r="H222" s="298">
        <f>IFERROR(IF(Loan_Not_Paid*Values_Entered,Ending_Balance,""), "")</f>
        <v>199827694.57774061</v>
      </c>
    </row>
    <row r="223" spans="2:8">
      <c r="B223" s="300">
        <f>IFERROR(IF(Loan_Not_Paid*Values_Entered,Payment_Number,""), "")</f>
        <v>206</v>
      </c>
      <c r="C223" s="299"/>
      <c r="D223" s="298">
        <f>IFERROR(IF(Loan_Not_Paid*Values_Entered,Beginning_Balance,""), "")</f>
        <v>199827694.57774061</v>
      </c>
      <c r="E223" s="298">
        <f>IFERROR(IF(Loan_Not_Paid*Values_Entered,Monthly_Payment,""), "")</f>
        <v>1677512.1817411617</v>
      </c>
      <c r="F223" s="298">
        <f>IFERROR(IF(Loan_Not_Paid*Values_Entered,Principal,""), "")</f>
        <v>969789.0967783063</v>
      </c>
      <c r="G223" s="298">
        <f>IFERROR(IF(Loan_Not_Paid*Values_Entered,Interest,""), "")</f>
        <v>707723.08496285544</v>
      </c>
      <c r="H223" s="298">
        <f>IFERROR(IF(Loan_Not_Paid*Values_Entered,Ending_Balance,""), "")</f>
        <v>198857905.4809624</v>
      </c>
    </row>
    <row r="224" spans="2:8">
      <c r="B224" s="300">
        <f>IFERROR(IF(Loan_Not_Paid*Values_Entered,Payment_Number,""), "")</f>
        <v>207</v>
      </c>
      <c r="C224" s="299"/>
      <c r="D224" s="298">
        <f>IFERROR(IF(Loan_Not_Paid*Values_Entered,Beginning_Balance,""), "")</f>
        <v>198857905.4809624</v>
      </c>
      <c r="E224" s="298">
        <f>IFERROR(IF(Loan_Not_Paid*Values_Entered,Monthly_Payment,""), "")</f>
        <v>1677512.1817411617</v>
      </c>
      <c r="F224" s="298">
        <f>IFERROR(IF(Loan_Not_Paid*Values_Entered,Principal,""), "")</f>
        <v>973223.76649606286</v>
      </c>
      <c r="G224" s="298">
        <f>IFERROR(IF(Loan_Not_Paid*Values_Entered,Interest,""), "")</f>
        <v>704288.41524509888</v>
      </c>
      <c r="H224" s="298">
        <f>IFERROR(IF(Loan_Not_Paid*Values_Entered,Ending_Balance,""), "")</f>
        <v>197884681.71446609</v>
      </c>
    </row>
    <row r="225" spans="2:8">
      <c r="B225" s="300">
        <f>IFERROR(IF(Loan_Not_Paid*Values_Entered,Payment_Number,""), "")</f>
        <v>208</v>
      </c>
      <c r="C225" s="299"/>
      <c r="D225" s="298">
        <f>IFERROR(IF(Loan_Not_Paid*Values_Entered,Beginning_Balance,""), "")</f>
        <v>197884681.71446609</v>
      </c>
      <c r="E225" s="298">
        <f>IFERROR(IF(Loan_Not_Paid*Values_Entered,Monthly_Payment,""), "")</f>
        <v>1677512.1817411617</v>
      </c>
      <c r="F225" s="298">
        <f>IFERROR(IF(Loan_Not_Paid*Values_Entered,Principal,""), "")</f>
        <v>976670.6006690698</v>
      </c>
      <c r="G225" s="298">
        <f>IFERROR(IF(Loan_Not_Paid*Values_Entered,Interest,""), "")</f>
        <v>700841.58107209206</v>
      </c>
      <c r="H225" s="298">
        <f>IFERROR(IF(Loan_Not_Paid*Values_Entered,Ending_Balance,""), "")</f>
        <v>196908011.11379713</v>
      </c>
    </row>
    <row r="226" spans="2:8">
      <c r="B226" s="300">
        <f>IFERROR(IF(Loan_Not_Paid*Values_Entered,Payment_Number,""), "")</f>
        <v>209</v>
      </c>
      <c r="C226" s="299"/>
      <c r="D226" s="298">
        <f>IFERROR(IF(Loan_Not_Paid*Values_Entered,Beginning_Balance,""), "")</f>
        <v>196908011.11379713</v>
      </c>
      <c r="E226" s="298">
        <f>IFERROR(IF(Loan_Not_Paid*Values_Entered,Monthly_Payment,""), "")</f>
        <v>1677512.1817411617</v>
      </c>
      <c r="F226" s="298">
        <f>IFERROR(IF(Loan_Not_Paid*Values_Entered,Principal,""), "")</f>
        <v>980129.64237977262</v>
      </c>
      <c r="G226" s="298">
        <f>IFERROR(IF(Loan_Not_Paid*Values_Entered,Interest,""), "")</f>
        <v>697382.539361389</v>
      </c>
      <c r="H226" s="298">
        <f>IFERROR(IF(Loan_Not_Paid*Values_Entered,Ending_Balance,""), "")</f>
        <v>195927881.47141725</v>
      </c>
    </row>
    <row r="227" spans="2:8">
      <c r="B227" s="300">
        <f>IFERROR(IF(Loan_Not_Paid*Values_Entered,Payment_Number,""), "")</f>
        <v>210</v>
      </c>
      <c r="C227" s="299"/>
      <c r="D227" s="298">
        <f>IFERROR(IF(Loan_Not_Paid*Values_Entered,Beginning_Balance,""), "")</f>
        <v>195927881.47141725</v>
      </c>
      <c r="E227" s="298">
        <f>IFERROR(IF(Loan_Not_Paid*Values_Entered,Monthly_Payment,""), "")</f>
        <v>1677512.1817411617</v>
      </c>
      <c r="F227" s="298">
        <f>IFERROR(IF(Loan_Not_Paid*Values_Entered,Principal,""), "")</f>
        <v>983600.93486320111</v>
      </c>
      <c r="G227" s="298">
        <f>IFERROR(IF(Loan_Not_Paid*Values_Entered,Interest,""), "")</f>
        <v>693911.24687796063</v>
      </c>
      <c r="H227" s="298">
        <f>IFERROR(IF(Loan_Not_Paid*Values_Entered,Ending_Balance,""), "")</f>
        <v>194944280.53655386</v>
      </c>
    </row>
    <row r="228" spans="2:8">
      <c r="B228" s="300">
        <f>IFERROR(IF(Loan_Not_Paid*Values_Entered,Payment_Number,""), "")</f>
        <v>211</v>
      </c>
      <c r="C228" s="299"/>
      <c r="D228" s="298">
        <f>IFERROR(IF(Loan_Not_Paid*Values_Entered,Beginning_Balance,""), "")</f>
        <v>194944280.53655386</v>
      </c>
      <c r="E228" s="298">
        <f>IFERROR(IF(Loan_Not_Paid*Values_Entered,Monthly_Payment,""), "")</f>
        <v>1677512.1817411617</v>
      </c>
      <c r="F228" s="298">
        <f>IFERROR(IF(Loan_Not_Paid*Values_Entered,Principal,""), "")</f>
        <v>987084.52150750812</v>
      </c>
      <c r="G228" s="298">
        <f>IFERROR(IF(Loan_Not_Paid*Values_Entered,Interest,""), "")</f>
        <v>690427.66023365338</v>
      </c>
      <c r="H228" s="298">
        <f>IFERROR(IF(Loan_Not_Paid*Values_Entered,Ending_Balance,""), "")</f>
        <v>193957196.01504642</v>
      </c>
    </row>
    <row r="229" spans="2:8">
      <c r="B229" s="300">
        <f>IFERROR(IF(Loan_Not_Paid*Values_Entered,Payment_Number,""), "")</f>
        <v>212</v>
      </c>
      <c r="C229" s="299"/>
      <c r="D229" s="298">
        <f>IFERROR(IF(Loan_Not_Paid*Values_Entered,Beginning_Balance,""), "")</f>
        <v>193957196.01504642</v>
      </c>
      <c r="E229" s="298">
        <f>IFERROR(IF(Loan_Not_Paid*Values_Entered,Monthly_Payment,""), "")</f>
        <v>1677512.1817411617</v>
      </c>
      <c r="F229" s="298">
        <f>IFERROR(IF(Loan_Not_Paid*Values_Entered,Principal,""), "")</f>
        <v>990580.44585451402</v>
      </c>
      <c r="G229" s="298">
        <f>IFERROR(IF(Loan_Not_Paid*Values_Entered,Interest,""), "")</f>
        <v>686931.73588664795</v>
      </c>
      <c r="H229" s="298">
        <f>IFERROR(IF(Loan_Not_Paid*Values_Entered,Ending_Balance,""), "")</f>
        <v>192966615.56919181</v>
      </c>
    </row>
    <row r="230" spans="2:8">
      <c r="B230" s="300">
        <f>IFERROR(IF(Loan_Not_Paid*Values_Entered,Payment_Number,""), "")</f>
        <v>213</v>
      </c>
      <c r="C230" s="299"/>
      <c r="D230" s="298">
        <f>IFERROR(IF(Loan_Not_Paid*Values_Entered,Beginning_Balance,""), "")</f>
        <v>192966615.56919181</v>
      </c>
      <c r="E230" s="298">
        <f>IFERROR(IF(Loan_Not_Paid*Values_Entered,Monthly_Payment,""), "")</f>
        <v>1677512.1817411617</v>
      </c>
      <c r="F230" s="298">
        <f>IFERROR(IF(Loan_Not_Paid*Values_Entered,Principal,""), "")</f>
        <v>994088.75160024862</v>
      </c>
      <c r="G230" s="298">
        <f>IFERROR(IF(Loan_Not_Paid*Values_Entered,Interest,""), "")</f>
        <v>683423.430140913</v>
      </c>
      <c r="H230" s="298">
        <f>IFERROR(IF(Loan_Not_Paid*Values_Entered,Ending_Balance,""), "")</f>
        <v>191972526.81759143</v>
      </c>
    </row>
    <row r="231" spans="2:8">
      <c r="B231" s="300">
        <f>IFERROR(IF(Loan_Not_Paid*Values_Entered,Payment_Number,""), "")</f>
        <v>214</v>
      </c>
      <c r="C231" s="299"/>
      <c r="D231" s="298">
        <f>IFERROR(IF(Loan_Not_Paid*Values_Entered,Beginning_Balance,""), "")</f>
        <v>191972526.81759143</v>
      </c>
      <c r="E231" s="298">
        <f>IFERROR(IF(Loan_Not_Paid*Values_Entered,Monthly_Payment,""), "")</f>
        <v>1677512.1817411617</v>
      </c>
      <c r="F231" s="298">
        <f>IFERROR(IF(Loan_Not_Paid*Values_Entered,Principal,""), "")</f>
        <v>997609.4825954996</v>
      </c>
      <c r="G231" s="298">
        <f>IFERROR(IF(Loan_Not_Paid*Values_Entered,Interest,""), "")</f>
        <v>679902.69914566202</v>
      </c>
      <c r="H231" s="298">
        <f>IFERROR(IF(Loan_Not_Paid*Values_Entered,Ending_Balance,""), "")</f>
        <v>190974917.33499593</v>
      </c>
    </row>
    <row r="232" spans="2:8">
      <c r="B232" s="300">
        <f>IFERROR(IF(Loan_Not_Paid*Values_Entered,Payment_Number,""), "")</f>
        <v>215</v>
      </c>
      <c r="C232" s="299"/>
      <c r="D232" s="298">
        <f>IFERROR(IF(Loan_Not_Paid*Values_Entered,Beginning_Balance,""), "")</f>
        <v>190974917.33499593</v>
      </c>
      <c r="E232" s="298">
        <f>IFERROR(IF(Loan_Not_Paid*Values_Entered,Monthly_Payment,""), "")</f>
        <v>1677512.1817411617</v>
      </c>
      <c r="F232" s="298">
        <f>IFERROR(IF(Loan_Not_Paid*Values_Entered,Principal,""), "")</f>
        <v>1001142.6828463586</v>
      </c>
      <c r="G232" s="298">
        <f>IFERROR(IF(Loan_Not_Paid*Values_Entered,Interest,""), "")</f>
        <v>676369.49889480299</v>
      </c>
      <c r="H232" s="298">
        <f>IFERROR(IF(Loan_Not_Paid*Values_Entered,Ending_Balance,""), "")</f>
        <v>189973774.65214956</v>
      </c>
    </row>
    <row r="233" spans="2:8">
      <c r="B233" s="300">
        <f>IFERROR(IF(Loan_Not_Paid*Values_Entered,Payment_Number,""), "")</f>
        <v>216</v>
      </c>
      <c r="C233" s="299"/>
      <c r="D233" s="298">
        <f>IFERROR(IF(Loan_Not_Paid*Values_Entered,Beginning_Balance,""), "")</f>
        <v>189973774.65214956</v>
      </c>
      <c r="E233" s="298">
        <f>IFERROR(IF(Loan_Not_Paid*Values_Entered,Monthly_Payment,""), "")</f>
        <v>1677512.1817411617</v>
      </c>
      <c r="F233" s="298">
        <f>IFERROR(IF(Loan_Not_Paid*Values_Entered,Principal,""), "")</f>
        <v>1004688.3965147727</v>
      </c>
      <c r="G233" s="298">
        <f>IFERROR(IF(Loan_Not_Paid*Values_Entered,Interest,""), "")</f>
        <v>672823.78522638895</v>
      </c>
      <c r="H233" s="298">
        <f>IFERROR(IF(Loan_Not_Paid*Values_Entered,Ending_Balance,""), "")</f>
        <v>188969086.25563478</v>
      </c>
    </row>
    <row r="234" spans="2:8">
      <c r="B234" s="300">
        <f>IFERROR(IF(Loan_Not_Paid*Values_Entered,Payment_Number,""), "")</f>
        <v>217</v>
      </c>
      <c r="C234" s="299"/>
      <c r="D234" s="298">
        <f>IFERROR(IF(Loan_Not_Paid*Values_Entered,Beginning_Balance,""), "")</f>
        <v>188969086.25563478</v>
      </c>
      <c r="E234" s="298">
        <f>IFERROR(IF(Loan_Not_Paid*Values_Entered,Monthly_Payment,""), "")</f>
        <v>1677512.1817411617</v>
      </c>
      <c r="F234" s="298">
        <f>IFERROR(IF(Loan_Not_Paid*Values_Entered,Principal,""), "")</f>
        <v>1008246.6679190958</v>
      </c>
      <c r="G234" s="298">
        <f>IFERROR(IF(Loan_Not_Paid*Values_Entered,Interest,""), "")</f>
        <v>669265.51382206567</v>
      </c>
      <c r="H234" s="298">
        <f>IFERROR(IF(Loan_Not_Paid*Values_Entered,Ending_Balance,""), "")</f>
        <v>187960839.58771563</v>
      </c>
    </row>
    <row r="235" spans="2:8">
      <c r="B235" s="300">
        <f>IFERROR(IF(Loan_Not_Paid*Values_Entered,Payment_Number,""), "")</f>
        <v>218</v>
      </c>
      <c r="C235" s="299"/>
      <c r="D235" s="298">
        <f>IFERROR(IF(Loan_Not_Paid*Values_Entered,Beginning_Balance,""), "")</f>
        <v>187960839.58771563</v>
      </c>
      <c r="E235" s="298">
        <f>IFERROR(IF(Loan_Not_Paid*Values_Entered,Monthly_Payment,""), "")</f>
        <v>1677512.1817411617</v>
      </c>
      <c r="F235" s="298">
        <f>IFERROR(IF(Loan_Not_Paid*Values_Entered,Principal,""), "")</f>
        <v>1011817.5415346427</v>
      </c>
      <c r="G235" s="298">
        <f>IFERROR(IF(Loan_Not_Paid*Values_Entered,Interest,""), "")</f>
        <v>665694.64020651882</v>
      </c>
      <c r="H235" s="298">
        <f>IFERROR(IF(Loan_Not_Paid*Values_Entered,Ending_Balance,""), "")</f>
        <v>186949022.04618084</v>
      </c>
    </row>
    <row r="236" spans="2:8">
      <c r="B236" s="300">
        <f>IFERROR(IF(Loan_Not_Paid*Values_Entered,Payment_Number,""), "")</f>
        <v>219</v>
      </c>
      <c r="C236" s="299"/>
      <c r="D236" s="298">
        <f>IFERROR(IF(Loan_Not_Paid*Values_Entered,Beginning_Balance,""), "")</f>
        <v>186949022.04618084</v>
      </c>
      <c r="E236" s="298">
        <f>IFERROR(IF(Loan_Not_Paid*Values_Entered,Monthly_Payment,""), "")</f>
        <v>1677512.1817411617</v>
      </c>
      <c r="F236" s="298">
        <f>IFERROR(IF(Loan_Not_Paid*Values_Entered,Principal,""), "")</f>
        <v>1015401.0619942446</v>
      </c>
      <c r="G236" s="298">
        <f>IFERROR(IF(Loan_Not_Paid*Values_Entered,Interest,""), "")</f>
        <v>662111.11974691716</v>
      </c>
      <c r="H236" s="298">
        <f>IFERROR(IF(Loan_Not_Paid*Values_Entered,Ending_Balance,""), "")</f>
        <v>185933620.98418641</v>
      </c>
    </row>
    <row r="237" spans="2:8">
      <c r="B237" s="300">
        <f>IFERROR(IF(Loan_Not_Paid*Values_Entered,Payment_Number,""), "")</f>
        <v>220</v>
      </c>
      <c r="C237" s="299"/>
      <c r="D237" s="298">
        <f>IFERROR(IF(Loan_Not_Paid*Values_Entered,Beginning_Balance,""), "")</f>
        <v>185933620.98418641</v>
      </c>
      <c r="E237" s="298">
        <f>IFERROR(IF(Loan_Not_Paid*Values_Entered,Monthly_Payment,""), "")</f>
        <v>1677512.1817411617</v>
      </c>
      <c r="F237" s="298">
        <f>IFERROR(IF(Loan_Not_Paid*Values_Entered,Principal,""), "")</f>
        <v>1018997.2740888078</v>
      </c>
      <c r="G237" s="298">
        <f>IFERROR(IF(Loan_Not_Paid*Values_Entered,Interest,""), "")</f>
        <v>658514.9076523541</v>
      </c>
      <c r="H237" s="298">
        <f>IFERROR(IF(Loan_Not_Paid*Values_Entered,Ending_Balance,""), "")</f>
        <v>184914623.71009767</v>
      </c>
    </row>
    <row r="238" spans="2:8">
      <c r="B238" s="300">
        <f>IFERROR(IF(Loan_Not_Paid*Values_Entered,Payment_Number,""), "")</f>
        <v>221</v>
      </c>
      <c r="C238" s="299"/>
      <c r="D238" s="298">
        <f>IFERROR(IF(Loan_Not_Paid*Values_Entered,Beginning_Balance,""), "")</f>
        <v>184914623.71009767</v>
      </c>
      <c r="E238" s="298">
        <f>IFERROR(IF(Loan_Not_Paid*Values_Entered,Monthly_Payment,""), "")</f>
        <v>1677512.1817411617</v>
      </c>
      <c r="F238" s="298">
        <f>IFERROR(IF(Loan_Not_Paid*Values_Entered,Principal,""), "")</f>
        <v>1022606.222767872</v>
      </c>
      <c r="G238" s="298">
        <f>IFERROR(IF(Loan_Not_Paid*Values_Entered,Interest,""), "")</f>
        <v>654905.95897328958</v>
      </c>
      <c r="H238" s="298">
        <f>IFERROR(IF(Loan_Not_Paid*Values_Entered,Ending_Balance,""), "")</f>
        <v>183892017.48732972</v>
      </c>
    </row>
    <row r="239" spans="2:8">
      <c r="B239" s="300">
        <f>IFERROR(IF(Loan_Not_Paid*Values_Entered,Payment_Number,""), "")</f>
        <v>222</v>
      </c>
      <c r="C239" s="299"/>
      <c r="D239" s="298">
        <f>IFERROR(IF(Loan_Not_Paid*Values_Entered,Beginning_Balance,""), "")</f>
        <v>183892017.48732972</v>
      </c>
      <c r="E239" s="298">
        <f>IFERROR(IF(Loan_Not_Paid*Values_Entered,Monthly_Payment,""), "")</f>
        <v>1677512.1817411617</v>
      </c>
      <c r="F239" s="298">
        <f>IFERROR(IF(Loan_Not_Paid*Values_Entered,Principal,""), "")</f>
        <v>1026227.953140175</v>
      </c>
      <c r="G239" s="298">
        <f>IFERROR(IF(Loan_Not_Paid*Values_Entered,Interest,""), "")</f>
        <v>651284.22860098665</v>
      </c>
      <c r="H239" s="298">
        <f>IFERROR(IF(Loan_Not_Paid*Values_Entered,Ending_Balance,""), "")</f>
        <v>182865789.53418946</v>
      </c>
    </row>
    <row r="240" spans="2:8">
      <c r="B240" s="300">
        <f>IFERROR(IF(Loan_Not_Paid*Values_Entered,Payment_Number,""), "")</f>
        <v>223</v>
      </c>
      <c r="C240" s="299"/>
      <c r="D240" s="298">
        <f>IFERROR(IF(Loan_Not_Paid*Values_Entered,Beginning_Balance,""), "")</f>
        <v>182865789.53418946</v>
      </c>
      <c r="E240" s="298">
        <f>IFERROR(IF(Loan_Not_Paid*Values_Entered,Monthly_Payment,""), "")</f>
        <v>1677512.1817411617</v>
      </c>
      <c r="F240" s="298">
        <f>IFERROR(IF(Loan_Not_Paid*Values_Entered,Principal,""), "")</f>
        <v>1029862.5104742132</v>
      </c>
      <c r="G240" s="298">
        <f>IFERROR(IF(Loan_Not_Paid*Values_Entered,Interest,""), "")</f>
        <v>647649.67126694857</v>
      </c>
      <c r="H240" s="298">
        <f>IFERROR(IF(Loan_Not_Paid*Values_Entered,Ending_Balance,""), "")</f>
        <v>181835927.02371514</v>
      </c>
    </row>
    <row r="241" spans="2:8">
      <c r="B241" s="300">
        <f>IFERROR(IF(Loan_Not_Paid*Values_Entered,Payment_Number,""), "")</f>
        <v>224</v>
      </c>
      <c r="C241" s="299"/>
      <c r="D241" s="298">
        <f>IFERROR(IF(Loan_Not_Paid*Values_Entered,Beginning_Balance,""), "")</f>
        <v>181835927.02371514</v>
      </c>
      <c r="E241" s="298">
        <f>IFERROR(IF(Loan_Not_Paid*Values_Entered,Monthly_Payment,""), "")</f>
        <v>1677512.1817411617</v>
      </c>
      <c r="F241" s="298">
        <f>IFERROR(IF(Loan_Not_Paid*Values_Entered,Principal,""), "")</f>
        <v>1033509.9401988094</v>
      </c>
      <c r="G241" s="298">
        <f>IFERROR(IF(Loan_Not_Paid*Values_Entered,Interest,""), "")</f>
        <v>644002.24154235236</v>
      </c>
      <c r="H241" s="298">
        <f>IFERROR(IF(Loan_Not_Paid*Values_Entered,Ending_Balance,""), "")</f>
        <v>180802417.08351624</v>
      </c>
    </row>
    <row r="242" spans="2:8">
      <c r="B242" s="300">
        <f>IFERROR(IF(Loan_Not_Paid*Values_Entered,Payment_Number,""), "")</f>
        <v>225</v>
      </c>
      <c r="C242" s="299"/>
      <c r="D242" s="298">
        <f>IFERROR(IF(Loan_Not_Paid*Values_Entered,Beginning_Balance,""), "")</f>
        <v>180802417.08351624</v>
      </c>
      <c r="E242" s="298">
        <f>IFERROR(IF(Loan_Not_Paid*Values_Entered,Monthly_Payment,""), "")</f>
        <v>1677512.1817411617</v>
      </c>
      <c r="F242" s="298">
        <f>IFERROR(IF(Loan_Not_Paid*Values_Entered,Principal,""), "")</f>
        <v>1037170.28790368</v>
      </c>
      <c r="G242" s="298">
        <f>IFERROR(IF(Loan_Not_Paid*Values_Entered,Interest,""), "")</f>
        <v>640341.89383748174</v>
      </c>
      <c r="H242" s="298">
        <f>IFERROR(IF(Loan_Not_Paid*Values_Entered,Ending_Balance,""), "")</f>
        <v>179765246.79561257</v>
      </c>
    </row>
    <row r="243" spans="2:8">
      <c r="B243" s="300">
        <f>IFERROR(IF(Loan_Not_Paid*Values_Entered,Payment_Number,""), "")</f>
        <v>226</v>
      </c>
      <c r="C243" s="299"/>
      <c r="D243" s="298">
        <f>IFERROR(IF(Loan_Not_Paid*Values_Entered,Beginning_Balance,""), "")</f>
        <v>179765246.79561257</v>
      </c>
      <c r="E243" s="298">
        <f>IFERROR(IF(Loan_Not_Paid*Values_Entered,Monthly_Payment,""), "")</f>
        <v>1677512.1817411617</v>
      </c>
      <c r="F243" s="298">
        <f>IFERROR(IF(Loan_Not_Paid*Values_Entered,Principal,""), "")</f>
        <v>1040843.5993400058</v>
      </c>
      <c r="G243" s="298">
        <f>IFERROR(IF(Loan_Not_Paid*Values_Entered,Interest,""), "")</f>
        <v>636668.58240115608</v>
      </c>
      <c r="H243" s="298">
        <f>IFERROR(IF(Loan_Not_Paid*Values_Entered,Ending_Balance,""), "")</f>
        <v>178724403.19627261</v>
      </c>
    </row>
    <row r="244" spans="2:8">
      <c r="B244" s="300">
        <f>IFERROR(IF(Loan_Not_Paid*Values_Entered,Payment_Number,""), "")</f>
        <v>227</v>
      </c>
      <c r="C244" s="299"/>
      <c r="D244" s="298">
        <f>IFERROR(IF(Loan_Not_Paid*Values_Entered,Beginning_Balance,""), "")</f>
        <v>178724403.19627261</v>
      </c>
      <c r="E244" s="298">
        <f>IFERROR(IF(Loan_Not_Paid*Values_Entered,Monthly_Payment,""), "")</f>
        <v>1677512.1817411617</v>
      </c>
      <c r="F244" s="298">
        <f>IFERROR(IF(Loan_Not_Paid*Values_Entered,Principal,""), "")</f>
        <v>1044529.9204210016</v>
      </c>
      <c r="G244" s="298">
        <f>IFERROR(IF(Loan_Not_Paid*Values_Entered,Interest,""), "")</f>
        <v>632982.26132016024</v>
      </c>
      <c r="H244" s="298">
        <f>IFERROR(IF(Loan_Not_Paid*Values_Entered,Ending_Balance,""), "")</f>
        <v>177679873.27585149</v>
      </c>
    </row>
    <row r="245" spans="2:8">
      <c r="B245" s="300">
        <f>IFERROR(IF(Loan_Not_Paid*Values_Entered,Payment_Number,""), "")</f>
        <v>228</v>
      </c>
      <c r="C245" s="299"/>
      <c r="D245" s="298">
        <f>IFERROR(IF(Loan_Not_Paid*Values_Entered,Beginning_Balance,""), "")</f>
        <v>177679873.27585149</v>
      </c>
      <c r="E245" s="298">
        <f>IFERROR(IF(Loan_Not_Paid*Values_Entered,Monthly_Payment,""), "")</f>
        <v>1677512.1817411617</v>
      </c>
      <c r="F245" s="298">
        <f>IFERROR(IF(Loan_Not_Paid*Values_Entered,Principal,""), "")</f>
        <v>1048229.2972224925</v>
      </c>
      <c r="G245" s="298">
        <f>IFERROR(IF(Loan_Not_Paid*Values_Entered,Interest,""), "")</f>
        <v>629282.8845186691</v>
      </c>
      <c r="H245" s="298">
        <f>IFERROR(IF(Loan_Not_Paid*Values_Entered,Ending_Balance,""), "")</f>
        <v>176631643.97862899</v>
      </c>
    </row>
    <row r="246" spans="2:8">
      <c r="B246" s="300">
        <f>IFERROR(IF(Loan_Not_Paid*Values_Entered,Payment_Number,""), "")</f>
        <v>229</v>
      </c>
      <c r="C246" s="299"/>
      <c r="D246" s="298">
        <f>IFERROR(IF(Loan_Not_Paid*Values_Entered,Beginning_Balance,""), "")</f>
        <v>176631643.97862899</v>
      </c>
      <c r="E246" s="298">
        <f>IFERROR(IF(Loan_Not_Paid*Values_Entered,Monthly_Payment,""), "")</f>
        <v>1677512.1817411617</v>
      </c>
      <c r="F246" s="298">
        <f>IFERROR(IF(Loan_Not_Paid*Values_Entered,Principal,""), "")</f>
        <v>1051941.7759834889</v>
      </c>
      <c r="G246" s="298">
        <f>IFERROR(IF(Loan_Not_Paid*Values_Entered,Interest,""), "")</f>
        <v>625570.40575767285</v>
      </c>
      <c r="H246" s="298">
        <f>IFERROR(IF(Loan_Not_Paid*Values_Entered,Ending_Balance,""), "")</f>
        <v>175579702.20264542</v>
      </c>
    </row>
    <row r="247" spans="2:8">
      <c r="B247" s="300">
        <f>IFERROR(IF(Loan_Not_Paid*Values_Entered,Payment_Number,""), "")</f>
        <v>230</v>
      </c>
      <c r="C247" s="299"/>
      <c r="D247" s="298">
        <f>IFERROR(IF(Loan_Not_Paid*Values_Entered,Beginning_Balance,""), "")</f>
        <v>175579702.20264542</v>
      </c>
      <c r="E247" s="298">
        <f>IFERROR(IF(Loan_Not_Paid*Values_Entered,Monthly_Payment,""), "")</f>
        <v>1677512.1817411617</v>
      </c>
      <c r="F247" s="298">
        <f>IFERROR(IF(Loan_Not_Paid*Values_Entered,Principal,""), "")</f>
        <v>1055667.4031067637</v>
      </c>
      <c r="G247" s="298">
        <f>IFERROR(IF(Loan_Not_Paid*Values_Entered,Interest,""), "")</f>
        <v>621844.77863439801</v>
      </c>
      <c r="H247" s="298">
        <f>IFERROR(IF(Loan_Not_Paid*Values_Entered,Ending_Balance,""), "")</f>
        <v>174524034.79953849</v>
      </c>
    </row>
    <row r="248" spans="2:8">
      <c r="B248" s="300">
        <f>IFERROR(IF(Loan_Not_Paid*Values_Entered,Payment_Number,""), "")</f>
        <v>231</v>
      </c>
      <c r="C248" s="299"/>
      <c r="D248" s="298">
        <f>IFERROR(IF(Loan_Not_Paid*Values_Entered,Beginning_Balance,""), "")</f>
        <v>174524034.79953849</v>
      </c>
      <c r="E248" s="298">
        <f>IFERROR(IF(Loan_Not_Paid*Values_Entered,Monthly_Payment,""), "")</f>
        <v>1677512.1817411617</v>
      </c>
      <c r="F248" s="298">
        <f>IFERROR(IF(Loan_Not_Paid*Values_Entered,Principal,""), "")</f>
        <v>1059406.2251594334</v>
      </c>
      <c r="G248" s="298">
        <f>IFERROR(IF(Loan_Not_Paid*Values_Entered,Interest,""), "")</f>
        <v>618105.95658172807</v>
      </c>
      <c r="H248" s="298">
        <f>IFERROR(IF(Loan_Not_Paid*Values_Entered,Ending_Balance,""), "")</f>
        <v>173464628.57437909</v>
      </c>
    </row>
    <row r="249" spans="2:8">
      <c r="B249" s="300">
        <f>IFERROR(IF(Loan_Not_Paid*Values_Entered,Payment_Number,""), "")</f>
        <v>232</v>
      </c>
      <c r="C249" s="299"/>
      <c r="D249" s="298">
        <f>IFERROR(IF(Loan_Not_Paid*Values_Entered,Beginning_Balance,""), "")</f>
        <v>173464628.57437909</v>
      </c>
      <c r="E249" s="298">
        <f>IFERROR(IF(Loan_Not_Paid*Values_Entered,Monthly_Payment,""), "")</f>
        <v>1677512.1817411617</v>
      </c>
      <c r="F249" s="298">
        <f>IFERROR(IF(Loan_Not_Paid*Values_Entered,Principal,""), "")</f>
        <v>1063158.28887354</v>
      </c>
      <c r="G249" s="298">
        <f>IFERROR(IF(Loan_Not_Paid*Values_Entered,Interest,""), "")</f>
        <v>614353.89286762185</v>
      </c>
      <c r="H249" s="298">
        <f>IFERROR(IF(Loan_Not_Paid*Values_Entered,Ending_Balance,""), "")</f>
        <v>172401470.28550541</v>
      </c>
    </row>
    <row r="250" spans="2:8">
      <c r="B250" s="300">
        <f>IFERROR(IF(Loan_Not_Paid*Values_Entered,Payment_Number,""), "")</f>
        <v>233</v>
      </c>
      <c r="C250" s="299"/>
      <c r="D250" s="298">
        <f>IFERROR(IF(Loan_Not_Paid*Values_Entered,Beginning_Balance,""), "")</f>
        <v>172401470.28550541</v>
      </c>
      <c r="E250" s="298">
        <f>IFERROR(IF(Loan_Not_Paid*Values_Entered,Monthly_Payment,""), "")</f>
        <v>1677512.1817411617</v>
      </c>
      <c r="F250" s="298">
        <f>IFERROR(IF(Loan_Not_Paid*Values_Entered,Principal,""), "")</f>
        <v>1066923.6411466338</v>
      </c>
      <c r="G250" s="298">
        <f>IFERROR(IF(Loan_Not_Paid*Values_Entered,Interest,""), "")</f>
        <v>610588.5405945282</v>
      </c>
      <c r="H250" s="298">
        <f>IFERROR(IF(Loan_Not_Paid*Values_Entered,Ending_Balance,""), "")</f>
        <v>171334546.64435863</v>
      </c>
    </row>
    <row r="251" spans="2:8">
      <c r="B251" s="300">
        <f>IFERROR(IF(Loan_Not_Paid*Values_Entered,Payment_Number,""), "")</f>
        <v>234</v>
      </c>
      <c r="C251" s="299"/>
      <c r="D251" s="298">
        <f>IFERROR(IF(Loan_Not_Paid*Values_Entered,Beginning_Balance,""), "")</f>
        <v>171334546.64435863</v>
      </c>
      <c r="E251" s="298">
        <f>IFERROR(IF(Loan_Not_Paid*Values_Entered,Monthly_Payment,""), "")</f>
        <v>1677512.1817411617</v>
      </c>
      <c r="F251" s="298">
        <f>IFERROR(IF(Loan_Not_Paid*Values_Entered,Principal,""), "")</f>
        <v>1070702.3290423614</v>
      </c>
      <c r="G251" s="298">
        <f>IFERROR(IF(Loan_Not_Paid*Values_Entered,Interest,""), "")</f>
        <v>606809.85269880039</v>
      </c>
      <c r="H251" s="298">
        <f>IFERROR(IF(Loan_Not_Paid*Values_Entered,Ending_Balance,""), "")</f>
        <v>170263844.3153162</v>
      </c>
    </row>
    <row r="252" spans="2:8">
      <c r="B252" s="300">
        <f>IFERROR(IF(Loan_Not_Paid*Values_Entered,Payment_Number,""), "")</f>
        <v>235</v>
      </c>
      <c r="C252" s="299"/>
      <c r="D252" s="298">
        <f>IFERROR(IF(Loan_Not_Paid*Values_Entered,Beginning_Balance,""), "")</f>
        <v>170263844.3153162</v>
      </c>
      <c r="E252" s="298">
        <f>IFERROR(IF(Loan_Not_Paid*Values_Entered,Monthly_Payment,""), "")</f>
        <v>1677512.1817411617</v>
      </c>
      <c r="F252" s="298">
        <f>IFERROR(IF(Loan_Not_Paid*Values_Entered,Principal,""), "")</f>
        <v>1074494.399791053</v>
      </c>
      <c r="G252" s="298">
        <f>IFERROR(IF(Loan_Not_Paid*Values_Entered,Interest,""), "")</f>
        <v>603017.78195010871</v>
      </c>
      <c r="H252" s="298">
        <f>IFERROR(IF(Loan_Not_Paid*Values_Entered,Ending_Balance,""), "")</f>
        <v>169189349.9155252</v>
      </c>
    </row>
    <row r="253" spans="2:8">
      <c r="B253" s="300">
        <f>IFERROR(IF(Loan_Not_Paid*Values_Entered,Payment_Number,""), "")</f>
        <v>236</v>
      </c>
      <c r="C253" s="299"/>
      <c r="D253" s="298">
        <f>IFERROR(IF(Loan_Not_Paid*Values_Entered,Beginning_Balance,""), "")</f>
        <v>169189349.9155252</v>
      </c>
      <c r="E253" s="298">
        <f>IFERROR(IF(Loan_Not_Paid*Values_Entered,Monthly_Payment,""), "")</f>
        <v>1677512.1817411617</v>
      </c>
      <c r="F253" s="298">
        <f>IFERROR(IF(Loan_Not_Paid*Values_Entered,Principal,""), "")</f>
        <v>1078299.9007903128</v>
      </c>
      <c r="G253" s="298">
        <f>IFERROR(IF(Loan_Not_Paid*Values_Entered,Interest,""), "")</f>
        <v>599212.28095084871</v>
      </c>
      <c r="H253" s="298">
        <f>IFERROR(IF(Loan_Not_Paid*Values_Entered,Ending_Balance,""), "")</f>
        <v>168111050.01473486</v>
      </c>
    </row>
    <row r="254" spans="2:8">
      <c r="B254" s="300">
        <f>IFERROR(IF(Loan_Not_Paid*Values_Entered,Payment_Number,""), "")</f>
        <v>237</v>
      </c>
      <c r="C254" s="299"/>
      <c r="D254" s="298">
        <f>IFERROR(IF(Loan_Not_Paid*Values_Entered,Beginning_Balance,""), "")</f>
        <v>168111050.01473486</v>
      </c>
      <c r="E254" s="298">
        <f>IFERROR(IF(Loan_Not_Paid*Values_Entered,Monthly_Payment,""), "")</f>
        <v>1677512.1817411617</v>
      </c>
      <c r="F254" s="298">
        <f>IFERROR(IF(Loan_Not_Paid*Values_Entered,Principal,""), "")</f>
        <v>1082118.879605612</v>
      </c>
      <c r="G254" s="298">
        <f>IFERROR(IF(Loan_Not_Paid*Values_Entered,Interest,""), "")</f>
        <v>595393.3021355496</v>
      </c>
      <c r="H254" s="298">
        <f>IFERROR(IF(Loan_Not_Paid*Values_Entered,Ending_Balance,""), "")</f>
        <v>167028931.13512921</v>
      </c>
    </row>
    <row r="255" spans="2:8">
      <c r="B255" s="300">
        <f>IFERROR(IF(Loan_Not_Paid*Values_Entered,Payment_Number,""), "")</f>
        <v>238</v>
      </c>
      <c r="C255" s="299"/>
      <c r="D255" s="298">
        <f>IFERROR(IF(Loan_Not_Paid*Values_Entered,Beginning_Balance,""), "")</f>
        <v>167028931.13512921</v>
      </c>
      <c r="E255" s="298">
        <f>IFERROR(IF(Loan_Not_Paid*Values_Entered,Monthly_Payment,""), "")</f>
        <v>1677512.1817411617</v>
      </c>
      <c r="F255" s="298">
        <f>IFERROR(IF(Loan_Not_Paid*Values_Entered,Principal,""), "")</f>
        <v>1085951.3839708818</v>
      </c>
      <c r="G255" s="298">
        <f>IFERROR(IF(Loan_Not_Paid*Values_Entered,Interest,""), "")</f>
        <v>591560.79777027981</v>
      </c>
      <c r="H255" s="298">
        <f>IFERROR(IF(Loan_Not_Paid*Values_Entered,Ending_Balance,""), "")</f>
        <v>165942979.75115812</v>
      </c>
    </row>
    <row r="256" spans="2:8">
      <c r="B256" s="300">
        <f>IFERROR(IF(Loan_Not_Paid*Values_Entered,Payment_Number,""), "")</f>
        <v>239</v>
      </c>
      <c r="C256" s="299"/>
      <c r="D256" s="298">
        <f>IFERROR(IF(Loan_Not_Paid*Values_Entered,Beginning_Balance,""), "")</f>
        <v>165942979.75115812</v>
      </c>
      <c r="E256" s="298">
        <f>IFERROR(IF(Loan_Not_Paid*Values_Entered,Monthly_Payment,""), "")</f>
        <v>1677512.1817411617</v>
      </c>
      <c r="F256" s="298">
        <f>IFERROR(IF(Loan_Not_Paid*Values_Entered,Principal,""), "")</f>
        <v>1089797.4617891121</v>
      </c>
      <c r="G256" s="298">
        <f>IFERROR(IF(Loan_Not_Paid*Values_Entered,Interest,""), "")</f>
        <v>587714.71995204978</v>
      </c>
      <c r="H256" s="298">
        <f>IFERROR(IF(Loan_Not_Paid*Values_Entered,Ending_Balance,""), "")</f>
        <v>164853182.28936899</v>
      </c>
    </row>
    <row r="257" spans="2:8">
      <c r="B257" s="300">
        <f>IFERROR(IF(Loan_Not_Paid*Values_Entered,Payment_Number,""), "")</f>
        <v>240</v>
      </c>
      <c r="C257" s="299"/>
      <c r="D257" s="298">
        <f>IFERROR(IF(Loan_Not_Paid*Values_Entered,Beginning_Balance,""), "")</f>
        <v>164853182.28936899</v>
      </c>
      <c r="E257" s="298">
        <f>IFERROR(IF(Loan_Not_Paid*Values_Entered,Monthly_Payment,""), "")</f>
        <v>1677512.1817411617</v>
      </c>
      <c r="F257" s="298">
        <f>IFERROR(IF(Loan_Not_Paid*Values_Entered,Principal,""), "")</f>
        <v>1093657.1611329487</v>
      </c>
      <c r="G257" s="298">
        <f>IFERROR(IF(Loan_Not_Paid*Values_Entered,Interest,""), "")</f>
        <v>583855.02060821326</v>
      </c>
      <c r="H257" s="298">
        <f>IFERROR(IF(Loan_Not_Paid*Values_Entered,Ending_Balance,""), "")</f>
        <v>163759525.12823606</v>
      </c>
    </row>
    <row r="258" spans="2:8">
      <c r="B258" s="300">
        <f>IFERROR(IF(Loan_Not_Paid*Values_Entered,Payment_Number,""), "")</f>
        <v>241</v>
      </c>
      <c r="C258" s="299"/>
      <c r="D258" s="298">
        <f>IFERROR(IF(Loan_Not_Paid*Values_Entered,Beginning_Balance,""), "")</f>
        <v>163759525.12823606</v>
      </c>
      <c r="E258" s="298">
        <f>IFERROR(IF(Loan_Not_Paid*Values_Entered,Monthly_Payment,""), "")</f>
        <v>1677512.1817411617</v>
      </c>
      <c r="F258" s="298">
        <f>IFERROR(IF(Loan_Not_Paid*Values_Entered,Principal,""), "")</f>
        <v>1097530.5302452943</v>
      </c>
      <c r="G258" s="298">
        <f>IFERROR(IF(Loan_Not_Paid*Values_Entered,Interest,""), "")</f>
        <v>579981.65149586729</v>
      </c>
      <c r="H258" s="298">
        <f>IFERROR(IF(Loan_Not_Paid*Values_Entered,Ending_Balance,""), "")</f>
        <v>162661994.59799063</v>
      </c>
    </row>
    <row r="259" spans="2:8">
      <c r="B259" s="300">
        <f>IFERROR(IF(Loan_Not_Paid*Values_Entered,Payment_Number,""), "")</f>
        <v>242</v>
      </c>
      <c r="C259" s="299"/>
      <c r="D259" s="298">
        <f>IFERROR(IF(Loan_Not_Paid*Values_Entered,Beginning_Balance,""), "")</f>
        <v>162661994.59799063</v>
      </c>
      <c r="E259" s="298">
        <f>IFERROR(IF(Loan_Not_Paid*Values_Entered,Monthly_Payment,""), "")</f>
        <v>1677512.1817411617</v>
      </c>
      <c r="F259" s="298">
        <f>IFERROR(IF(Loan_Not_Paid*Values_Entered,Principal,""), "")</f>
        <v>1101417.6175399132</v>
      </c>
      <c r="G259" s="298">
        <f>IFERROR(IF(Loan_Not_Paid*Values_Entered,Interest,""), "")</f>
        <v>576094.56420124858</v>
      </c>
      <c r="H259" s="298">
        <f>IFERROR(IF(Loan_Not_Paid*Values_Entered,Ending_Balance,""), "")</f>
        <v>161560576.98045063</v>
      </c>
    </row>
    <row r="260" spans="2:8">
      <c r="B260" s="300">
        <f>IFERROR(IF(Loan_Not_Paid*Values_Entered,Payment_Number,""), "")</f>
        <v>243</v>
      </c>
      <c r="C260" s="299"/>
      <c r="D260" s="298">
        <f>IFERROR(IF(Loan_Not_Paid*Values_Entered,Beginning_Balance,""), "")</f>
        <v>161560576.98045063</v>
      </c>
      <c r="E260" s="298">
        <f>IFERROR(IF(Loan_Not_Paid*Values_Entered,Monthly_Payment,""), "")</f>
        <v>1677512.1817411617</v>
      </c>
      <c r="F260" s="298">
        <f>IFERROR(IF(Loan_Not_Paid*Values_Entered,Principal,""), "")</f>
        <v>1105318.4716020336</v>
      </c>
      <c r="G260" s="298">
        <f>IFERROR(IF(Loan_Not_Paid*Values_Entered,Interest,""), "")</f>
        <v>572193.71013912803</v>
      </c>
      <c r="H260" s="298">
        <f>IFERROR(IF(Loan_Not_Paid*Values_Entered,Ending_Balance,""), "")</f>
        <v>160455258.50884867</v>
      </c>
    </row>
    <row r="261" spans="2:8">
      <c r="B261" s="300">
        <f>IFERROR(IF(Loan_Not_Paid*Values_Entered,Payment_Number,""), "")</f>
        <v>244</v>
      </c>
      <c r="C261" s="299"/>
      <c r="D261" s="298">
        <f>IFERROR(IF(Loan_Not_Paid*Values_Entered,Beginning_Balance,""), "")</f>
        <v>160455258.50884867</v>
      </c>
      <c r="E261" s="298">
        <f>IFERROR(IF(Loan_Not_Paid*Values_Entered,Monthly_Payment,""), "")</f>
        <v>1677512.1817411617</v>
      </c>
      <c r="F261" s="298">
        <f>IFERROR(IF(Loan_Not_Paid*Values_Entered,Principal,""), "")</f>
        <v>1109233.1411889575</v>
      </c>
      <c r="G261" s="298">
        <f>IFERROR(IF(Loan_Not_Paid*Values_Entered,Interest,""), "")</f>
        <v>568279.04055220413</v>
      </c>
      <c r="H261" s="298">
        <f>IFERROR(IF(Loan_Not_Paid*Values_Entered,Ending_Balance,""), "")</f>
        <v>159346025.36765945</v>
      </c>
    </row>
    <row r="262" spans="2:8">
      <c r="B262" s="300">
        <f>IFERROR(IF(Loan_Not_Paid*Values_Entered,Payment_Number,""), "")</f>
        <v>245</v>
      </c>
      <c r="C262" s="299"/>
      <c r="D262" s="298">
        <f>IFERROR(IF(Loan_Not_Paid*Values_Entered,Beginning_Balance,""), "")</f>
        <v>159346025.36765945</v>
      </c>
      <c r="E262" s="298">
        <f>IFERROR(IF(Loan_Not_Paid*Values_Entered,Monthly_Payment,""), "")</f>
        <v>1677512.1817411617</v>
      </c>
      <c r="F262" s="298">
        <f>IFERROR(IF(Loan_Not_Paid*Values_Entered,Principal,""), "")</f>
        <v>1113161.6752306684</v>
      </c>
      <c r="G262" s="298">
        <f>IFERROR(IF(Loan_Not_Paid*Values_Entered,Interest,""), "")</f>
        <v>564350.50651049335</v>
      </c>
      <c r="H262" s="298">
        <f>IFERROR(IF(Loan_Not_Paid*Values_Entered,Ending_Balance,""), "")</f>
        <v>158232863.69242871</v>
      </c>
    </row>
    <row r="263" spans="2:8">
      <c r="B263" s="300">
        <f>IFERROR(IF(Loan_Not_Paid*Values_Entered,Payment_Number,""), "")</f>
        <v>246</v>
      </c>
      <c r="C263" s="299"/>
      <c r="D263" s="298">
        <f>IFERROR(IF(Loan_Not_Paid*Values_Entered,Beginning_Balance,""), "")</f>
        <v>158232863.69242871</v>
      </c>
      <c r="E263" s="298">
        <f>IFERROR(IF(Loan_Not_Paid*Values_Entered,Monthly_Payment,""), "")</f>
        <v>1677512.1817411617</v>
      </c>
      <c r="F263" s="298">
        <f>IFERROR(IF(Loan_Not_Paid*Values_Entered,Principal,""), "")</f>
        <v>1117104.1228304435</v>
      </c>
      <c r="G263" s="298">
        <f>IFERROR(IF(Loan_Not_Paid*Values_Entered,Interest,""), "")</f>
        <v>560408.05891071807</v>
      </c>
      <c r="H263" s="298">
        <f>IFERROR(IF(Loan_Not_Paid*Values_Entered,Ending_Balance,""), "")</f>
        <v>157115759.5695982</v>
      </c>
    </row>
    <row r="264" spans="2:8">
      <c r="B264" s="300">
        <f>IFERROR(IF(Loan_Not_Paid*Values_Entered,Payment_Number,""), "")</f>
        <v>247</v>
      </c>
      <c r="C264" s="299"/>
      <c r="D264" s="298">
        <f>IFERROR(IF(Loan_Not_Paid*Values_Entered,Beginning_Balance,""), "")</f>
        <v>157115759.5695982</v>
      </c>
      <c r="E264" s="298">
        <f>IFERROR(IF(Loan_Not_Paid*Values_Entered,Monthly_Payment,""), "")</f>
        <v>1677512.1817411617</v>
      </c>
      <c r="F264" s="298">
        <f>IFERROR(IF(Loan_Not_Paid*Values_Entered,Principal,""), "")</f>
        <v>1121060.5332654682</v>
      </c>
      <c r="G264" s="298">
        <f>IFERROR(IF(Loan_Not_Paid*Values_Entered,Interest,""), "")</f>
        <v>556451.64847569354</v>
      </c>
      <c r="H264" s="298">
        <f>IFERROR(IF(Loan_Not_Paid*Values_Entered,Ending_Balance,""), "")</f>
        <v>155994699.03633261</v>
      </c>
    </row>
    <row r="265" spans="2:8">
      <c r="B265" s="300">
        <f>IFERROR(IF(Loan_Not_Paid*Values_Entered,Payment_Number,""), "")</f>
        <v>248</v>
      </c>
      <c r="C265" s="299"/>
      <c r="D265" s="298">
        <f>IFERROR(IF(Loan_Not_Paid*Values_Entered,Beginning_Balance,""), "")</f>
        <v>155994699.03633261</v>
      </c>
      <c r="E265" s="298">
        <f>IFERROR(IF(Loan_Not_Paid*Values_Entered,Monthly_Payment,""), "")</f>
        <v>1677512.1817411617</v>
      </c>
      <c r="F265" s="298">
        <f>IFERROR(IF(Loan_Not_Paid*Values_Entered,Principal,""), "")</f>
        <v>1125030.9559874502</v>
      </c>
      <c r="G265" s="298">
        <f>IFERROR(IF(Loan_Not_Paid*Values_Entered,Interest,""), "")</f>
        <v>552481.22575371165</v>
      </c>
      <c r="H265" s="298">
        <f>IFERROR(IF(Loan_Not_Paid*Values_Entered,Ending_Balance,""), "")</f>
        <v>154869668.08034515</v>
      </c>
    </row>
    <row r="266" spans="2:8">
      <c r="B266" s="300">
        <f>IFERROR(IF(Loan_Not_Paid*Values_Entered,Payment_Number,""), "")</f>
        <v>249</v>
      </c>
      <c r="C266" s="299"/>
      <c r="D266" s="298">
        <f>IFERROR(IF(Loan_Not_Paid*Values_Entered,Beginning_Balance,""), "")</f>
        <v>154869668.08034515</v>
      </c>
      <c r="E266" s="298">
        <f>IFERROR(IF(Loan_Not_Paid*Values_Entered,Monthly_Payment,""), "")</f>
        <v>1677512.1817411617</v>
      </c>
      <c r="F266" s="298">
        <f>IFERROR(IF(Loan_Not_Paid*Values_Entered,Principal,""), "")</f>
        <v>1129015.4406232389</v>
      </c>
      <c r="G266" s="298">
        <f>IFERROR(IF(Loan_Not_Paid*Values_Entered,Interest,""), "")</f>
        <v>548496.74111792282</v>
      </c>
      <c r="H266" s="298">
        <f>IFERROR(IF(Loan_Not_Paid*Values_Entered,Ending_Balance,""), "")</f>
        <v>153740652.63972199</v>
      </c>
    </row>
    <row r="267" spans="2:8">
      <c r="B267" s="300">
        <f>IFERROR(IF(Loan_Not_Paid*Values_Entered,Payment_Number,""), "")</f>
        <v>250</v>
      </c>
      <c r="C267" s="299"/>
      <c r="D267" s="298">
        <f>IFERROR(IF(Loan_Not_Paid*Values_Entered,Beginning_Balance,""), "")</f>
        <v>153740652.63972199</v>
      </c>
      <c r="E267" s="298">
        <f>IFERROR(IF(Loan_Not_Paid*Values_Entered,Monthly_Payment,""), "")</f>
        <v>1677512.1817411617</v>
      </c>
      <c r="F267" s="298">
        <f>IFERROR(IF(Loan_Not_Paid*Values_Entered,Principal,""), "")</f>
        <v>1133014.0369754464</v>
      </c>
      <c r="G267" s="298">
        <f>IFERROR(IF(Loan_Not_Paid*Values_Entered,Interest,""), "")</f>
        <v>544498.14476571558</v>
      </c>
      <c r="H267" s="298">
        <f>IFERROR(IF(Loan_Not_Paid*Values_Entered,Ending_Balance,""), "")</f>
        <v>152607638.60274637</v>
      </c>
    </row>
    <row r="268" spans="2:8">
      <c r="B268" s="300">
        <f>IFERROR(IF(Loan_Not_Paid*Values_Entered,Payment_Number,""), "")</f>
        <v>251</v>
      </c>
      <c r="C268" s="299"/>
      <c r="D268" s="298">
        <f>IFERROR(IF(Loan_Not_Paid*Values_Entered,Beginning_Balance,""), "")</f>
        <v>152607638.60274637</v>
      </c>
      <c r="E268" s="298">
        <f>IFERROR(IF(Loan_Not_Paid*Values_Entered,Monthly_Payment,""), "")</f>
        <v>1677512.1817411617</v>
      </c>
      <c r="F268" s="298">
        <f>IFERROR(IF(Loan_Not_Paid*Values_Entered,Principal,""), "")</f>
        <v>1137026.7950230676</v>
      </c>
      <c r="G268" s="298">
        <f>IFERROR(IF(Loan_Not_Paid*Values_Entered,Interest,""), "")</f>
        <v>540485.38671809423</v>
      </c>
      <c r="H268" s="298">
        <f>IFERROR(IF(Loan_Not_Paid*Values_Entered,Ending_Balance,""), "")</f>
        <v>151470611.80772316</v>
      </c>
    </row>
    <row r="269" spans="2:8">
      <c r="B269" s="300">
        <f>IFERROR(IF(Loan_Not_Paid*Values_Entered,Payment_Number,""), "")</f>
        <v>252</v>
      </c>
      <c r="C269" s="299"/>
      <c r="D269" s="298">
        <f>IFERROR(IF(Loan_Not_Paid*Values_Entered,Beginning_Balance,""), "")</f>
        <v>151470611.80772316</v>
      </c>
      <c r="E269" s="298">
        <f>IFERROR(IF(Loan_Not_Paid*Values_Entered,Monthly_Payment,""), "")</f>
        <v>1677512.1817411617</v>
      </c>
      <c r="F269" s="298">
        <f>IFERROR(IF(Loan_Not_Paid*Values_Entered,Principal,""), "")</f>
        <v>1141053.7649221076</v>
      </c>
      <c r="G269" s="298">
        <f>IFERROR(IF(Loan_Not_Paid*Values_Entered,Interest,""), "")</f>
        <v>536458.41681905393</v>
      </c>
      <c r="H269" s="298">
        <f>IFERROR(IF(Loan_Not_Paid*Values_Entered,Ending_Balance,""), "")</f>
        <v>150329558.04280102</v>
      </c>
    </row>
    <row r="270" spans="2:8">
      <c r="B270" s="300">
        <f>IFERROR(IF(Loan_Not_Paid*Values_Entered,Payment_Number,""), "")</f>
        <v>253</v>
      </c>
      <c r="C270" s="299"/>
      <c r="D270" s="298">
        <f>IFERROR(IF(Loan_Not_Paid*Values_Entered,Beginning_Balance,""), "")</f>
        <v>150329558.04280102</v>
      </c>
      <c r="E270" s="298">
        <f>IFERROR(IF(Loan_Not_Paid*Values_Entered,Monthly_Payment,""), "")</f>
        <v>1677512.1817411617</v>
      </c>
      <c r="F270" s="298">
        <f>IFERROR(IF(Loan_Not_Paid*Values_Entered,Principal,""), "")</f>
        <v>1145094.9970062068</v>
      </c>
      <c r="G270" s="298">
        <f>IFERROR(IF(Loan_Not_Paid*Values_Entered,Interest,""), "")</f>
        <v>532417.18473495496</v>
      </c>
      <c r="H270" s="298">
        <f>IFERROR(IF(Loan_Not_Paid*Values_Entered,Ending_Balance,""), "")</f>
        <v>149184463.04579484</v>
      </c>
    </row>
    <row r="271" spans="2:8">
      <c r="B271" s="300">
        <f>IFERROR(IF(Loan_Not_Paid*Values_Entered,Payment_Number,""), "")</f>
        <v>254</v>
      </c>
      <c r="C271" s="299"/>
      <c r="D271" s="298">
        <f>IFERROR(IF(Loan_Not_Paid*Values_Entered,Beginning_Balance,""), "")</f>
        <v>149184463.04579484</v>
      </c>
      <c r="E271" s="298">
        <f>IFERROR(IF(Loan_Not_Paid*Values_Entered,Monthly_Payment,""), "")</f>
        <v>1677512.1817411617</v>
      </c>
      <c r="F271" s="298">
        <f>IFERROR(IF(Loan_Not_Paid*Values_Entered,Principal,""), "")</f>
        <v>1149150.5417872705</v>
      </c>
      <c r="G271" s="298">
        <f>IFERROR(IF(Loan_Not_Paid*Values_Entered,Interest,""), "")</f>
        <v>528361.63995389128</v>
      </c>
      <c r="H271" s="298">
        <f>IFERROR(IF(Loan_Not_Paid*Values_Entered,Ending_Balance,""), "")</f>
        <v>148035312.50400746</v>
      </c>
    </row>
    <row r="272" spans="2:8">
      <c r="B272" s="300">
        <f>IFERROR(IF(Loan_Not_Paid*Values_Entered,Payment_Number,""), "")</f>
        <v>255</v>
      </c>
      <c r="C272" s="299"/>
      <c r="D272" s="298">
        <f>IFERROR(IF(Loan_Not_Paid*Values_Entered,Beginning_Balance,""), "")</f>
        <v>148035312.50400746</v>
      </c>
      <c r="E272" s="298">
        <f>IFERROR(IF(Loan_Not_Paid*Values_Entered,Monthly_Payment,""), "")</f>
        <v>1677512.1817411617</v>
      </c>
      <c r="F272" s="298">
        <f>IFERROR(IF(Loan_Not_Paid*Values_Entered,Principal,""), "")</f>
        <v>1153220.4499561004</v>
      </c>
      <c r="G272" s="298">
        <f>IFERROR(IF(Loan_Not_Paid*Values_Entered,Interest,""), "")</f>
        <v>524291.73178506142</v>
      </c>
      <c r="H272" s="298">
        <f>IFERROR(IF(Loan_Not_Paid*Values_Entered,Ending_Balance,""), "")</f>
        <v>146882092.05405116</v>
      </c>
    </row>
    <row r="273" spans="2:8">
      <c r="B273" s="300">
        <f>IFERROR(IF(Loan_Not_Paid*Values_Entered,Payment_Number,""), "")</f>
        <v>256</v>
      </c>
      <c r="C273" s="299"/>
      <c r="D273" s="298">
        <f>IFERROR(IF(Loan_Not_Paid*Values_Entered,Beginning_Balance,""), "")</f>
        <v>146882092.05405116</v>
      </c>
      <c r="E273" s="298">
        <f>IFERROR(IF(Loan_Not_Paid*Values_Entered,Monthly_Payment,""), "")</f>
        <v>1677512.1817411617</v>
      </c>
      <c r="F273" s="298">
        <f>IFERROR(IF(Loan_Not_Paid*Values_Entered,Principal,""), "")</f>
        <v>1157304.7723830284</v>
      </c>
      <c r="G273" s="298">
        <f>IFERROR(IF(Loan_Not_Paid*Values_Entered,Interest,""), "")</f>
        <v>520207.40935813345</v>
      </c>
      <c r="H273" s="298">
        <f>IFERROR(IF(Loan_Not_Paid*Values_Entered,Ending_Balance,""), "")</f>
        <v>145724787.28166807</v>
      </c>
    </row>
    <row r="274" spans="2:8">
      <c r="B274" s="300">
        <f>IFERROR(IF(Loan_Not_Paid*Values_Entered,Payment_Number,""), "")</f>
        <v>257</v>
      </c>
      <c r="C274" s="299"/>
      <c r="D274" s="298">
        <f>IFERROR(IF(Loan_Not_Paid*Values_Entered,Beginning_Balance,""), "")</f>
        <v>145724787.28166807</v>
      </c>
      <c r="E274" s="298">
        <f>IFERROR(IF(Loan_Not_Paid*Values_Entered,Monthly_Payment,""), "")</f>
        <v>1677512.1817411617</v>
      </c>
      <c r="F274" s="298">
        <f>IFERROR(IF(Loan_Not_Paid*Values_Entered,Principal,""), "")</f>
        <v>1161403.5601185516</v>
      </c>
      <c r="G274" s="298">
        <f>IFERROR(IF(Loan_Not_Paid*Values_Entered,Interest,""), "")</f>
        <v>516108.6216226102</v>
      </c>
      <c r="H274" s="298">
        <f>IFERROR(IF(Loan_Not_Paid*Values_Entered,Ending_Balance,""), "")</f>
        <v>144563383.72154951</v>
      </c>
    </row>
    <row r="275" spans="2:8">
      <c r="B275" s="300">
        <f>IFERROR(IF(Loan_Not_Paid*Values_Entered,Payment_Number,""), "")</f>
        <v>258</v>
      </c>
      <c r="C275" s="299"/>
      <c r="D275" s="298">
        <f>IFERROR(IF(Loan_Not_Paid*Values_Entered,Beginning_Balance,""), "")</f>
        <v>144563383.72154951</v>
      </c>
      <c r="E275" s="298">
        <f>IFERROR(IF(Loan_Not_Paid*Values_Entered,Monthly_Payment,""), "")</f>
        <v>1677512.1817411617</v>
      </c>
      <c r="F275" s="298">
        <f>IFERROR(IF(Loan_Not_Paid*Values_Entered,Principal,""), "")</f>
        <v>1165516.8643939712</v>
      </c>
      <c r="G275" s="298">
        <f>IFERROR(IF(Loan_Not_Paid*Values_Entered,Interest,""), "")</f>
        <v>511995.31734719034</v>
      </c>
      <c r="H275" s="298">
        <f>IFERROR(IF(Loan_Not_Paid*Values_Entered,Ending_Balance,""), "")</f>
        <v>143397866.85715544</v>
      </c>
    </row>
    <row r="276" spans="2:8">
      <c r="B276" s="300">
        <f>IFERROR(IF(Loan_Not_Paid*Values_Entered,Payment_Number,""), "")</f>
        <v>259</v>
      </c>
      <c r="C276" s="299"/>
      <c r="D276" s="298">
        <f>IFERROR(IF(Loan_Not_Paid*Values_Entered,Beginning_Balance,""), "")</f>
        <v>143397866.85715544</v>
      </c>
      <c r="E276" s="298">
        <f>IFERROR(IF(Loan_Not_Paid*Values_Entered,Monthly_Payment,""), "")</f>
        <v>1677512.1817411617</v>
      </c>
      <c r="F276" s="298">
        <f>IFERROR(IF(Loan_Not_Paid*Values_Entered,Principal,""), "")</f>
        <v>1169644.7366220332</v>
      </c>
      <c r="G276" s="298">
        <f>IFERROR(IF(Loan_Not_Paid*Values_Entered,Interest,""), "")</f>
        <v>507867.44511912833</v>
      </c>
      <c r="H276" s="298">
        <f>IFERROR(IF(Loan_Not_Paid*Values_Entered,Ending_Balance,""), "")</f>
        <v>142228222.12053347</v>
      </c>
    </row>
    <row r="277" spans="2:8">
      <c r="B277" s="300">
        <f>IFERROR(IF(Loan_Not_Paid*Values_Entered,Payment_Number,""), "")</f>
        <v>260</v>
      </c>
      <c r="C277" s="299"/>
      <c r="D277" s="298">
        <f>IFERROR(IF(Loan_Not_Paid*Values_Entered,Beginning_Balance,""), "")</f>
        <v>142228222.12053347</v>
      </c>
      <c r="E277" s="298">
        <f>IFERROR(IF(Loan_Not_Paid*Values_Entered,Monthly_Payment,""), "")</f>
        <v>1677512.1817411617</v>
      </c>
      <c r="F277" s="298">
        <f>IFERROR(IF(Loan_Not_Paid*Values_Entered,Principal,""), "")</f>
        <v>1173787.2283975696</v>
      </c>
      <c r="G277" s="298">
        <f>IFERROR(IF(Loan_Not_Paid*Values_Entered,Interest,""), "")</f>
        <v>503724.95334359194</v>
      </c>
      <c r="H277" s="298">
        <f>IFERROR(IF(Loan_Not_Paid*Values_Entered,Ending_Balance,""), "")</f>
        <v>141054434.89213574</v>
      </c>
    </row>
    <row r="278" spans="2:8">
      <c r="B278" s="300">
        <f>IFERROR(IF(Loan_Not_Paid*Values_Entered,Payment_Number,""), "")</f>
        <v>261</v>
      </c>
      <c r="C278" s="299"/>
      <c r="D278" s="298">
        <f>IFERROR(IF(Loan_Not_Paid*Values_Entered,Beginning_Balance,""), "")</f>
        <v>141054434.89213574</v>
      </c>
      <c r="E278" s="298">
        <f>IFERROR(IF(Loan_Not_Paid*Values_Entered,Monthly_Payment,""), "")</f>
        <v>1677512.1817411617</v>
      </c>
      <c r="F278" s="298">
        <f>IFERROR(IF(Loan_Not_Paid*Values_Entered,Principal,""), "")</f>
        <v>1177944.3914981445</v>
      </c>
      <c r="G278" s="298">
        <f>IFERROR(IF(Loan_Not_Paid*Values_Entered,Interest,""), "")</f>
        <v>499567.79024301731</v>
      </c>
      <c r="H278" s="298">
        <f>IFERROR(IF(Loan_Not_Paid*Values_Entered,Ending_Balance,""), "")</f>
        <v>139876490.50063741</v>
      </c>
    </row>
    <row r="279" spans="2:8">
      <c r="B279" s="300">
        <f>IFERROR(IF(Loan_Not_Paid*Values_Entered,Payment_Number,""), "")</f>
        <v>262</v>
      </c>
      <c r="C279" s="299"/>
      <c r="D279" s="298">
        <f>IFERROR(IF(Loan_Not_Paid*Values_Entered,Beginning_Balance,""), "")</f>
        <v>139876490.50063741</v>
      </c>
      <c r="E279" s="298">
        <f>IFERROR(IF(Loan_Not_Paid*Values_Entered,Monthly_Payment,""), "")</f>
        <v>1677512.1817411617</v>
      </c>
      <c r="F279" s="298">
        <f>IFERROR(IF(Loan_Not_Paid*Values_Entered,Principal,""), "")</f>
        <v>1182116.2778847001</v>
      </c>
      <c r="G279" s="298">
        <f>IFERROR(IF(Loan_Not_Paid*Values_Entered,Interest,""), "")</f>
        <v>495395.90385646134</v>
      </c>
      <c r="H279" s="298">
        <f>IFERROR(IF(Loan_Not_Paid*Values_Entered,Ending_Balance,""), "")</f>
        <v>138694374.22275269</v>
      </c>
    </row>
    <row r="280" spans="2:8">
      <c r="B280" s="300">
        <f>IFERROR(IF(Loan_Not_Paid*Values_Entered,Payment_Number,""), "")</f>
        <v>263</v>
      </c>
      <c r="C280" s="299"/>
      <c r="D280" s="298">
        <f>IFERROR(IF(Loan_Not_Paid*Values_Entered,Beginning_Balance,""), "")</f>
        <v>138694374.22275269</v>
      </c>
      <c r="E280" s="298">
        <f>IFERROR(IF(Loan_Not_Paid*Values_Entered,Monthly_Payment,""), "")</f>
        <v>1677512.1817411617</v>
      </c>
      <c r="F280" s="298">
        <f>IFERROR(IF(Loan_Not_Paid*Values_Entered,Principal,""), "")</f>
        <v>1186302.9397022089</v>
      </c>
      <c r="G280" s="298">
        <f>IFERROR(IF(Loan_Not_Paid*Values_Entered,Interest,""), "")</f>
        <v>491209.24203895306</v>
      </c>
      <c r="H280" s="298">
        <f>IFERROR(IF(Loan_Not_Paid*Values_Entered,Ending_Balance,""), "")</f>
        <v>137508071.2830503</v>
      </c>
    </row>
    <row r="281" spans="2:8">
      <c r="B281" s="300">
        <f>IFERROR(IF(Loan_Not_Paid*Values_Entered,Payment_Number,""), "")</f>
        <v>264</v>
      </c>
      <c r="C281" s="299"/>
      <c r="D281" s="298">
        <f>IFERROR(IF(Loan_Not_Paid*Values_Entered,Beginning_Balance,""), "")</f>
        <v>137508071.2830503</v>
      </c>
      <c r="E281" s="298">
        <f>IFERROR(IF(Loan_Not_Paid*Values_Entered,Monthly_Payment,""), "")</f>
        <v>1677512.1817411617</v>
      </c>
      <c r="F281" s="298">
        <f>IFERROR(IF(Loan_Not_Paid*Values_Entered,Principal,""), "")</f>
        <v>1190504.4292803206</v>
      </c>
      <c r="G281" s="298">
        <f>IFERROR(IF(Loan_Not_Paid*Values_Entered,Interest,""), "")</f>
        <v>487007.75246084115</v>
      </c>
      <c r="H281" s="298">
        <f>IFERROR(IF(Loan_Not_Paid*Values_Entered,Ending_Balance,""), "")</f>
        <v>136317566.85377002</v>
      </c>
    </row>
    <row r="282" spans="2:8">
      <c r="B282" s="300">
        <f>IFERROR(IF(Loan_Not_Paid*Values_Entered,Payment_Number,""), "")</f>
        <v>265</v>
      </c>
      <c r="C282" s="299"/>
      <c r="D282" s="298">
        <f>IFERROR(IF(Loan_Not_Paid*Values_Entered,Beginning_Balance,""), "")</f>
        <v>136317566.85377002</v>
      </c>
      <c r="E282" s="298">
        <f>IFERROR(IF(Loan_Not_Paid*Values_Entered,Monthly_Payment,""), "")</f>
        <v>1677512.1817411617</v>
      </c>
      <c r="F282" s="298">
        <f>IFERROR(IF(Loan_Not_Paid*Values_Entered,Principal,""), "")</f>
        <v>1194720.7991340219</v>
      </c>
      <c r="G282" s="298">
        <f>IFERROR(IF(Loan_Not_Paid*Values_Entered,Interest,""), "")</f>
        <v>482791.38260714</v>
      </c>
      <c r="H282" s="298">
        <f>IFERROR(IF(Loan_Not_Paid*Values_Entered,Ending_Balance,""), "")</f>
        <v>135122846.05463588</v>
      </c>
    </row>
    <row r="283" spans="2:8">
      <c r="B283" s="300">
        <f>IFERROR(IF(Loan_Not_Paid*Values_Entered,Payment_Number,""), "")</f>
        <v>266</v>
      </c>
      <c r="C283" s="299"/>
      <c r="D283" s="298">
        <f>IFERROR(IF(Loan_Not_Paid*Values_Entered,Beginning_Balance,""), "")</f>
        <v>135122846.05463588</v>
      </c>
      <c r="E283" s="298">
        <f>IFERROR(IF(Loan_Not_Paid*Values_Entered,Monthly_Payment,""), "")</f>
        <v>1677512.1817411617</v>
      </c>
      <c r="F283" s="298">
        <f>IFERROR(IF(Loan_Not_Paid*Values_Entered,Principal,""), "")</f>
        <v>1198952.1019642882</v>
      </c>
      <c r="G283" s="298">
        <f>IFERROR(IF(Loan_Not_Paid*Values_Entered,Interest,""), "")</f>
        <v>478560.07977687358</v>
      </c>
      <c r="H283" s="298">
        <f>IFERROR(IF(Loan_Not_Paid*Values_Entered,Ending_Balance,""), "")</f>
        <v>133923893.95267153</v>
      </c>
    </row>
    <row r="284" spans="2:8">
      <c r="B284" s="300">
        <f>IFERROR(IF(Loan_Not_Paid*Values_Entered,Payment_Number,""), "")</f>
        <v>267</v>
      </c>
      <c r="C284" s="299"/>
      <c r="D284" s="298">
        <f>IFERROR(IF(Loan_Not_Paid*Values_Entered,Beginning_Balance,""), "")</f>
        <v>133923893.95267153</v>
      </c>
      <c r="E284" s="298">
        <f>IFERROR(IF(Loan_Not_Paid*Values_Entered,Monthly_Payment,""), "")</f>
        <v>1677512.1817411617</v>
      </c>
      <c r="F284" s="298">
        <f>IFERROR(IF(Loan_Not_Paid*Values_Entered,Principal,""), "")</f>
        <v>1203198.3906587448</v>
      </c>
      <c r="G284" s="298">
        <f>IFERROR(IF(Loan_Not_Paid*Values_Entered,Interest,""), "")</f>
        <v>474313.79108241672</v>
      </c>
      <c r="H284" s="298">
        <f>IFERROR(IF(Loan_Not_Paid*Values_Entered,Ending_Balance,""), "")</f>
        <v>132720695.56201267</v>
      </c>
    </row>
    <row r="285" spans="2:8">
      <c r="B285" s="300">
        <f>IFERROR(IF(Loan_Not_Paid*Values_Entered,Payment_Number,""), "")</f>
        <v>268</v>
      </c>
      <c r="C285" s="299"/>
      <c r="D285" s="298">
        <f>IFERROR(IF(Loan_Not_Paid*Values_Entered,Beginning_Balance,""), "")</f>
        <v>132720695.56201267</v>
      </c>
      <c r="E285" s="298">
        <f>IFERROR(IF(Loan_Not_Paid*Values_Entered,Monthly_Payment,""), "")</f>
        <v>1677512.1817411617</v>
      </c>
      <c r="F285" s="298">
        <f>IFERROR(IF(Loan_Not_Paid*Values_Entered,Principal,""), "")</f>
        <v>1207459.7182923281</v>
      </c>
      <c r="G285" s="298">
        <f>IFERROR(IF(Loan_Not_Paid*Values_Entered,Interest,""), "")</f>
        <v>470052.46344883373</v>
      </c>
      <c r="H285" s="298">
        <f>IFERROR(IF(Loan_Not_Paid*Values_Entered,Ending_Balance,""), "")</f>
        <v>131513235.84372044</v>
      </c>
    </row>
    <row r="286" spans="2:8">
      <c r="B286" s="300">
        <f>IFERROR(IF(Loan_Not_Paid*Values_Entered,Payment_Number,""), "")</f>
        <v>269</v>
      </c>
      <c r="C286" s="299"/>
      <c r="D286" s="298">
        <f>IFERROR(IF(Loan_Not_Paid*Values_Entered,Beginning_Balance,""), "")</f>
        <v>131513235.84372044</v>
      </c>
      <c r="E286" s="298">
        <f>IFERROR(IF(Loan_Not_Paid*Values_Entered,Monthly_Payment,""), "")</f>
        <v>1677512.1817411617</v>
      </c>
      <c r="F286" s="298">
        <f>IFERROR(IF(Loan_Not_Paid*Values_Entered,Principal,""), "")</f>
        <v>1211736.1381279468</v>
      </c>
      <c r="G286" s="298">
        <f>IFERROR(IF(Loan_Not_Paid*Values_Entered,Interest,""), "")</f>
        <v>465776.04361321509</v>
      </c>
      <c r="H286" s="298">
        <f>IFERROR(IF(Loan_Not_Paid*Values_Entered,Ending_Balance,""), "")</f>
        <v>130301499.70559227</v>
      </c>
    </row>
    <row r="287" spans="2:8">
      <c r="B287" s="300">
        <f>IFERROR(IF(Loan_Not_Paid*Values_Entered,Payment_Number,""), "")</f>
        <v>270</v>
      </c>
      <c r="C287" s="299"/>
      <c r="D287" s="298">
        <f>IFERROR(IF(Loan_Not_Paid*Values_Entered,Beginning_Balance,""), "")</f>
        <v>130301499.70559227</v>
      </c>
      <c r="E287" s="298">
        <f>IFERROR(IF(Loan_Not_Paid*Values_Entered,Monthly_Payment,""), "")</f>
        <v>1677512.1817411617</v>
      </c>
      <c r="F287" s="298">
        <f>IFERROR(IF(Loan_Not_Paid*Values_Entered,Principal,""), "")</f>
        <v>1216027.7036171497</v>
      </c>
      <c r="G287" s="298">
        <f>IFERROR(IF(Loan_Not_Paid*Values_Entered,Interest,""), "")</f>
        <v>461484.47812401189</v>
      </c>
      <c r="H287" s="298">
        <f>IFERROR(IF(Loan_Not_Paid*Values_Entered,Ending_Balance,""), "")</f>
        <v>129085472.00197506</v>
      </c>
    </row>
    <row r="288" spans="2:8">
      <c r="B288" s="300">
        <f>IFERROR(IF(Loan_Not_Paid*Values_Entered,Payment_Number,""), "")</f>
        <v>271</v>
      </c>
      <c r="C288" s="299"/>
      <c r="D288" s="298">
        <f>IFERROR(IF(Loan_Not_Paid*Values_Entered,Beginning_Balance,""), "")</f>
        <v>129085472.00197506</v>
      </c>
      <c r="E288" s="298">
        <f>IFERROR(IF(Loan_Not_Paid*Values_Entered,Monthly_Payment,""), "")</f>
        <v>1677512.1817411617</v>
      </c>
      <c r="F288" s="298">
        <f>IFERROR(IF(Loan_Not_Paid*Values_Entered,Principal,""), "")</f>
        <v>1220334.4684007938</v>
      </c>
      <c r="G288" s="298">
        <f>IFERROR(IF(Loan_Not_Paid*Values_Entered,Interest,""), "")</f>
        <v>457177.71334036783</v>
      </c>
      <c r="H288" s="298">
        <f>IFERROR(IF(Loan_Not_Paid*Values_Entered,Ending_Balance,""), "")</f>
        <v>127865137.5335741</v>
      </c>
    </row>
    <row r="289" spans="2:8">
      <c r="B289" s="300">
        <f>IFERROR(IF(Loan_Not_Paid*Values_Entered,Payment_Number,""), "")</f>
        <v>272</v>
      </c>
      <c r="C289" s="299"/>
      <c r="D289" s="298">
        <f>IFERROR(IF(Loan_Not_Paid*Values_Entered,Beginning_Balance,""), "")</f>
        <v>127865137.5335741</v>
      </c>
      <c r="E289" s="298">
        <f>IFERROR(IF(Loan_Not_Paid*Values_Entered,Monthly_Payment,""), "")</f>
        <v>1677512.1817411617</v>
      </c>
      <c r="F289" s="298">
        <f>IFERROR(IF(Loan_Not_Paid*Values_Entered,Principal,""), "")</f>
        <v>1224656.4863097135</v>
      </c>
      <c r="G289" s="298">
        <f>IFERROR(IF(Loan_Not_Paid*Values_Entered,Interest,""), "")</f>
        <v>452855.6954314484</v>
      </c>
      <c r="H289" s="298">
        <f>IFERROR(IF(Loan_Not_Paid*Values_Entered,Ending_Balance,""), "")</f>
        <v>126640481.04726446</v>
      </c>
    </row>
    <row r="290" spans="2:8">
      <c r="B290" s="300">
        <f>IFERROR(IF(Loan_Not_Paid*Values_Entered,Payment_Number,""), "")</f>
        <v>273</v>
      </c>
      <c r="C290" s="299"/>
      <c r="D290" s="298">
        <f>IFERROR(IF(Loan_Not_Paid*Values_Entered,Beginning_Balance,""), "")</f>
        <v>126640481.04726446</v>
      </c>
      <c r="E290" s="298">
        <f>IFERROR(IF(Loan_Not_Paid*Values_Entered,Monthly_Payment,""), "")</f>
        <v>1677512.1817411617</v>
      </c>
      <c r="F290" s="298">
        <f>IFERROR(IF(Loan_Not_Paid*Values_Entered,Principal,""), "")</f>
        <v>1228993.8113653935</v>
      </c>
      <c r="G290" s="298">
        <f>IFERROR(IF(Loan_Not_Paid*Values_Entered,Interest,""), "")</f>
        <v>448518.37037576817</v>
      </c>
      <c r="H290" s="298">
        <f>IFERROR(IF(Loan_Not_Paid*Values_Entered,Ending_Balance,""), "")</f>
        <v>125411487.23589897</v>
      </c>
    </row>
    <row r="291" spans="2:8">
      <c r="B291" s="300">
        <f>IFERROR(IF(Loan_Not_Paid*Values_Entered,Payment_Number,""), "")</f>
        <v>274</v>
      </c>
      <c r="C291" s="299"/>
      <c r="D291" s="298">
        <f>IFERROR(IF(Loan_Not_Paid*Values_Entered,Beginning_Balance,""), "")</f>
        <v>125411487.23589897</v>
      </c>
      <c r="E291" s="298">
        <f>IFERROR(IF(Loan_Not_Paid*Values_Entered,Monthly_Payment,""), "")</f>
        <v>1677512.1817411617</v>
      </c>
      <c r="F291" s="298">
        <f>IFERROR(IF(Loan_Not_Paid*Values_Entered,Principal,""), "")</f>
        <v>1233346.497780646</v>
      </c>
      <c r="G291" s="298">
        <f>IFERROR(IF(Loan_Not_Paid*Values_Entered,Interest,""), "")</f>
        <v>444165.68396051571</v>
      </c>
      <c r="H291" s="298">
        <f>IFERROR(IF(Loan_Not_Paid*Values_Entered,Ending_Balance,""), "")</f>
        <v>124178140.73811805</v>
      </c>
    </row>
    <row r="292" spans="2:8">
      <c r="B292" s="300">
        <f>IFERROR(IF(Loan_Not_Paid*Values_Entered,Payment_Number,""), "")</f>
        <v>275</v>
      </c>
      <c r="C292" s="299"/>
      <c r="D292" s="298">
        <f>IFERROR(IF(Loan_Not_Paid*Values_Entered,Beginning_Balance,""), "")</f>
        <v>124178140.73811805</v>
      </c>
      <c r="E292" s="298">
        <f>IFERROR(IF(Loan_Not_Paid*Values_Entered,Monthly_Payment,""), "")</f>
        <v>1677512.1817411617</v>
      </c>
      <c r="F292" s="298">
        <f>IFERROR(IF(Loan_Not_Paid*Values_Entered,Principal,""), "")</f>
        <v>1237714.5999602857</v>
      </c>
      <c r="G292" s="298">
        <f>IFERROR(IF(Loan_Not_Paid*Values_Entered,Interest,""), "")</f>
        <v>439797.58178087592</v>
      </c>
      <c r="H292" s="298">
        <f>IFERROR(IF(Loan_Not_Paid*Values_Entered,Ending_Balance,""), "")</f>
        <v>122940426.13815773</v>
      </c>
    </row>
    <row r="293" spans="2:8">
      <c r="B293" s="300">
        <f>IFERROR(IF(Loan_Not_Paid*Values_Entered,Payment_Number,""), "")</f>
        <v>276</v>
      </c>
      <c r="C293" s="299"/>
      <c r="D293" s="298">
        <f>IFERROR(IF(Loan_Not_Paid*Values_Entered,Beginning_Balance,""), "")</f>
        <v>122940426.13815773</v>
      </c>
      <c r="E293" s="298">
        <f>IFERROR(IF(Loan_Not_Paid*Values_Entered,Monthly_Payment,""), "")</f>
        <v>1677512.1817411617</v>
      </c>
      <c r="F293" s="298">
        <f>IFERROR(IF(Loan_Not_Paid*Values_Entered,Principal,""), "")</f>
        <v>1242098.1725018118</v>
      </c>
      <c r="G293" s="298">
        <f>IFERROR(IF(Loan_Not_Paid*Values_Entered,Interest,""), "")</f>
        <v>435414.00923934998</v>
      </c>
      <c r="H293" s="298">
        <f>IFERROR(IF(Loan_Not_Paid*Values_Entered,Ending_Balance,""), "")</f>
        <v>121698327.96565592</v>
      </c>
    </row>
    <row r="294" spans="2:8">
      <c r="B294" s="300">
        <f>IFERROR(IF(Loan_Not_Paid*Values_Entered,Payment_Number,""), "")</f>
        <v>277</v>
      </c>
      <c r="C294" s="299"/>
      <c r="D294" s="298">
        <f>IFERROR(IF(Loan_Not_Paid*Values_Entered,Beginning_Balance,""), "")</f>
        <v>121698327.96565592</v>
      </c>
      <c r="E294" s="298">
        <f>IFERROR(IF(Loan_Not_Paid*Values_Entered,Monthly_Payment,""), "")</f>
        <v>1677512.1817411617</v>
      </c>
      <c r="F294" s="298">
        <f>IFERROR(IF(Loan_Not_Paid*Values_Entered,Principal,""), "")</f>
        <v>1246497.2701960891</v>
      </c>
      <c r="G294" s="298">
        <f>IFERROR(IF(Loan_Not_Paid*Values_Entered,Interest,""), "")</f>
        <v>431014.91154507268</v>
      </c>
      <c r="H294" s="298">
        <f>IFERROR(IF(Loan_Not_Paid*Values_Entered,Ending_Balance,""), "")</f>
        <v>120451830.69545972</v>
      </c>
    </row>
    <row r="295" spans="2:8">
      <c r="B295" s="300">
        <f>IFERROR(IF(Loan_Not_Paid*Values_Entered,Payment_Number,""), "")</f>
        <v>278</v>
      </c>
      <c r="C295" s="299"/>
      <c r="D295" s="298">
        <f>IFERROR(IF(Loan_Not_Paid*Values_Entered,Beginning_Balance,""), "")</f>
        <v>120451830.69545972</v>
      </c>
      <c r="E295" s="298">
        <f>IFERROR(IF(Loan_Not_Paid*Values_Entered,Monthly_Payment,""), "")</f>
        <v>1677512.1817411617</v>
      </c>
      <c r="F295" s="298">
        <f>IFERROR(IF(Loan_Not_Paid*Values_Entered,Principal,""), "")</f>
        <v>1250911.9480280336</v>
      </c>
      <c r="G295" s="298">
        <f>IFERROR(IF(Loan_Not_Paid*Values_Entered,Interest,""), "")</f>
        <v>426600.2337131282</v>
      </c>
      <c r="H295" s="298">
        <f>IFERROR(IF(Loan_Not_Paid*Values_Entered,Ending_Balance,""), "")</f>
        <v>119200918.74743152</v>
      </c>
    </row>
    <row r="296" spans="2:8">
      <c r="B296" s="300">
        <f>IFERROR(IF(Loan_Not_Paid*Values_Entered,Payment_Number,""), "")</f>
        <v>279</v>
      </c>
      <c r="C296" s="299"/>
      <c r="D296" s="298">
        <f>IFERROR(IF(Loan_Not_Paid*Values_Entered,Beginning_Balance,""), "")</f>
        <v>119200918.74743152</v>
      </c>
      <c r="E296" s="298">
        <f>IFERROR(IF(Loan_Not_Paid*Values_Entered,Monthly_Payment,""), "")</f>
        <v>1677512.1817411617</v>
      </c>
      <c r="F296" s="298">
        <f>IFERROR(IF(Loan_Not_Paid*Values_Entered,Principal,""), "")</f>
        <v>1255342.2611772995</v>
      </c>
      <c r="G296" s="298">
        <f>IFERROR(IF(Loan_Not_Paid*Values_Entered,Interest,""), "")</f>
        <v>422169.92056386219</v>
      </c>
      <c r="H296" s="298">
        <f>IFERROR(IF(Loan_Not_Paid*Values_Entered,Ending_Balance,""), "")</f>
        <v>117945576.48625422</v>
      </c>
    </row>
    <row r="297" spans="2:8">
      <c r="B297" s="300">
        <f>IFERROR(IF(Loan_Not_Paid*Values_Entered,Payment_Number,""), "")</f>
        <v>280</v>
      </c>
      <c r="C297" s="299"/>
      <c r="D297" s="298">
        <f>IFERROR(IF(Loan_Not_Paid*Values_Entered,Beginning_Balance,""), "")</f>
        <v>117945576.48625422</v>
      </c>
      <c r="E297" s="298">
        <f>IFERROR(IF(Loan_Not_Paid*Values_Entered,Monthly_Payment,""), "")</f>
        <v>1677512.1817411617</v>
      </c>
      <c r="F297" s="298">
        <f>IFERROR(IF(Loan_Not_Paid*Values_Entered,Principal,""), "")</f>
        <v>1259788.2650189691</v>
      </c>
      <c r="G297" s="298">
        <f>IFERROR(IF(Loan_Not_Paid*Values_Entered,Interest,""), "")</f>
        <v>417723.91672219266</v>
      </c>
      <c r="H297" s="298">
        <f>IFERROR(IF(Loan_Not_Paid*Values_Entered,Ending_Balance,""), "")</f>
        <v>116685788.22123528</v>
      </c>
    </row>
    <row r="298" spans="2:8">
      <c r="B298" s="300">
        <f>IFERROR(IF(Loan_Not_Paid*Values_Entered,Payment_Number,""), "")</f>
        <v>281</v>
      </c>
      <c r="C298" s="299"/>
      <c r="D298" s="298">
        <f>IFERROR(IF(Loan_Not_Paid*Values_Entered,Beginning_Balance,""), "")</f>
        <v>116685788.22123528</v>
      </c>
      <c r="E298" s="298">
        <f>IFERROR(IF(Loan_Not_Paid*Values_Entered,Monthly_Payment,""), "")</f>
        <v>1677512.1817411617</v>
      </c>
      <c r="F298" s="298">
        <f>IFERROR(IF(Loan_Not_Paid*Values_Entered,Principal,""), "")</f>
        <v>1264250.0151242448</v>
      </c>
      <c r="G298" s="298">
        <f>IFERROR(IF(Loan_Not_Paid*Values_Entered,Interest,""), "")</f>
        <v>413262.16661691712</v>
      </c>
      <c r="H298" s="298">
        <f>IFERROR(IF(Loan_Not_Paid*Values_Entered,Ending_Balance,""), "")</f>
        <v>115421538.20611084</v>
      </c>
    </row>
    <row r="299" spans="2:8">
      <c r="B299" s="300">
        <f>IFERROR(IF(Loan_Not_Paid*Values_Entered,Payment_Number,""), "")</f>
        <v>282</v>
      </c>
      <c r="C299" s="299"/>
      <c r="D299" s="298">
        <f>IFERROR(IF(Loan_Not_Paid*Values_Entered,Beginning_Balance,""), "")</f>
        <v>115421538.20611084</v>
      </c>
      <c r="E299" s="298">
        <f>IFERROR(IF(Loan_Not_Paid*Values_Entered,Monthly_Payment,""), "")</f>
        <v>1677512.1817411617</v>
      </c>
      <c r="F299" s="298">
        <f>IFERROR(IF(Loan_Not_Paid*Values_Entered,Principal,""), "")</f>
        <v>1268727.5672611429</v>
      </c>
      <c r="G299" s="298">
        <f>IFERROR(IF(Loan_Not_Paid*Values_Entered,Interest,""), "")</f>
        <v>408784.61448001873</v>
      </c>
      <c r="H299" s="298">
        <f>IFERROR(IF(Loan_Not_Paid*Values_Entered,Ending_Balance,""), "")</f>
        <v>114152810.63884962</v>
      </c>
    </row>
    <row r="300" spans="2:8">
      <c r="B300" s="300">
        <f>IFERROR(IF(Loan_Not_Paid*Values_Entered,Payment_Number,""), "")</f>
        <v>283</v>
      </c>
      <c r="C300" s="299"/>
      <c r="D300" s="298">
        <f>IFERROR(IF(Loan_Not_Paid*Values_Entered,Beginning_Balance,""), "")</f>
        <v>114152810.63884962</v>
      </c>
      <c r="E300" s="298">
        <f>IFERROR(IF(Loan_Not_Paid*Values_Entered,Monthly_Payment,""), "")</f>
        <v>1677512.1817411617</v>
      </c>
      <c r="F300" s="298">
        <f>IFERROR(IF(Loan_Not_Paid*Values_Entered,Principal,""), "")</f>
        <v>1273220.977395193</v>
      </c>
      <c r="G300" s="298">
        <f>IFERROR(IF(Loan_Not_Paid*Values_Entered,Interest,""), "")</f>
        <v>404291.20434596884</v>
      </c>
      <c r="H300" s="298">
        <f>IFERROR(IF(Loan_Not_Paid*Values_Entered,Ending_Balance,""), "")</f>
        <v>112879589.6614542</v>
      </c>
    </row>
    <row r="301" spans="2:8">
      <c r="B301" s="300">
        <f>IFERROR(IF(Loan_Not_Paid*Values_Entered,Payment_Number,""), "")</f>
        <v>284</v>
      </c>
      <c r="C301" s="299"/>
      <c r="D301" s="298">
        <f>IFERROR(IF(Loan_Not_Paid*Values_Entered,Beginning_Balance,""), "")</f>
        <v>112879589.6614542</v>
      </c>
      <c r="E301" s="298">
        <f>IFERROR(IF(Loan_Not_Paid*Values_Entered,Monthly_Payment,""), "")</f>
        <v>1677512.1817411617</v>
      </c>
      <c r="F301" s="298">
        <f>IFERROR(IF(Loan_Not_Paid*Values_Entered,Principal,""), "")</f>
        <v>1277730.3016901342</v>
      </c>
      <c r="G301" s="298">
        <f>IFERROR(IF(Loan_Not_Paid*Values_Entered,Interest,""), "")</f>
        <v>399781.88005102758</v>
      </c>
      <c r="H301" s="298">
        <f>IFERROR(IF(Loan_Not_Paid*Values_Entered,Ending_Balance,""), "")</f>
        <v>111601859.3597641</v>
      </c>
    </row>
    <row r="302" spans="2:8">
      <c r="B302" s="300">
        <f>IFERROR(IF(Loan_Not_Paid*Values_Entered,Payment_Number,""), "")</f>
        <v>285</v>
      </c>
      <c r="C302" s="299"/>
      <c r="D302" s="298">
        <f>IFERROR(IF(Loan_Not_Paid*Values_Entered,Beginning_Balance,""), "")</f>
        <v>111601859.3597641</v>
      </c>
      <c r="E302" s="298">
        <f>IFERROR(IF(Loan_Not_Paid*Values_Entered,Monthly_Payment,""), "")</f>
        <v>1677512.1817411617</v>
      </c>
      <c r="F302" s="298">
        <f>IFERROR(IF(Loan_Not_Paid*Values_Entered,Principal,""), "")</f>
        <v>1282255.5965086201</v>
      </c>
      <c r="G302" s="298">
        <f>IFERROR(IF(Loan_Not_Paid*Values_Entered,Interest,""), "")</f>
        <v>395256.58523254166</v>
      </c>
      <c r="H302" s="298">
        <f>IFERROR(IF(Loan_Not_Paid*Values_Entered,Ending_Balance,""), "")</f>
        <v>110319603.76325548</v>
      </c>
    </row>
    <row r="303" spans="2:8">
      <c r="B303" s="300">
        <f>IFERROR(IF(Loan_Not_Paid*Values_Entered,Payment_Number,""), "")</f>
        <v>286</v>
      </c>
      <c r="C303" s="299"/>
      <c r="D303" s="298">
        <f>IFERROR(IF(Loan_Not_Paid*Values_Entered,Beginning_Balance,""), "")</f>
        <v>110319603.76325548</v>
      </c>
      <c r="E303" s="298">
        <f>IFERROR(IF(Loan_Not_Paid*Values_Entered,Monthly_Payment,""), "")</f>
        <v>1677512.1817411617</v>
      </c>
      <c r="F303" s="298">
        <f>IFERROR(IF(Loan_Not_Paid*Values_Entered,Principal,""), "")</f>
        <v>1286796.9184129215</v>
      </c>
      <c r="G303" s="298">
        <f>IFERROR(IF(Loan_Not_Paid*Values_Entered,Interest,""), "")</f>
        <v>390715.26332824025</v>
      </c>
      <c r="H303" s="298">
        <f>IFERROR(IF(Loan_Not_Paid*Values_Entered,Ending_Balance,""), "")</f>
        <v>109032806.84484243</v>
      </c>
    </row>
    <row r="304" spans="2:8">
      <c r="B304" s="300">
        <f>IFERROR(IF(Loan_Not_Paid*Values_Entered,Payment_Number,""), "")</f>
        <v>287</v>
      </c>
      <c r="C304" s="299"/>
      <c r="D304" s="298">
        <f>IFERROR(IF(Loan_Not_Paid*Values_Entered,Beginning_Balance,""), "")</f>
        <v>109032806.84484243</v>
      </c>
      <c r="E304" s="298">
        <f>IFERROR(IF(Loan_Not_Paid*Values_Entered,Monthly_Payment,""), "")</f>
        <v>1677512.1817411617</v>
      </c>
      <c r="F304" s="298">
        <f>IFERROR(IF(Loan_Not_Paid*Values_Entered,Principal,""), "")</f>
        <v>1291354.3241656336</v>
      </c>
      <c r="G304" s="298">
        <f>IFERROR(IF(Loan_Not_Paid*Values_Entered,Interest,""), "")</f>
        <v>386157.85757552786</v>
      </c>
      <c r="H304" s="298">
        <f>IFERROR(IF(Loan_Not_Paid*Values_Entered,Ending_Balance,""), "")</f>
        <v>107741452.52067661</v>
      </c>
    </row>
    <row r="305" spans="2:8">
      <c r="B305" s="300">
        <f>IFERROR(IF(Loan_Not_Paid*Values_Entered,Payment_Number,""), "")</f>
        <v>288</v>
      </c>
      <c r="C305" s="299"/>
      <c r="D305" s="298">
        <f>IFERROR(IF(Loan_Not_Paid*Values_Entered,Beginning_Balance,""), "")</f>
        <v>107741452.52067661</v>
      </c>
      <c r="E305" s="298">
        <f>IFERROR(IF(Loan_Not_Paid*Values_Entered,Monthly_Payment,""), "")</f>
        <v>1677512.1817411617</v>
      </c>
      <c r="F305" s="298">
        <f>IFERROR(IF(Loan_Not_Paid*Values_Entered,Principal,""), "")</f>
        <v>1295927.8707303873</v>
      </c>
      <c r="G305" s="298">
        <f>IFERROR(IF(Loan_Not_Paid*Values_Entered,Interest,""), "")</f>
        <v>381584.31101077463</v>
      </c>
      <c r="H305" s="298">
        <f>IFERROR(IF(Loan_Not_Paid*Values_Entered,Ending_Balance,""), "")</f>
        <v>106445524.64994621</v>
      </c>
    </row>
    <row r="306" spans="2:8">
      <c r="B306" s="300">
        <f>IFERROR(IF(Loan_Not_Paid*Values_Entered,Payment_Number,""), "")</f>
        <v>289</v>
      </c>
      <c r="C306" s="299"/>
      <c r="D306" s="298">
        <f>IFERROR(IF(Loan_Not_Paid*Values_Entered,Beginning_Balance,""), "")</f>
        <v>106445524.64994621</v>
      </c>
      <c r="E306" s="298">
        <f>IFERROR(IF(Loan_Not_Paid*Values_Entered,Monthly_Payment,""), "")</f>
        <v>1677512.1817411617</v>
      </c>
      <c r="F306" s="298">
        <f>IFERROR(IF(Loan_Not_Paid*Values_Entered,Principal,""), "")</f>
        <v>1300517.6152725571</v>
      </c>
      <c r="G306" s="298">
        <f>IFERROR(IF(Loan_Not_Paid*Values_Entered,Interest,""), "")</f>
        <v>376994.56646860443</v>
      </c>
      <c r="H306" s="298">
        <f>IFERROR(IF(Loan_Not_Paid*Values_Entered,Ending_Balance,""), "")</f>
        <v>105145007.03467357</v>
      </c>
    </row>
    <row r="307" spans="2:8">
      <c r="B307" s="300">
        <f>IFERROR(IF(Loan_Not_Paid*Values_Entered,Payment_Number,""), "")</f>
        <v>290</v>
      </c>
      <c r="C307" s="299"/>
      <c r="D307" s="298">
        <f>IFERROR(IF(Loan_Not_Paid*Values_Entered,Beginning_Balance,""), "")</f>
        <v>105145007.03467357</v>
      </c>
      <c r="E307" s="298">
        <f>IFERROR(IF(Loan_Not_Paid*Values_Entered,Monthly_Payment,""), "")</f>
        <v>1677512.1817411617</v>
      </c>
      <c r="F307" s="298">
        <f>IFERROR(IF(Loan_Not_Paid*Values_Entered,Principal,""), "")</f>
        <v>1305123.615159981</v>
      </c>
      <c r="G307" s="298">
        <f>IFERROR(IF(Loan_Not_Paid*Values_Entered,Interest,""), "")</f>
        <v>372388.5665811809</v>
      </c>
      <c r="H307" s="298">
        <f>IFERROR(IF(Loan_Not_Paid*Values_Entered,Ending_Balance,""), "")</f>
        <v>103839883.41951346</v>
      </c>
    </row>
    <row r="308" spans="2:8">
      <c r="B308" s="300">
        <f>IFERROR(IF(Loan_Not_Paid*Values_Entered,Payment_Number,""), "")</f>
        <v>291</v>
      </c>
      <c r="C308" s="299"/>
      <c r="D308" s="298">
        <f>IFERROR(IF(Loan_Not_Paid*Values_Entered,Beginning_Balance,""), "")</f>
        <v>103839883.41951346</v>
      </c>
      <c r="E308" s="298">
        <f>IFERROR(IF(Loan_Not_Paid*Values_Entered,Monthly_Payment,""), "")</f>
        <v>1677512.1817411617</v>
      </c>
      <c r="F308" s="298">
        <f>IFERROR(IF(Loan_Not_Paid*Values_Entered,Principal,""), "")</f>
        <v>1309745.9279636727</v>
      </c>
      <c r="G308" s="298">
        <f>IFERROR(IF(Loan_Not_Paid*Values_Entered,Interest,""), "")</f>
        <v>367766.25377748918</v>
      </c>
      <c r="H308" s="298">
        <f>IFERROR(IF(Loan_Not_Paid*Values_Entered,Ending_Balance,""), "")</f>
        <v>102530137.49154973</v>
      </c>
    </row>
    <row r="309" spans="2:8">
      <c r="B309" s="300">
        <f>IFERROR(IF(Loan_Not_Paid*Values_Entered,Payment_Number,""), "")</f>
        <v>292</v>
      </c>
      <c r="C309" s="299"/>
      <c r="D309" s="298">
        <f>IFERROR(IF(Loan_Not_Paid*Values_Entered,Beginning_Balance,""), "")</f>
        <v>102530137.49154973</v>
      </c>
      <c r="E309" s="298">
        <f>IFERROR(IF(Loan_Not_Paid*Values_Entered,Monthly_Payment,""), "")</f>
        <v>1677512.1817411617</v>
      </c>
      <c r="F309" s="298">
        <f>IFERROR(IF(Loan_Not_Paid*Values_Entered,Principal,""), "")</f>
        <v>1314384.6114585439</v>
      </c>
      <c r="G309" s="298">
        <f>IFERROR(IF(Loan_Not_Paid*Values_Entered,Interest,""), "")</f>
        <v>363127.57028261787</v>
      </c>
      <c r="H309" s="298">
        <f>IFERROR(IF(Loan_Not_Paid*Values_Entered,Ending_Balance,""), "")</f>
        <v>101215752.88009107</v>
      </c>
    </row>
    <row r="310" spans="2:8">
      <c r="B310" s="300">
        <f>IFERROR(IF(Loan_Not_Paid*Values_Entered,Payment_Number,""), "")</f>
        <v>293</v>
      </c>
      <c r="C310" s="299"/>
      <c r="D310" s="298">
        <f>IFERROR(IF(Loan_Not_Paid*Values_Entered,Beginning_Balance,""), "")</f>
        <v>101215752.88009107</v>
      </c>
      <c r="E310" s="298">
        <f>IFERROR(IF(Loan_Not_Paid*Values_Entered,Monthly_Payment,""), "")</f>
        <v>1677512.1817411617</v>
      </c>
      <c r="F310" s="298">
        <f>IFERROR(IF(Loan_Not_Paid*Values_Entered,Principal,""), "")</f>
        <v>1319039.7236241263</v>
      </c>
      <c r="G310" s="298">
        <f>IFERROR(IF(Loan_Not_Paid*Values_Entered,Interest,""), "")</f>
        <v>358472.45811703545</v>
      </c>
      <c r="H310" s="298">
        <f>IFERROR(IF(Loan_Not_Paid*Values_Entered,Ending_Balance,""), "")</f>
        <v>99896713.156466842</v>
      </c>
    </row>
    <row r="311" spans="2:8">
      <c r="B311" s="300">
        <f>IFERROR(IF(Loan_Not_Paid*Values_Entered,Payment_Number,""), "")</f>
        <v>294</v>
      </c>
      <c r="C311" s="299"/>
      <c r="D311" s="298">
        <f>IFERROR(IF(Loan_Not_Paid*Values_Entered,Beginning_Balance,""), "")</f>
        <v>99896713.156466842</v>
      </c>
      <c r="E311" s="298">
        <f>IFERROR(IF(Loan_Not_Paid*Values_Entered,Monthly_Payment,""), "")</f>
        <v>1677512.1817411617</v>
      </c>
      <c r="F311" s="298">
        <f>IFERROR(IF(Loan_Not_Paid*Values_Entered,Principal,""), "")</f>
        <v>1323711.3226452949</v>
      </c>
      <c r="G311" s="298">
        <f>IFERROR(IF(Loan_Not_Paid*Values_Entered,Interest,""), "")</f>
        <v>353800.85909586673</v>
      </c>
      <c r="H311" s="298">
        <f>IFERROR(IF(Loan_Not_Paid*Values_Entered,Ending_Balance,""), "")</f>
        <v>98573001.833821535</v>
      </c>
    </row>
    <row r="312" spans="2:8">
      <c r="B312" s="300">
        <f>IFERROR(IF(Loan_Not_Paid*Values_Entered,Payment_Number,""), "")</f>
        <v>295</v>
      </c>
      <c r="C312" s="299"/>
      <c r="D312" s="298">
        <f>IFERROR(IF(Loan_Not_Paid*Values_Entered,Beginning_Balance,""), "")</f>
        <v>98573001.833821535</v>
      </c>
      <c r="E312" s="298">
        <f>IFERROR(IF(Loan_Not_Paid*Values_Entered,Monthly_Payment,""), "")</f>
        <v>1677512.1817411617</v>
      </c>
      <c r="F312" s="298">
        <f>IFERROR(IF(Loan_Not_Paid*Values_Entered,Principal,""), "")</f>
        <v>1328399.4669129972</v>
      </c>
      <c r="G312" s="298">
        <f>IFERROR(IF(Loan_Not_Paid*Values_Entered,Interest,""), "")</f>
        <v>349112.71482816467</v>
      </c>
      <c r="H312" s="298">
        <f>IFERROR(IF(Loan_Not_Paid*Values_Entered,Ending_Balance,""), "")</f>
        <v>97244602.366908312</v>
      </c>
    </row>
    <row r="313" spans="2:8">
      <c r="B313" s="300">
        <f>IFERROR(IF(Loan_Not_Paid*Values_Entered,Payment_Number,""), "")</f>
        <v>296</v>
      </c>
      <c r="C313" s="299"/>
      <c r="D313" s="298">
        <f>IFERROR(IF(Loan_Not_Paid*Values_Entered,Beginning_Balance,""), "")</f>
        <v>97244602.366908312</v>
      </c>
      <c r="E313" s="298">
        <f>IFERROR(IF(Loan_Not_Paid*Values_Entered,Monthly_Payment,""), "")</f>
        <v>1677512.1817411617</v>
      </c>
      <c r="F313" s="298">
        <f>IFERROR(IF(Loan_Not_Paid*Values_Entered,Principal,""), "")</f>
        <v>1333104.2150249805</v>
      </c>
      <c r="G313" s="298">
        <f>IFERROR(IF(Loan_Not_Paid*Values_Entered,Interest,""), "")</f>
        <v>344407.96671618108</v>
      </c>
      <c r="H313" s="298">
        <f>IFERROR(IF(Loan_Not_Paid*Values_Entered,Ending_Balance,""), "")</f>
        <v>95911498.151883245</v>
      </c>
    </row>
    <row r="314" spans="2:8">
      <c r="B314" s="300">
        <f>IFERROR(IF(Loan_Not_Paid*Values_Entered,Payment_Number,""), "")</f>
        <v>297</v>
      </c>
      <c r="C314" s="299"/>
      <c r="D314" s="298">
        <f>IFERROR(IF(Loan_Not_Paid*Values_Entered,Beginning_Balance,""), "")</f>
        <v>95911498.151883245</v>
      </c>
      <c r="E314" s="298">
        <f>IFERROR(IF(Loan_Not_Paid*Values_Entered,Monthly_Payment,""), "")</f>
        <v>1677512.1817411617</v>
      </c>
      <c r="F314" s="298">
        <f>IFERROR(IF(Loan_Not_Paid*Values_Entered,Principal,""), "")</f>
        <v>1337825.6257865275</v>
      </c>
      <c r="G314" s="298">
        <f>IFERROR(IF(Loan_Not_Paid*Values_Entered,Interest,""), "")</f>
        <v>339686.55595463427</v>
      </c>
      <c r="H314" s="298">
        <f>IFERROR(IF(Loan_Not_Paid*Values_Entered,Ending_Balance,""), "")</f>
        <v>94573672.526096702</v>
      </c>
    </row>
    <row r="315" spans="2:8">
      <c r="B315" s="300">
        <f>IFERROR(IF(Loan_Not_Paid*Values_Entered,Payment_Number,""), "")</f>
        <v>298</v>
      </c>
      <c r="C315" s="299"/>
      <c r="D315" s="298">
        <f>IFERROR(IF(Loan_Not_Paid*Values_Entered,Beginning_Balance,""), "")</f>
        <v>94573672.526096702</v>
      </c>
      <c r="E315" s="298">
        <f>IFERROR(IF(Loan_Not_Paid*Values_Entered,Monthly_Payment,""), "")</f>
        <v>1677512.1817411617</v>
      </c>
      <c r="F315" s="298">
        <f>IFERROR(IF(Loan_Not_Paid*Values_Entered,Principal,""), "")</f>
        <v>1342563.758211188</v>
      </c>
      <c r="G315" s="298">
        <f>IFERROR(IF(Loan_Not_Paid*Values_Entered,Interest,""), "")</f>
        <v>334948.42352997372</v>
      </c>
      <c r="H315" s="298">
        <f>IFERROR(IF(Loan_Not_Paid*Values_Entered,Ending_Balance,""), "")</f>
        <v>93231108.767885327</v>
      </c>
    </row>
    <row r="316" spans="2:8">
      <c r="B316" s="300">
        <f>IFERROR(IF(Loan_Not_Paid*Values_Entered,Payment_Number,""), "")</f>
        <v>299</v>
      </c>
      <c r="C316" s="299"/>
      <c r="D316" s="298">
        <f>IFERROR(IF(Loan_Not_Paid*Values_Entered,Beginning_Balance,""), "")</f>
        <v>93231108.767885327</v>
      </c>
      <c r="E316" s="298">
        <f>IFERROR(IF(Loan_Not_Paid*Values_Entered,Monthly_Payment,""), "")</f>
        <v>1677512.1817411617</v>
      </c>
      <c r="F316" s="298">
        <f>IFERROR(IF(Loan_Not_Paid*Values_Entered,Principal,""), "")</f>
        <v>1347318.6715215195</v>
      </c>
      <c r="G316" s="298">
        <f>IFERROR(IF(Loan_Not_Paid*Values_Entered,Interest,""), "")</f>
        <v>330193.51021964237</v>
      </c>
      <c r="H316" s="298">
        <f>IFERROR(IF(Loan_Not_Paid*Values_Entered,Ending_Balance,""), "")</f>
        <v>91883790.096363783</v>
      </c>
    </row>
    <row r="317" spans="2:8">
      <c r="B317" s="300">
        <f>IFERROR(IF(Loan_Not_Paid*Values_Entered,Payment_Number,""), "")</f>
        <v>300</v>
      </c>
      <c r="C317" s="299"/>
      <c r="D317" s="298">
        <f>IFERROR(IF(Loan_Not_Paid*Values_Entered,Beginning_Balance,""), "")</f>
        <v>91883790.096363783</v>
      </c>
      <c r="E317" s="298">
        <f>IFERROR(IF(Loan_Not_Paid*Values_Entered,Monthly_Payment,""), "")</f>
        <v>1677512.1817411617</v>
      </c>
      <c r="F317" s="298">
        <f>IFERROR(IF(Loan_Not_Paid*Values_Entered,Principal,""), "")</f>
        <v>1352090.4251498247</v>
      </c>
      <c r="G317" s="298">
        <f>IFERROR(IF(Loan_Not_Paid*Values_Entered,Interest,""), "")</f>
        <v>325421.75659133709</v>
      </c>
      <c r="H317" s="298">
        <f>IFERROR(IF(Loan_Not_Paid*Values_Entered,Ending_Balance,""), "")</f>
        <v>90531699.671213984</v>
      </c>
    </row>
    <row r="318" spans="2:8">
      <c r="B318" s="300">
        <f>IFERROR(IF(Loan_Not_Paid*Values_Entered,Payment_Number,""), "")</f>
        <v>301</v>
      </c>
      <c r="C318" s="299"/>
      <c r="D318" s="298">
        <f>IFERROR(IF(Loan_Not_Paid*Values_Entered,Beginning_Balance,""), "")</f>
        <v>90531699.671213984</v>
      </c>
      <c r="E318" s="298">
        <f>IFERROR(IF(Loan_Not_Paid*Values_Entered,Monthly_Payment,""), "")</f>
        <v>1677512.1817411617</v>
      </c>
      <c r="F318" s="298">
        <f>IFERROR(IF(Loan_Not_Paid*Values_Entered,Principal,""), "")</f>
        <v>1356879.0787388969</v>
      </c>
      <c r="G318" s="298">
        <f>IFERROR(IF(Loan_Not_Paid*Values_Entered,Interest,""), "")</f>
        <v>320633.10300226475</v>
      </c>
      <c r="H318" s="298">
        <f>IFERROR(IF(Loan_Not_Paid*Values_Entered,Ending_Balance,""), "")</f>
        <v>89174820.592474937</v>
      </c>
    </row>
    <row r="319" spans="2:8">
      <c r="B319" s="300">
        <f>IFERROR(IF(Loan_Not_Paid*Values_Entered,Payment_Number,""), "")</f>
        <v>302</v>
      </c>
      <c r="C319" s="299"/>
      <c r="D319" s="298">
        <f>IFERROR(IF(Loan_Not_Paid*Values_Entered,Beginning_Balance,""), "")</f>
        <v>89174820.592474937</v>
      </c>
      <c r="E319" s="298">
        <f>IFERROR(IF(Loan_Not_Paid*Values_Entered,Monthly_Payment,""), "")</f>
        <v>1677512.1817411617</v>
      </c>
      <c r="F319" s="298">
        <f>IFERROR(IF(Loan_Not_Paid*Values_Entered,Principal,""), "")</f>
        <v>1361684.6921427639</v>
      </c>
      <c r="G319" s="298">
        <f>IFERROR(IF(Loan_Not_Paid*Values_Entered,Interest,""), "")</f>
        <v>315827.48959839786</v>
      </c>
      <c r="H319" s="298">
        <f>IFERROR(IF(Loan_Not_Paid*Values_Entered,Ending_Balance,""), "")</f>
        <v>87813135.900331855</v>
      </c>
    </row>
    <row r="320" spans="2:8">
      <c r="B320" s="300">
        <f>IFERROR(IF(Loan_Not_Paid*Values_Entered,Payment_Number,""), "")</f>
        <v>303</v>
      </c>
      <c r="C320" s="299"/>
      <c r="D320" s="298">
        <f>IFERROR(IF(Loan_Not_Paid*Values_Entered,Beginning_Balance,""), "")</f>
        <v>87813135.900331855</v>
      </c>
      <c r="E320" s="298">
        <f>IFERROR(IF(Loan_Not_Paid*Values_Entered,Monthly_Payment,""), "")</f>
        <v>1677512.1817411617</v>
      </c>
      <c r="F320" s="298">
        <f>IFERROR(IF(Loan_Not_Paid*Values_Entered,Principal,""), "")</f>
        <v>1366507.3254274363</v>
      </c>
      <c r="G320" s="298">
        <f>IFERROR(IF(Loan_Not_Paid*Values_Entered,Interest,""), "")</f>
        <v>311004.85631372547</v>
      </c>
      <c r="H320" s="298">
        <f>IFERROR(IF(Loan_Not_Paid*Values_Entered,Ending_Balance,""), "")</f>
        <v>86446628.574904561</v>
      </c>
    </row>
    <row r="321" spans="2:8">
      <c r="B321" s="300">
        <f>IFERROR(IF(Loan_Not_Paid*Values_Entered,Payment_Number,""), "")</f>
        <v>304</v>
      </c>
      <c r="C321" s="299"/>
      <c r="D321" s="298">
        <f>IFERROR(IF(Loan_Not_Paid*Values_Entered,Beginning_Balance,""), "")</f>
        <v>86446628.574904561</v>
      </c>
      <c r="E321" s="298">
        <f>IFERROR(IF(Loan_Not_Paid*Values_Entered,Monthly_Payment,""), "")</f>
        <v>1677512.1817411617</v>
      </c>
      <c r="F321" s="298">
        <f>IFERROR(IF(Loan_Not_Paid*Values_Entered,Principal,""), "")</f>
        <v>1371347.0388716585</v>
      </c>
      <c r="G321" s="298">
        <f>IFERROR(IF(Loan_Not_Paid*Values_Entered,Interest,""), "")</f>
        <v>306165.14286950335</v>
      </c>
      <c r="H321" s="298">
        <f>IFERROR(IF(Loan_Not_Paid*Values_Entered,Ending_Balance,""), "")</f>
        <v>85075281.536032796</v>
      </c>
    </row>
    <row r="322" spans="2:8">
      <c r="B322" s="300">
        <f>IFERROR(IF(Loan_Not_Paid*Values_Entered,Payment_Number,""), "")</f>
        <v>305</v>
      </c>
      <c r="C322" s="299"/>
      <c r="D322" s="298">
        <f>IFERROR(IF(Loan_Not_Paid*Values_Entered,Beginning_Balance,""), "")</f>
        <v>85075281.536032796</v>
      </c>
      <c r="E322" s="298">
        <f>IFERROR(IF(Loan_Not_Paid*Values_Entered,Monthly_Payment,""), "")</f>
        <v>1677512.1817411617</v>
      </c>
      <c r="F322" s="298">
        <f>IFERROR(IF(Loan_Not_Paid*Values_Entered,Principal,""), "")</f>
        <v>1376203.8929676621</v>
      </c>
      <c r="G322" s="298">
        <f>IFERROR(IF(Loan_Not_Paid*Values_Entered,Interest,""), "")</f>
        <v>301308.28877349955</v>
      </c>
      <c r="H322" s="298">
        <f>IFERROR(IF(Loan_Not_Paid*Values_Entered,Ending_Balance,""), "")</f>
        <v>83699077.643065214</v>
      </c>
    </row>
    <row r="323" spans="2:8">
      <c r="B323" s="300">
        <f>IFERROR(IF(Loan_Not_Paid*Values_Entered,Payment_Number,""), "")</f>
        <v>306</v>
      </c>
      <c r="C323" s="299"/>
      <c r="D323" s="298">
        <f>IFERROR(IF(Loan_Not_Paid*Values_Entered,Beginning_Balance,""), "")</f>
        <v>83699077.643065214</v>
      </c>
      <c r="E323" s="298">
        <f>IFERROR(IF(Loan_Not_Paid*Values_Entered,Monthly_Payment,""), "")</f>
        <v>1677512.1817411617</v>
      </c>
      <c r="F323" s="298">
        <f>IFERROR(IF(Loan_Not_Paid*Values_Entered,Principal,""), "")</f>
        <v>1381077.9484219225</v>
      </c>
      <c r="G323" s="298">
        <f>IFERROR(IF(Loan_Not_Paid*Values_Entered,Interest,""), "")</f>
        <v>296434.23331923911</v>
      </c>
      <c r="H323" s="298">
        <f>IFERROR(IF(Loan_Not_Paid*Values_Entered,Ending_Balance,""), "")</f>
        <v>82317999.694642901</v>
      </c>
    </row>
    <row r="324" spans="2:8">
      <c r="B324" s="300">
        <f>IFERROR(IF(Loan_Not_Paid*Values_Entered,Payment_Number,""), "")</f>
        <v>307</v>
      </c>
      <c r="C324" s="299"/>
      <c r="D324" s="298">
        <f>IFERROR(IF(Loan_Not_Paid*Values_Entered,Beginning_Balance,""), "")</f>
        <v>82317999.694642901</v>
      </c>
      <c r="E324" s="298">
        <f>IFERROR(IF(Loan_Not_Paid*Values_Entered,Monthly_Payment,""), "")</f>
        <v>1677512.1817411617</v>
      </c>
      <c r="F324" s="298">
        <f>IFERROR(IF(Loan_Not_Paid*Values_Entered,Principal,""), "")</f>
        <v>1385969.266155917</v>
      </c>
      <c r="G324" s="298">
        <f>IFERROR(IF(Loan_Not_Paid*Values_Entered,Interest,""), "")</f>
        <v>291542.91558524477</v>
      </c>
      <c r="H324" s="298">
        <f>IFERROR(IF(Loan_Not_Paid*Values_Entered,Ending_Balance,""), "")</f>
        <v>80932030.428487062</v>
      </c>
    </row>
    <row r="325" spans="2:8">
      <c r="B325" s="300">
        <f>IFERROR(IF(Loan_Not_Paid*Values_Entered,Payment_Number,""), "")</f>
        <v>308</v>
      </c>
      <c r="C325" s="299"/>
      <c r="D325" s="298">
        <f>IFERROR(IF(Loan_Not_Paid*Values_Entered,Beginning_Balance,""), "")</f>
        <v>80932030.428487062</v>
      </c>
      <c r="E325" s="298">
        <f>IFERROR(IF(Loan_Not_Paid*Values_Entered,Monthly_Payment,""), "")</f>
        <v>1677512.1817411617</v>
      </c>
      <c r="F325" s="298">
        <f>IFERROR(IF(Loan_Not_Paid*Values_Entered,Principal,""), "")</f>
        <v>1390877.9073068858</v>
      </c>
      <c r="G325" s="298">
        <f>IFERROR(IF(Loan_Not_Paid*Values_Entered,Interest,""), "")</f>
        <v>286634.27443427587</v>
      </c>
      <c r="H325" s="298">
        <f>IFERROR(IF(Loan_Not_Paid*Values_Entered,Ending_Balance,""), "")</f>
        <v>79541152.521180034</v>
      </c>
    </row>
    <row r="326" spans="2:8">
      <c r="B326" s="300">
        <f>IFERROR(IF(Loan_Not_Paid*Values_Entered,Payment_Number,""), "")</f>
        <v>309</v>
      </c>
      <c r="C326" s="299"/>
      <c r="D326" s="298">
        <f>IFERROR(IF(Loan_Not_Paid*Values_Entered,Beginning_Balance,""), "")</f>
        <v>79541152.521180034</v>
      </c>
      <c r="E326" s="298">
        <f>IFERROR(IF(Loan_Not_Paid*Values_Entered,Monthly_Payment,""), "")</f>
        <v>1677512.1817411617</v>
      </c>
      <c r="F326" s="298">
        <f>IFERROR(IF(Loan_Not_Paid*Values_Entered,Principal,""), "")</f>
        <v>1395803.9332285977</v>
      </c>
      <c r="G326" s="298">
        <f>IFERROR(IF(Loan_Not_Paid*Values_Entered,Interest,""), "")</f>
        <v>281708.24851256399</v>
      </c>
      <c r="H326" s="298">
        <f>IFERROR(IF(Loan_Not_Paid*Values_Entered,Ending_Balance,""), "")</f>
        <v>78145348.587951422</v>
      </c>
    </row>
    <row r="327" spans="2:8">
      <c r="B327" s="300">
        <f>IFERROR(IF(Loan_Not_Paid*Values_Entered,Payment_Number,""), "")</f>
        <v>310</v>
      </c>
      <c r="C327" s="299"/>
      <c r="D327" s="298">
        <f>IFERROR(IF(Loan_Not_Paid*Values_Entered,Beginning_Balance,""), "")</f>
        <v>78145348.587951422</v>
      </c>
      <c r="E327" s="298">
        <f>IFERROR(IF(Loan_Not_Paid*Values_Entered,Monthly_Payment,""), "")</f>
        <v>1677512.1817411617</v>
      </c>
      <c r="F327" s="298">
        <f>IFERROR(IF(Loan_Not_Paid*Values_Entered,Principal,""), "")</f>
        <v>1400747.4054921155</v>
      </c>
      <c r="G327" s="298">
        <f>IFERROR(IF(Loan_Not_Paid*Values_Entered,Interest,""), "")</f>
        <v>276764.77624904597</v>
      </c>
      <c r="H327" s="298">
        <f>IFERROR(IF(Loan_Not_Paid*Values_Entered,Ending_Balance,""), "")</f>
        <v>76744601.182458878</v>
      </c>
    </row>
    <row r="328" spans="2:8">
      <c r="B328" s="300">
        <f>IFERROR(IF(Loan_Not_Paid*Values_Entered,Payment_Number,""), "")</f>
        <v>311</v>
      </c>
      <c r="C328" s="299"/>
      <c r="D328" s="298">
        <f>IFERROR(IF(Loan_Not_Paid*Values_Entered,Beginning_Balance,""), "")</f>
        <v>76744601.182458878</v>
      </c>
      <c r="E328" s="298">
        <f>IFERROR(IF(Loan_Not_Paid*Values_Entered,Monthly_Payment,""), "")</f>
        <v>1677512.1817411617</v>
      </c>
      <c r="F328" s="298">
        <f>IFERROR(IF(Loan_Not_Paid*Values_Entered,Principal,""), "")</f>
        <v>1405708.3858865669</v>
      </c>
      <c r="G328" s="298">
        <f>IFERROR(IF(Loan_Not_Paid*Values_Entered,Interest,""), "")</f>
        <v>271803.79585459473</v>
      </c>
      <c r="H328" s="298">
        <f>IFERROR(IF(Loan_Not_Paid*Values_Entered,Ending_Balance,""), "")</f>
        <v>75338892.796572208</v>
      </c>
    </row>
    <row r="329" spans="2:8">
      <c r="B329" s="300">
        <f>IFERROR(IF(Loan_Not_Paid*Values_Entered,Payment_Number,""), "")</f>
        <v>312</v>
      </c>
      <c r="C329" s="299"/>
      <c r="D329" s="298">
        <f>IFERROR(IF(Loan_Not_Paid*Values_Entered,Beginning_Balance,""), "")</f>
        <v>75338892.796572208</v>
      </c>
      <c r="E329" s="298">
        <f>IFERROR(IF(Loan_Not_Paid*Values_Entered,Monthly_Payment,""), "")</f>
        <v>1677512.1817411617</v>
      </c>
      <c r="F329" s="298">
        <f>IFERROR(IF(Loan_Not_Paid*Values_Entered,Principal,""), "")</f>
        <v>1410686.9364199152</v>
      </c>
      <c r="G329" s="298">
        <f>IFERROR(IF(Loan_Not_Paid*Values_Entered,Interest,""), "")</f>
        <v>266825.24532124656</v>
      </c>
      <c r="H329" s="298">
        <f>IFERROR(IF(Loan_Not_Paid*Values_Entered,Ending_Balance,""), "")</f>
        <v>73928205.860152483</v>
      </c>
    </row>
    <row r="330" spans="2:8">
      <c r="B330" s="300">
        <f>IFERROR(IF(Loan_Not_Paid*Values_Entered,Payment_Number,""), "")</f>
        <v>313</v>
      </c>
      <c r="C330" s="299"/>
      <c r="D330" s="298">
        <f>IFERROR(IF(Loan_Not_Paid*Values_Entered,Beginning_Balance,""), "")</f>
        <v>73928205.860152483</v>
      </c>
      <c r="E330" s="298">
        <f>IFERROR(IF(Loan_Not_Paid*Values_Entered,Monthly_Payment,""), "")</f>
        <v>1677512.1817411617</v>
      </c>
      <c r="F330" s="298">
        <f>IFERROR(IF(Loan_Not_Paid*Values_Entered,Principal,""), "")</f>
        <v>1415683.1193197358</v>
      </c>
      <c r="G330" s="298">
        <f>IFERROR(IF(Loan_Not_Paid*Values_Entered,Interest,""), "")</f>
        <v>261829.062421426</v>
      </c>
      <c r="H330" s="298">
        <f>IFERROR(IF(Loan_Not_Paid*Values_Entered,Ending_Balance,""), "")</f>
        <v>72512522.740832567</v>
      </c>
    </row>
    <row r="331" spans="2:8">
      <c r="B331" s="300">
        <f>IFERROR(IF(Loan_Not_Paid*Values_Entered,Payment_Number,""), "")</f>
        <v>314</v>
      </c>
      <c r="C331" s="299"/>
      <c r="D331" s="298">
        <f>IFERROR(IF(Loan_Not_Paid*Values_Entered,Beginning_Balance,""), "")</f>
        <v>72512522.740832567</v>
      </c>
      <c r="E331" s="298">
        <f>IFERROR(IF(Loan_Not_Paid*Values_Entered,Monthly_Payment,""), "")</f>
        <v>1677512.1817411617</v>
      </c>
      <c r="F331" s="298">
        <f>IFERROR(IF(Loan_Not_Paid*Values_Entered,Principal,""), "")</f>
        <v>1420696.9970339932</v>
      </c>
      <c r="G331" s="298">
        <f>IFERROR(IF(Loan_Not_Paid*Values_Entered,Interest,""), "")</f>
        <v>256815.18470716861</v>
      </c>
      <c r="H331" s="298">
        <f>IFERROR(IF(Loan_Not_Paid*Values_Entered,Ending_Balance,""), "")</f>
        <v>71091825.743798494</v>
      </c>
    </row>
    <row r="332" spans="2:8">
      <c r="B332" s="300">
        <f>IFERROR(IF(Loan_Not_Paid*Values_Entered,Payment_Number,""), "")</f>
        <v>315</v>
      </c>
      <c r="C332" s="299"/>
      <c r="D332" s="298">
        <f>IFERROR(IF(Loan_Not_Paid*Values_Entered,Beginning_Balance,""), "")</f>
        <v>71091825.743798494</v>
      </c>
      <c r="E332" s="298">
        <f>IFERROR(IF(Loan_Not_Paid*Values_Entered,Monthly_Payment,""), "")</f>
        <v>1677512.1817411617</v>
      </c>
      <c r="F332" s="298">
        <f>IFERROR(IF(Loan_Not_Paid*Values_Entered,Principal,""), "")</f>
        <v>1425728.6322318218</v>
      </c>
      <c r="G332" s="298">
        <f>IFERROR(IF(Loan_Not_Paid*Values_Entered,Interest,""), "")</f>
        <v>251783.54950933988</v>
      </c>
      <c r="H332" s="298">
        <f>IFERROR(IF(Loan_Not_Paid*Values_Entered,Ending_Balance,""), "")</f>
        <v>69666097.111566544</v>
      </c>
    </row>
    <row r="333" spans="2:8">
      <c r="B333" s="300">
        <f>IFERROR(IF(Loan_Not_Paid*Values_Entered,Payment_Number,""), "")</f>
        <v>316</v>
      </c>
      <c r="C333" s="299"/>
      <c r="D333" s="298">
        <f>IFERROR(IF(Loan_Not_Paid*Values_Entered,Beginning_Balance,""), "")</f>
        <v>69666097.111566544</v>
      </c>
      <c r="E333" s="298">
        <f>IFERROR(IF(Loan_Not_Paid*Values_Entered,Monthly_Payment,""), "")</f>
        <v>1677512.1817411617</v>
      </c>
      <c r="F333" s="298">
        <f>IFERROR(IF(Loan_Not_Paid*Values_Entered,Principal,""), "")</f>
        <v>1430778.0878043096</v>
      </c>
      <c r="G333" s="298">
        <f>IFERROR(IF(Loan_Not_Paid*Values_Entered,Interest,""), "")</f>
        <v>246734.09393685218</v>
      </c>
      <c r="H333" s="298">
        <f>IFERROR(IF(Loan_Not_Paid*Values_Entered,Ending_Balance,""), "")</f>
        <v>68235319.023762107</v>
      </c>
    </row>
    <row r="334" spans="2:8">
      <c r="B334" s="300">
        <f>IFERROR(IF(Loan_Not_Paid*Values_Entered,Payment_Number,""), "")</f>
        <v>317</v>
      </c>
      <c r="C334" s="299"/>
      <c r="D334" s="298">
        <f>IFERROR(IF(Loan_Not_Paid*Values_Entered,Beginning_Balance,""), "")</f>
        <v>68235319.023762107</v>
      </c>
      <c r="E334" s="298">
        <f>IFERROR(IF(Loan_Not_Paid*Values_Entered,Monthly_Payment,""), "")</f>
        <v>1677512.1817411617</v>
      </c>
      <c r="F334" s="298">
        <f>IFERROR(IF(Loan_Not_Paid*Values_Entered,Principal,""), "")</f>
        <v>1435845.4268652832</v>
      </c>
      <c r="G334" s="298">
        <f>IFERROR(IF(Loan_Not_Paid*Values_Entered,Interest,""), "")</f>
        <v>241666.75487587857</v>
      </c>
      <c r="H334" s="298">
        <f>IFERROR(IF(Loan_Not_Paid*Values_Entered,Ending_Balance,""), "")</f>
        <v>66799473.596896887</v>
      </c>
    </row>
    <row r="335" spans="2:8">
      <c r="B335" s="300">
        <f>IFERROR(IF(Loan_Not_Paid*Values_Entered,Payment_Number,""), "")</f>
        <v>318</v>
      </c>
      <c r="C335" s="299"/>
      <c r="D335" s="298">
        <f>IFERROR(IF(Loan_Not_Paid*Values_Entered,Beginning_Balance,""), "")</f>
        <v>66799473.596896887</v>
      </c>
      <c r="E335" s="298">
        <f>IFERROR(IF(Loan_Not_Paid*Values_Entered,Monthly_Payment,""), "")</f>
        <v>1677512.1817411617</v>
      </c>
      <c r="F335" s="298">
        <f>IFERROR(IF(Loan_Not_Paid*Values_Entered,Principal,""), "")</f>
        <v>1440930.7127520978</v>
      </c>
      <c r="G335" s="298">
        <f>IFERROR(IF(Loan_Not_Paid*Values_Entered,Interest,""), "")</f>
        <v>236581.46898906401</v>
      </c>
      <c r="H335" s="298">
        <f>IFERROR(IF(Loan_Not_Paid*Values_Entered,Ending_Balance,""), "")</f>
        <v>65358542.884144545</v>
      </c>
    </row>
    <row r="336" spans="2:8">
      <c r="B336" s="300">
        <f>IFERROR(IF(Loan_Not_Paid*Values_Entered,Payment_Number,""), "")</f>
        <v>319</v>
      </c>
      <c r="C336" s="299"/>
      <c r="D336" s="298">
        <f>IFERROR(IF(Loan_Not_Paid*Values_Entered,Beginning_Balance,""), "")</f>
        <v>65358542.884144545</v>
      </c>
      <c r="E336" s="298">
        <f>IFERROR(IF(Loan_Not_Paid*Values_Entered,Monthly_Payment,""), "")</f>
        <v>1677512.1817411617</v>
      </c>
      <c r="F336" s="298">
        <f>IFERROR(IF(Loan_Not_Paid*Values_Entered,Principal,""), "")</f>
        <v>1446034.009026428</v>
      </c>
      <c r="G336" s="298">
        <f>IFERROR(IF(Loan_Not_Paid*Values_Entered,Interest,""), "")</f>
        <v>231478.17271473369</v>
      </c>
      <c r="H336" s="298">
        <f>IFERROR(IF(Loan_Not_Paid*Values_Entered,Ending_Balance,""), "")</f>
        <v>63912508.875118017</v>
      </c>
    </row>
    <row r="337" spans="2:8">
      <c r="B337" s="300">
        <f>IFERROR(IF(Loan_Not_Paid*Values_Entered,Payment_Number,""), "")</f>
        <v>320</v>
      </c>
      <c r="C337" s="299"/>
      <c r="D337" s="298">
        <f>IFERROR(IF(Loan_Not_Paid*Values_Entered,Beginning_Balance,""), "")</f>
        <v>63912508.875118017</v>
      </c>
      <c r="E337" s="298">
        <f>IFERROR(IF(Loan_Not_Paid*Values_Entered,Monthly_Payment,""), "")</f>
        <v>1677512.1817411617</v>
      </c>
      <c r="F337" s="298">
        <f>IFERROR(IF(Loan_Not_Paid*Values_Entered,Principal,""), "")</f>
        <v>1451155.3794750632</v>
      </c>
      <c r="G337" s="298">
        <f>IFERROR(IF(Loan_Not_Paid*Values_Entered,Interest,""), "")</f>
        <v>226356.80226609841</v>
      </c>
      <c r="H337" s="298">
        <f>IFERROR(IF(Loan_Not_Paid*Values_Entered,Ending_Balance,""), "")</f>
        <v>62461353.495642781</v>
      </c>
    </row>
    <row r="338" spans="2:8">
      <c r="B338" s="300">
        <f>IFERROR(IF(Loan_Not_Paid*Values_Entered,Payment_Number,""), "")</f>
        <v>321</v>
      </c>
      <c r="C338" s="299"/>
      <c r="D338" s="298">
        <f>IFERROR(IF(Loan_Not_Paid*Values_Entered,Beginning_Balance,""), "")</f>
        <v>62461353.495642781</v>
      </c>
      <c r="E338" s="298">
        <f>IFERROR(IF(Loan_Not_Paid*Values_Entered,Monthly_Payment,""), "")</f>
        <v>1677512.1817411617</v>
      </c>
      <c r="F338" s="298">
        <f>IFERROR(IF(Loan_Not_Paid*Values_Entered,Principal,""), "")</f>
        <v>1456294.8881107043</v>
      </c>
      <c r="G338" s="298">
        <f>IFERROR(IF(Loan_Not_Paid*Values_Entered,Interest,""), "")</f>
        <v>221217.29363045757</v>
      </c>
      <c r="H338" s="298">
        <f>IFERROR(IF(Loan_Not_Paid*Values_Entered,Ending_Balance,""), "")</f>
        <v>61005058.607531905</v>
      </c>
    </row>
    <row r="339" spans="2:8">
      <c r="B339" s="300">
        <f>IFERROR(IF(Loan_Not_Paid*Values_Entered,Payment_Number,""), "")</f>
        <v>322</v>
      </c>
      <c r="C339" s="299"/>
      <c r="D339" s="298">
        <f>IFERROR(IF(Loan_Not_Paid*Values_Entered,Beginning_Balance,""), "")</f>
        <v>61005058.607531905</v>
      </c>
      <c r="E339" s="298">
        <f>IFERROR(IF(Loan_Not_Paid*Values_Entered,Monthly_Payment,""), "")</f>
        <v>1677512.1817411617</v>
      </c>
      <c r="F339" s="298">
        <f>IFERROR(IF(Loan_Not_Paid*Values_Entered,Principal,""), "")</f>
        <v>1461452.5991727631</v>
      </c>
      <c r="G339" s="298">
        <f>IFERROR(IF(Loan_Not_Paid*Values_Entered,Interest,""), "")</f>
        <v>216059.58256839882</v>
      </c>
      <c r="H339" s="298">
        <f>IFERROR(IF(Loan_Not_Paid*Values_Entered,Ending_Balance,""), "")</f>
        <v>59543606.008359075</v>
      </c>
    </row>
    <row r="340" spans="2:8">
      <c r="B340" s="300">
        <f>IFERROR(IF(Loan_Not_Paid*Values_Entered,Payment_Number,""), "")</f>
        <v>323</v>
      </c>
      <c r="C340" s="299"/>
      <c r="D340" s="298">
        <f>IFERROR(IF(Loan_Not_Paid*Values_Entered,Beginning_Balance,""), "")</f>
        <v>59543606.008359075</v>
      </c>
      <c r="E340" s="298">
        <f>IFERROR(IF(Loan_Not_Paid*Values_Entered,Monthly_Payment,""), "")</f>
        <v>1677512.1817411617</v>
      </c>
      <c r="F340" s="298">
        <f>IFERROR(IF(Loan_Not_Paid*Values_Entered,Principal,""), "")</f>
        <v>1466628.5771281666</v>
      </c>
      <c r="G340" s="298">
        <f>IFERROR(IF(Loan_Not_Paid*Values_Entered,Interest,""), "")</f>
        <v>210883.60461299532</v>
      </c>
      <c r="H340" s="298">
        <f>IFERROR(IF(Loan_Not_Paid*Values_Entered,Ending_Balance,""), "")</f>
        <v>58076977.431230783</v>
      </c>
    </row>
    <row r="341" spans="2:8">
      <c r="B341" s="300">
        <f>IFERROR(IF(Loan_Not_Paid*Values_Entered,Payment_Number,""), "")</f>
        <v>324</v>
      </c>
      <c r="C341" s="299"/>
      <c r="D341" s="298">
        <f>IFERROR(IF(Loan_Not_Paid*Values_Entered,Beginning_Balance,""), "")</f>
        <v>58076977.431230783</v>
      </c>
      <c r="E341" s="298">
        <f>IFERROR(IF(Loan_Not_Paid*Values_Entered,Monthly_Payment,""), "")</f>
        <v>1677512.1817411617</v>
      </c>
      <c r="F341" s="298">
        <f>IFERROR(IF(Loan_Not_Paid*Values_Entered,Principal,""), "")</f>
        <v>1471822.886672162</v>
      </c>
      <c r="G341" s="298">
        <f>IFERROR(IF(Loan_Not_Paid*Values_Entered,Interest,""), "")</f>
        <v>205689.29506899972</v>
      </c>
      <c r="H341" s="298">
        <f>IFERROR(IF(Loan_Not_Paid*Values_Entered,Ending_Balance,""), "")</f>
        <v>56605154.544558764</v>
      </c>
    </row>
    <row r="342" spans="2:8">
      <c r="B342" s="300">
        <f>IFERROR(IF(Loan_Not_Paid*Values_Entered,Payment_Number,""), "")</f>
        <v>325</v>
      </c>
      <c r="C342" s="299"/>
      <c r="D342" s="298">
        <f>IFERROR(IF(Loan_Not_Paid*Values_Entered,Beginning_Balance,""), "")</f>
        <v>56605154.544558764</v>
      </c>
      <c r="E342" s="298">
        <f>IFERROR(IF(Loan_Not_Paid*Values_Entered,Monthly_Payment,""), "")</f>
        <v>1677512.1817411617</v>
      </c>
      <c r="F342" s="298">
        <f>IFERROR(IF(Loan_Not_Paid*Values_Entered,Principal,""), "")</f>
        <v>1477035.5927291259</v>
      </c>
      <c r="G342" s="298">
        <f>IFERROR(IF(Loan_Not_Paid*Values_Entered,Interest,""), "")</f>
        <v>200476.58901203581</v>
      </c>
      <c r="H342" s="298">
        <f>IFERROR(IF(Loan_Not_Paid*Values_Entered,Ending_Balance,""), "")</f>
        <v>55128118.951829195</v>
      </c>
    </row>
    <row r="343" spans="2:8">
      <c r="B343" s="300">
        <f>IFERROR(IF(Loan_Not_Paid*Values_Entered,Payment_Number,""), "")</f>
        <v>326</v>
      </c>
      <c r="C343" s="299"/>
      <c r="D343" s="298">
        <f>IFERROR(IF(Loan_Not_Paid*Values_Entered,Beginning_Balance,""), "")</f>
        <v>55128118.951829195</v>
      </c>
      <c r="E343" s="298">
        <f>IFERROR(IF(Loan_Not_Paid*Values_Entered,Monthly_Payment,""), "")</f>
        <v>1677512.1817411617</v>
      </c>
      <c r="F343" s="298">
        <f>IFERROR(IF(Loan_Not_Paid*Values_Entered,Principal,""), "")</f>
        <v>1482266.7604533748</v>
      </c>
      <c r="G343" s="298">
        <f>IFERROR(IF(Loan_Not_Paid*Values_Entered,Interest,""), "")</f>
        <v>195245.42128778677</v>
      </c>
      <c r="H343" s="298">
        <f>IFERROR(IF(Loan_Not_Paid*Values_Entered,Ending_Balance,""), "")</f>
        <v>53645852.19137609</v>
      </c>
    </row>
    <row r="344" spans="2:8">
      <c r="B344" s="300">
        <f>IFERROR(IF(Loan_Not_Paid*Values_Entered,Payment_Number,""), "")</f>
        <v>327</v>
      </c>
      <c r="C344" s="299"/>
      <c r="D344" s="298">
        <f>IFERROR(IF(Loan_Not_Paid*Values_Entered,Beginning_Balance,""), "")</f>
        <v>53645852.19137609</v>
      </c>
      <c r="E344" s="298">
        <f>IFERROR(IF(Loan_Not_Paid*Values_Entered,Monthly_Payment,""), "")</f>
        <v>1677512.1817411617</v>
      </c>
      <c r="F344" s="298">
        <f>IFERROR(IF(Loan_Not_Paid*Values_Entered,Principal,""), "")</f>
        <v>1487516.4552299806</v>
      </c>
      <c r="G344" s="298">
        <f>IFERROR(IF(Loan_Not_Paid*Values_Entered,Interest,""), "")</f>
        <v>189995.7265111811</v>
      </c>
      <c r="H344" s="298">
        <f>IFERROR(IF(Loan_Not_Paid*Values_Entered,Ending_Balance,""), "")</f>
        <v>52158335.736145735</v>
      </c>
    </row>
    <row r="345" spans="2:8">
      <c r="B345" s="300">
        <f>IFERROR(IF(Loan_Not_Paid*Values_Entered,Payment_Number,""), "")</f>
        <v>328</v>
      </c>
      <c r="C345" s="299"/>
      <c r="D345" s="298">
        <f>IFERROR(IF(Loan_Not_Paid*Values_Entered,Beginning_Balance,""), "")</f>
        <v>52158335.736145735</v>
      </c>
      <c r="E345" s="298">
        <f>IFERROR(IF(Loan_Not_Paid*Values_Entered,Monthly_Payment,""), "")</f>
        <v>1677512.1817411617</v>
      </c>
      <c r="F345" s="298">
        <f>IFERROR(IF(Loan_Not_Paid*Values_Entered,Principal,""), "")</f>
        <v>1492784.7426755866</v>
      </c>
      <c r="G345" s="298">
        <f>IFERROR(IF(Loan_Not_Paid*Values_Entered,Interest,""), "")</f>
        <v>184727.43906557493</v>
      </c>
      <c r="H345" s="298">
        <f>IFERROR(IF(Loan_Not_Paid*Values_Entered,Ending_Balance,""), "")</f>
        <v>50665550.993469954</v>
      </c>
    </row>
    <row r="346" spans="2:8">
      <c r="B346" s="300">
        <f>IFERROR(IF(Loan_Not_Paid*Values_Entered,Payment_Number,""), "")</f>
        <v>329</v>
      </c>
      <c r="C346" s="299"/>
      <c r="D346" s="298">
        <f>IFERROR(IF(Loan_Not_Paid*Values_Entered,Beginning_Balance,""), "")</f>
        <v>50665550.993469954</v>
      </c>
      <c r="E346" s="298">
        <f>IFERROR(IF(Loan_Not_Paid*Values_Entered,Monthly_Payment,""), "")</f>
        <v>1677512.1817411617</v>
      </c>
      <c r="F346" s="298">
        <f>IFERROR(IF(Loan_Not_Paid*Values_Entered,Principal,""), "")</f>
        <v>1498071.6886392294</v>
      </c>
      <c r="G346" s="298">
        <f>IFERROR(IF(Loan_Not_Paid*Values_Entered,Interest,""), "")</f>
        <v>179440.49310193222</v>
      </c>
      <c r="H346" s="298">
        <f>IFERROR(IF(Loan_Not_Paid*Values_Entered,Ending_Balance,""), "")</f>
        <v>49167479.30483079</v>
      </c>
    </row>
    <row r="347" spans="2:8">
      <c r="B347" s="300">
        <f>IFERROR(IF(Loan_Not_Paid*Values_Entered,Payment_Number,""), "")</f>
        <v>330</v>
      </c>
      <c r="C347" s="299"/>
      <c r="D347" s="298">
        <f>IFERROR(IF(Loan_Not_Paid*Values_Entered,Beginning_Balance,""), "")</f>
        <v>49167479.30483079</v>
      </c>
      <c r="E347" s="298">
        <f>IFERROR(IF(Loan_Not_Paid*Values_Entered,Monthly_Payment,""), "")</f>
        <v>1677512.1817411617</v>
      </c>
      <c r="F347" s="298">
        <f>IFERROR(IF(Loan_Not_Paid*Values_Entered,Principal,""), "")</f>
        <v>1503377.35920316</v>
      </c>
      <c r="G347" s="298">
        <f>IFERROR(IF(Loan_Not_Paid*Values_Entered,Interest,""), "")</f>
        <v>174134.82253800164</v>
      </c>
      <c r="H347" s="298">
        <f>IFERROR(IF(Loan_Not_Paid*Values_Entered,Ending_Balance,""), "")</f>
        <v>47664101.94562757</v>
      </c>
    </row>
    <row r="348" spans="2:8">
      <c r="B348" s="300">
        <f>IFERROR(IF(Loan_Not_Paid*Values_Entered,Payment_Number,""), "")</f>
        <v>331</v>
      </c>
      <c r="C348" s="299"/>
      <c r="D348" s="298">
        <f>IFERROR(IF(Loan_Not_Paid*Values_Entered,Beginning_Balance,""), "")</f>
        <v>47664101.94562757</v>
      </c>
      <c r="E348" s="298">
        <f>IFERROR(IF(Loan_Not_Paid*Values_Entered,Monthly_Payment,""), "")</f>
        <v>1677512.1817411617</v>
      </c>
      <c r="F348" s="298">
        <f>IFERROR(IF(Loan_Not_Paid*Values_Entered,Principal,""), "")</f>
        <v>1508701.8206836712</v>
      </c>
      <c r="G348" s="298">
        <f>IFERROR(IF(Loan_Not_Paid*Values_Entered,Interest,""), "")</f>
        <v>168810.3610574904</v>
      </c>
      <c r="H348" s="298">
        <f>IFERROR(IF(Loan_Not_Paid*Values_Entered,Ending_Balance,""), "")</f>
        <v>46155400.124943614</v>
      </c>
    </row>
    <row r="349" spans="2:8">
      <c r="B349" s="300">
        <f>IFERROR(IF(Loan_Not_Paid*Values_Entered,Payment_Number,""), "")</f>
        <v>332</v>
      </c>
      <c r="C349" s="299"/>
      <c r="D349" s="298">
        <f>IFERROR(IF(Loan_Not_Paid*Values_Entered,Beginning_Balance,""), "")</f>
        <v>46155400.124943614</v>
      </c>
      <c r="E349" s="298">
        <f>IFERROR(IF(Loan_Not_Paid*Values_Entered,Monthly_Payment,""), "")</f>
        <v>1677512.1817411617</v>
      </c>
      <c r="F349" s="298">
        <f>IFERROR(IF(Loan_Not_Paid*Values_Entered,Principal,""), "")</f>
        <v>1514045.1396319261</v>
      </c>
      <c r="G349" s="298">
        <f>IFERROR(IF(Loan_Not_Paid*Values_Entered,Interest,""), "")</f>
        <v>163467.04210923574</v>
      </c>
      <c r="H349" s="298">
        <f>IFERROR(IF(Loan_Not_Paid*Values_Entered,Ending_Balance,""), "")</f>
        <v>44641354.985311508</v>
      </c>
    </row>
    <row r="350" spans="2:8">
      <c r="B350" s="300">
        <f>IFERROR(IF(Loan_Not_Paid*Values_Entered,Payment_Number,""), "")</f>
        <v>333</v>
      </c>
      <c r="C350" s="299"/>
      <c r="D350" s="298">
        <f>IFERROR(IF(Loan_Not_Paid*Values_Entered,Beginning_Balance,""), "")</f>
        <v>44641354.985311508</v>
      </c>
      <c r="E350" s="298">
        <f>IFERROR(IF(Loan_Not_Paid*Values_Entered,Monthly_Payment,""), "")</f>
        <v>1677512.1817411617</v>
      </c>
      <c r="F350" s="298">
        <f>IFERROR(IF(Loan_Not_Paid*Values_Entered,Principal,""), "")</f>
        <v>1519407.3828347891</v>
      </c>
      <c r="G350" s="298">
        <f>IFERROR(IF(Loan_Not_Paid*Values_Entered,Interest,""), "")</f>
        <v>158104.79890637269</v>
      </c>
      <c r="H350" s="298">
        <f>IFERROR(IF(Loan_Not_Paid*Values_Entered,Ending_Balance,""), "")</f>
        <v>43121947.602476835</v>
      </c>
    </row>
    <row r="351" spans="2:8">
      <c r="B351" s="300">
        <f>IFERROR(IF(Loan_Not_Paid*Values_Entered,Payment_Number,""), "")</f>
        <v>334</v>
      </c>
      <c r="C351" s="299"/>
      <c r="D351" s="298">
        <f>IFERROR(IF(Loan_Not_Paid*Values_Entered,Beginning_Balance,""), "")</f>
        <v>43121947.602476835</v>
      </c>
      <c r="E351" s="298">
        <f>IFERROR(IF(Loan_Not_Paid*Values_Entered,Monthly_Payment,""), "")</f>
        <v>1677512.1817411617</v>
      </c>
      <c r="F351" s="298">
        <f>IFERROR(IF(Loan_Not_Paid*Values_Entered,Principal,""), "")</f>
        <v>1524788.6173156623</v>
      </c>
      <c r="G351" s="298">
        <f>IFERROR(IF(Loan_Not_Paid*Values_Entered,Interest,""), "")</f>
        <v>152723.5644254995</v>
      </c>
      <c r="H351" s="298">
        <f>IFERROR(IF(Loan_Not_Paid*Values_Entered,Ending_Balance,""), "")</f>
        <v>41597158.985161185</v>
      </c>
    </row>
    <row r="352" spans="2:8">
      <c r="B352" s="300">
        <f>IFERROR(IF(Loan_Not_Paid*Values_Entered,Payment_Number,""), "")</f>
        <v>335</v>
      </c>
      <c r="C352" s="299"/>
      <c r="D352" s="298">
        <f>IFERROR(IF(Loan_Not_Paid*Values_Entered,Beginning_Balance,""), "")</f>
        <v>41597158.985161185</v>
      </c>
      <c r="E352" s="298">
        <f>IFERROR(IF(Loan_Not_Paid*Values_Entered,Monthly_Payment,""), "")</f>
        <v>1677512.1817411617</v>
      </c>
      <c r="F352" s="298">
        <f>IFERROR(IF(Loan_Not_Paid*Values_Entered,Principal,""), "")</f>
        <v>1530188.9103353219</v>
      </c>
      <c r="G352" s="298">
        <f>IFERROR(IF(Loan_Not_Paid*Values_Entered,Interest,""), "")</f>
        <v>147323.27140583983</v>
      </c>
      <c r="H352" s="298">
        <f>IFERROR(IF(Loan_Not_Paid*Values_Entered,Ending_Balance,""), "")</f>
        <v>40066970.074825525</v>
      </c>
    </row>
    <row r="353" spans="2:8">
      <c r="B353" s="300">
        <f>IFERROR(IF(Loan_Not_Paid*Values_Entered,Payment_Number,""), "")</f>
        <v>336</v>
      </c>
      <c r="C353" s="299"/>
      <c r="D353" s="298">
        <f>IFERROR(IF(Loan_Not_Paid*Values_Entered,Beginning_Balance,""), "")</f>
        <v>40066970.074825525</v>
      </c>
      <c r="E353" s="298">
        <f>IFERROR(IF(Loan_Not_Paid*Values_Entered,Monthly_Payment,""), "")</f>
        <v>1677512.1817411617</v>
      </c>
      <c r="F353" s="298">
        <f>IFERROR(IF(Loan_Not_Paid*Values_Entered,Principal,""), "")</f>
        <v>1535608.3293927596</v>
      </c>
      <c r="G353" s="298">
        <f>IFERROR(IF(Loan_Not_Paid*Values_Entered,Interest,""), "")</f>
        <v>141903.8523484022</v>
      </c>
      <c r="H353" s="298">
        <f>IFERROR(IF(Loan_Not_Paid*Values_Entered,Ending_Balance,""), "")</f>
        <v>38531361.745432854</v>
      </c>
    </row>
    <row r="354" spans="2:8">
      <c r="B354" s="300">
        <f>IFERROR(IF(Loan_Not_Paid*Values_Entered,Payment_Number,""), "")</f>
        <v>337</v>
      </c>
      <c r="C354" s="299"/>
      <c r="D354" s="298">
        <f>IFERROR(IF(Loan_Not_Paid*Values_Entered,Beginning_Balance,""), "")</f>
        <v>38531361.745432854</v>
      </c>
      <c r="E354" s="298">
        <f>IFERROR(IF(Loan_Not_Paid*Values_Entered,Monthly_Payment,""), "")</f>
        <v>1677512.1817411617</v>
      </c>
      <c r="F354" s="298">
        <f>IFERROR(IF(Loan_Not_Paid*Values_Entered,Principal,""), "")</f>
        <v>1541046.9422260255</v>
      </c>
      <c r="G354" s="298">
        <f>IFERROR(IF(Loan_Not_Paid*Values_Entered,Interest,""), "")</f>
        <v>136465.2395151362</v>
      </c>
      <c r="H354" s="298">
        <f>IFERROR(IF(Loan_Not_Paid*Values_Entered,Ending_Balance,""), "")</f>
        <v>36990314.803206444</v>
      </c>
    </row>
    <row r="355" spans="2:8">
      <c r="B355" s="300">
        <f>IFERROR(IF(Loan_Not_Paid*Values_Entered,Payment_Number,""), "")</f>
        <v>338</v>
      </c>
      <c r="C355" s="299"/>
      <c r="D355" s="298">
        <f>IFERROR(IF(Loan_Not_Paid*Values_Entered,Beginning_Balance,""), "")</f>
        <v>36990314.803206444</v>
      </c>
      <c r="E355" s="298">
        <f>IFERROR(IF(Loan_Not_Paid*Values_Entered,Monthly_Payment,""), "")</f>
        <v>1677512.1817411617</v>
      </c>
      <c r="F355" s="298">
        <f>IFERROR(IF(Loan_Not_Paid*Values_Entered,Principal,""), "")</f>
        <v>1546504.8168130761</v>
      </c>
      <c r="G355" s="298">
        <f>IFERROR(IF(Loan_Not_Paid*Values_Entered,Interest,""), "")</f>
        <v>131007.36492808569</v>
      </c>
      <c r="H355" s="298">
        <f>IFERROR(IF(Loan_Not_Paid*Values_Entered,Ending_Balance,""), "")</f>
        <v>35443809.986393452</v>
      </c>
    </row>
    <row r="356" spans="2:8">
      <c r="B356" s="300">
        <f>IFERROR(IF(Loan_Not_Paid*Values_Entered,Payment_Number,""), "")</f>
        <v>339</v>
      </c>
      <c r="C356" s="299"/>
      <c r="D356" s="298">
        <f>IFERROR(IF(Loan_Not_Paid*Values_Entered,Beginning_Balance,""), "")</f>
        <v>35443809.986393452</v>
      </c>
      <c r="E356" s="298">
        <f>IFERROR(IF(Loan_Not_Paid*Values_Entered,Monthly_Payment,""), "")</f>
        <v>1677512.1817411617</v>
      </c>
      <c r="F356" s="298">
        <f>IFERROR(IF(Loan_Not_Paid*Values_Entered,Principal,""), "")</f>
        <v>1551982.0213726223</v>
      </c>
      <c r="G356" s="298">
        <f>IFERROR(IF(Loan_Not_Paid*Values_Entered,Interest,""), "")</f>
        <v>125530.16036853938</v>
      </c>
      <c r="H356" s="298">
        <f>IFERROR(IF(Loan_Not_Paid*Values_Entered,Ending_Balance,""), "")</f>
        <v>33891827.965020418</v>
      </c>
    </row>
    <row r="357" spans="2:8">
      <c r="B357" s="300">
        <f>IFERROR(IF(Loan_Not_Paid*Values_Entered,Payment_Number,""), "")</f>
        <v>340</v>
      </c>
      <c r="C357" s="299"/>
      <c r="D357" s="298">
        <f>IFERROR(IF(Loan_Not_Paid*Values_Entered,Beginning_Balance,""), "")</f>
        <v>33891827.965020418</v>
      </c>
      <c r="E357" s="298">
        <f>IFERROR(IF(Loan_Not_Paid*Values_Entered,Monthly_Payment,""), "")</f>
        <v>1677512.1817411617</v>
      </c>
      <c r="F357" s="298">
        <f>IFERROR(IF(Loan_Not_Paid*Values_Entered,Principal,""), "")</f>
        <v>1557478.6243649838</v>
      </c>
      <c r="G357" s="298">
        <f>IFERROR(IF(Loan_Not_Paid*Values_Entered,Interest,""), "")</f>
        <v>120033.55737617803</v>
      </c>
      <c r="H357" s="298">
        <f>IFERROR(IF(Loan_Not_Paid*Values_Entered,Ending_Balance,""), "")</f>
        <v>32334349.340655804</v>
      </c>
    </row>
    <row r="358" spans="2:8">
      <c r="B358" s="300">
        <f>IFERROR(IF(Loan_Not_Paid*Values_Entered,Payment_Number,""), "")</f>
        <v>341</v>
      </c>
      <c r="C358" s="299"/>
      <c r="D358" s="298">
        <f>IFERROR(IF(Loan_Not_Paid*Values_Entered,Beginning_Balance,""), "")</f>
        <v>32334349.340655804</v>
      </c>
      <c r="E358" s="298">
        <f>IFERROR(IF(Loan_Not_Paid*Values_Entered,Monthly_Payment,""), "")</f>
        <v>1677512.1817411617</v>
      </c>
      <c r="F358" s="298">
        <f>IFERROR(IF(Loan_Not_Paid*Values_Entered,Principal,""), "")</f>
        <v>1562994.6944929431</v>
      </c>
      <c r="G358" s="298">
        <f>IFERROR(IF(Loan_Not_Paid*Values_Entered,Interest,""), "")</f>
        <v>114517.48724821869</v>
      </c>
      <c r="H358" s="298">
        <f>IFERROR(IF(Loan_Not_Paid*Values_Entered,Ending_Balance,""), "")</f>
        <v>30771354.64616251</v>
      </c>
    </row>
    <row r="359" spans="2:8">
      <c r="B359" s="300">
        <f>IFERROR(IF(Loan_Not_Paid*Values_Entered,Payment_Number,""), "")</f>
        <v>342</v>
      </c>
      <c r="C359" s="299"/>
      <c r="D359" s="298">
        <f>IFERROR(IF(Loan_Not_Paid*Values_Entered,Beginning_Balance,""), "")</f>
        <v>30771354.64616251</v>
      </c>
      <c r="E359" s="298">
        <f>IFERROR(IF(Loan_Not_Paid*Values_Entered,Monthly_Payment,""), "")</f>
        <v>1677512.1817411617</v>
      </c>
      <c r="F359" s="298">
        <f>IFERROR(IF(Loan_Not_Paid*Values_Entered,Principal,""), "")</f>
        <v>1568530.3007026056</v>
      </c>
      <c r="G359" s="298">
        <f>IFERROR(IF(Loan_Not_Paid*Values_Entered,Interest,""), "")</f>
        <v>108981.88103855617</v>
      </c>
      <c r="H359" s="298">
        <f>IFERROR(IF(Loan_Not_Paid*Values_Entered,Ending_Balance,""), "")</f>
        <v>29202824.3454597</v>
      </c>
    </row>
    <row r="360" spans="2:8">
      <c r="B360" s="300">
        <f>IFERROR(IF(Loan_Not_Paid*Values_Entered,Payment_Number,""), "")</f>
        <v>343</v>
      </c>
      <c r="C360" s="299"/>
      <c r="D360" s="298">
        <f>IFERROR(IF(Loan_Not_Paid*Values_Entered,Beginning_Balance,""), "")</f>
        <v>29202824.3454597</v>
      </c>
      <c r="E360" s="298">
        <f>IFERROR(IF(Loan_Not_Paid*Values_Entered,Monthly_Payment,""), "")</f>
        <v>1677512.1817411617</v>
      </c>
      <c r="F360" s="298">
        <f>IFERROR(IF(Loan_Not_Paid*Values_Entered,Principal,""), "")</f>
        <v>1574085.5121842604</v>
      </c>
      <c r="G360" s="298">
        <f>IFERROR(IF(Loan_Not_Paid*Values_Entered,Interest,""), "")</f>
        <v>103426.66955690112</v>
      </c>
      <c r="H360" s="298">
        <f>IFERROR(IF(Loan_Not_Paid*Values_Entered,Ending_Balance,""), "")</f>
        <v>27628738.833275318</v>
      </c>
    </row>
    <row r="361" spans="2:8">
      <c r="B361" s="300">
        <f>IFERROR(IF(Loan_Not_Paid*Values_Entered,Payment_Number,""), "")</f>
        <v>344</v>
      </c>
      <c r="C361" s="299"/>
      <c r="D361" s="298">
        <f>IFERROR(IF(Loan_Not_Paid*Values_Entered,Beginning_Balance,""), "")</f>
        <v>27628738.833275318</v>
      </c>
      <c r="E361" s="298">
        <f>IFERROR(IF(Loan_Not_Paid*Values_Entered,Monthly_Payment,""), "")</f>
        <v>1677512.1817411617</v>
      </c>
      <c r="F361" s="298">
        <f>IFERROR(IF(Loan_Not_Paid*Values_Entered,Principal,""), "")</f>
        <v>1579660.3983732467</v>
      </c>
      <c r="G361" s="298">
        <f>IFERROR(IF(Loan_Not_Paid*Values_Entered,Interest,""), "")</f>
        <v>97851.78336791521</v>
      </c>
      <c r="H361" s="298">
        <f>IFERROR(IF(Loan_Not_Paid*Values_Entered,Ending_Balance,""), "")</f>
        <v>26049078.434901953</v>
      </c>
    </row>
    <row r="362" spans="2:8">
      <c r="B362" s="300">
        <f>IFERROR(IF(Loan_Not_Paid*Values_Entered,Payment_Number,""), "")</f>
        <v>345</v>
      </c>
      <c r="C362" s="299"/>
      <c r="D362" s="298">
        <f>IFERROR(IF(Loan_Not_Paid*Values_Entered,Beginning_Balance,""), "")</f>
        <v>26049078.434901953</v>
      </c>
      <c r="E362" s="298">
        <f>IFERROR(IF(Loan_Not_Paid*Values_Entered,Monthly_Payment,""), "")</f>
        <v>1677512.1817411617</v>
      </c>
      <c r="F362" s="298">
        <f>IFERROR(IF(Loan_Not_Paid*Values_Entered,Principal,""), "")</f>
        <v>1585255.0289508186</v>
      </c>
      <c r="G362" s="298">
        <f>IFERROR(IF(Loan_Not_Paid*Values_Entered,Interest,""), "")</f>
        <v>92257.152790343287</v>
      </c>
      <c r="H362" s="298">
        <f>IFERROR(IF(Loan_Not_Paid*Values_Entered,Ending_Balance,""), "")</f>
        <v>24463823.405951023</v>
      </c>
    </row>
    <row r="363" spans="2:8">
      <c r="B363" s="300">
        <f>IFERROR(IF(Loan_Not_Paid*Values_Entered,Payment_Number,""), "")</f>
        <v>346</v>
      </c>
      <c r="C363" s="299"/>
      <c r="D363" s="298">
        <f>IFERROR(IF(Loan_Not_Paid*Values_Entered,Beginning_Balance,""), "")</f>
        <v>24463823.405951023</v>
      </c>
      <c r="E363" s="298">
        <f>IFERROR(IF(Loan_Not_Paid*Values_Entered,Monthly_Payment,""), "")</f>
        <v>1677512.1817411617</v>
      </c>
      <c r="F363" s="298">
        <f>IFERROR(IF(Loan_Not_Paid*Values_Entered,Principal,""), "")</f>
        <v>1590869.4738450192</v>
      </c>
      <c r="G363" s="298">
        <f>IFERROR(IF(Loan_Not_Paid*Values_Entered,Interest,""), "")</f>
        <v>86642.70789614247</v>
      </c>
      <c r="H363" s="298">
        <f>IFERROR(IF(Loan_Not_Paid*Values_Entered,Ending_Balance,""), "")</f>
        <v>22872953.93210578</v>
      </c>
    </row>
    <row r="364" spans="2:8">
      <c r="B364" s="300">
        <f>IFERROR(IF(Loan_Not_Paid*Values_Entered,Payment_Number,""), "")</f>
        <v>347</v>
      </c>
      <c r="C364" s="299"/>
      <c r="D364" s="298">
        <f>IFERROR(IF(Loan_Not_Paid*Values_Entered,Beginning_Balance,""), "")</f>
        <v>22872953.93210578</v>
      </c>
      <c r="E364" s="298">
        <f>IFERROR(IF(Loan_Not_Paid*Values_Entered,Monthly_Payment,""), "")</f>
        <v>1677512.1817411617</v>
      </c>
      <c r="F364" s="298">
        <f>IFERROR(IF(Loan_Not_Paid*Values_Entered,Principal,""), "")</f>
        <v>1596503.8032315536</v>
      </c>
      <c r="G364" s="298">
        <f>IFERROR(IF(Loan_Not_Paid*Values_Entered,Interest,""), "")</f>
        <v>81008.37850960801</v>
      </c>
      <c r="H364" s="298">
        <f>IFERROR(IF(Loan_Not_Paid*Values_Entered,Ending_Balance,""), "")</f>
        <v>21276450.128874302</v>
      </c>
    </row>
    <row r="365" spans="2:8">
      <c r="B365" s="300">
        <f>IFERROR(IF(Loan_Not_Paid*Values_Entered,Payment_Number,""), "")</f>
        <v>348</v>
      </c>
      <c r="C365" s="299"/>
      <c r="D365" s="298">
        <f>IFERROR(IF(Loan_Not_Paid*Values_Entered,Beginning_Balance,""), "")</f>
        <v>21276450.128874302</v>
      </c>
      <c r="E365" s="298">
        <f>IFERROR(IF(Loan_Not_Paid*Values_Entered,Monthly_Payment,""), "")</f>
        <v>1677512.1817411617</v>
      </c>
      <c r="F365" s="298">
        <f>IFERROR(IF(Loan_Not_Paid*Values_Entered,Principal,""), "")</f>
        <v>1602158.0875346656</v>
      </c>
      <c r="G365" s="298">
        <f>IFERROR(IF(Loan_Not_Paid*Values_Entered,Interest,""), "")</f>
        <v>75354.094206496258</v>
      </c>
      <c r="H365" s="298">
        <f>IFERROR(IF(Loan_Not_Paid*Values_Entered,Ending_Balance,""), "")</f>
        <v>19674292.041339636</v>
      </c>
    </row>
    <row r="366" spans="2:8">
      <c r="B366" s="300">
        <f>IFERROR(IF(Loan_Not_Paid*Values_Entered,Payment_Number,""), "")</f>
        <v>349</v>
      </c>
      <c r="C366" s="299"/>
      <c r="D366" s="298">
        <f>IFERROR(IF(Loan_Not_Paid*Values_Entered,Beginning_Balance,""), "")</f>
        <v>19674292.041339636</v>
      </c>
      <c r="E366" s="298">
        <f>IFERROR(IF(Loan_Not_Paid*Values_Entered,Monthly_Payment,""), "")</f>
        <v>1677512.1817411617</v>
      </c>
      <c r="F366" s="298">
        <f>IFERROR(IF(Loan_Not_Paid*Values_Entered,Principal,""), "")</f>
        <v>1607832.3974280173</v>
      </c>
      <c r="G366" s="298">
        <f>IFERROR(IF(Loan_Not_Paid*Values_Entered,Interest,""), "")</f>
        <v>69679.784313144322</v>
      </c>
      <c r="H366" s="298">
        <f>IFERROR(IF(Loan_Not_Paid*Values_Entered,Ending_Balance,""), "")</f>
        <v>18066459.643911362</v>
      </c>
    </row>
    <row r="367" spans="2:8">
      <c r="B367" s="300">
        <f>IFERROR(IF(Loan_Not_Paid*Values_Entered,Payment_Number,""), "")</f>
        <v>350</v>
      </c>
      <c r="C367" s="299"/>
      <c r="D367" s="298">
        <f>IFERROR(IF(Loan_Not_Paid*Values_Entered,Beginning_Balance,""), "")</f>
        <v>18066459.643911362</v>
      </c>
      <c r="E367" s="298">
        <f>IFERROR(IF(Loan_Not_Paid*Values_Entered,Monthly_Payment,""), "")</f>
        <v>1677512.1817411617</v>
      </c>
      <c r="F367" s="298">
        <f>IFERROR(IF(Loan_Not_Paid*Values_Entered,Principal,""), "")</f>
        <v>1613526.803835575</v>
      </c>
      <c r="G367" s="298">
        <f>IFERROR(IF(Loan_Not_Paid*Values_Entered,Interest,""), "")</f>
        <v>63985.377905586764</v>
      </c>
      <c r="H367" s="298">
        <f>IFERROR(IF(Loan_Not_Paid*Values_Entered,Ending_Balance,""), "")</f>
        <v>16452932.840075731</v>
      </c>
    </row>
    <row r="368" spans="2:8">
      <c r="B368" s="300">
        <f>IFERROR(IF(Loan_Not_Paid*Values_Entered,Payment_Number,""), "")</f>
        <v>351</v>
      </c>
      <c r="C368" s="299"/>
      <c r="D368" s="298">
        <f>IFERROR(IF(Loan_Not_Paid*Values_Entered,Beginning_Balance,""), "")</f>
        <v>16452932.840075731</v>
      </c>
      <c r="E368" s="298">
        <f>IFERROR(IF(Loan_Not_Paid*Values_Entered,Monthly_Payment,""), "")</f>
        <v>1677512.1817411617</v>
      </c>
      <c r="F368" s="298">
        <f>IFERROR(IF(Loan_Not_Paid*Values_Entered,Principal,""), "")</f>
        <v>1619241.3779324926</v>
      </c>
      <c r="G368" s="298">
        <f>IFERROR(IF(Loan_Not_Paid*Values_Entered,Interest,""), "")</f>
        <v>58270.803808669101</v>
      </c>
      <c r="H368" s="298">
        <f>IFERROR(IF(Loan_Not_Paid*Values_Entered,Ending_Balance,""), "")</f>
        <v>14833691.462142944</v>
      </c>
    </row>
    <row r="369" spans="2:8">
      <c r="B369" s="300">
        <f>IFERROR(IF(Loan_Not_Paid*Values_Entered,Payment_Number,""), "")</f>
        <v>352</v>
      </c>
      <c r="C369" s="299"/>
      <c r="D369" s="298">
        <f>IFERROR(IF(Loan_Not_Paid*Values_Entered,Beginning_Balance,""), "")</f>
        <v>14833691.462142944</v>
      </c>
      <c r="E369" s="298">
        <f>IFERROR(IF(Loan_Not_Paid*Values_Entered,Monthly_Payment,""), "")</f>
        <v>1677512.1817411617</v>
      </c>
      <c r="F369" s="298">
        <f>IFERROR(IF(Loan_Not_Paid*Values_Entered,Principal,""), "")</f>
        <v>1624976.1911460035</v>
      </c>
      <c r="G369" s="298">
        <f>IFERROR(IF(Loan_Not_Paid*Values_Entered,Interest,""), "")</f>
        <v>52535.99059515819</v>
      </c>
      <c r="H369" s="298">
        <f>IFERROR(IF(Loan_Not_Paid*Values_Entered,Ending_Balance,""), "")</f>
        <v>13208715.270996809</v>
      </c>
    </row>
    <row r="370" spans="2:8">
      <c r="B370" s="300">
        <f>IFERROR(IF(Loan_Not_Paid*Values_Entered,Payment_Number,""), "")</f>
        <v>353</v>
      </c>
      <c r="C370" s="299"/>
      <c r="D370" s="298">
        <f>IFERROR(IF(Loan_Not_Paid*Values_Entered,Beginning_Balance,""), "")</f>
        <v>13208715.270996809</v>
      </c>
      <c r="E370" s="298">
        <f>IFERROR(IF(Loan_Not_Paid*Values_Entered,Monthly_Payment,""), "")</f>
        <v>1677512.1817411617</v>
      </c>
      <c r="F370" s="298">
        <f>IFERROR(IF(Loan_Not_Paid*Values_Entered,Principal,""), "")</f>
        <v>1630731.3151563124</v>
      </c>
      <c r="G370" s="298">
        <f>IFERROR(IF(Loan_Not_Paid*Values_Entered,Interest,""), "")</f>
        <v>46780.866584849435</v>
      </c>
      <c r="H370" s="298">
        <f>IFERROR(IF(Loan_Not_Paid*Values_Entered,Ending_Balance,""), "")</f>
        <v>11577983.955840588</v>
      </c>
    </row>
    <row r="371" spans="2:8">
      <c r="B371" s="300">
        <f>IFERROR(IF(Loan_Not_Paid*Values_Entered,Payment_Number,""), "")</f>
        <v>354</v>
      </c>
      <c r="C371" s="299"/>
      <c r="D371" s="298">
        <f>IFERROR(IF(Loan_Not_Paid*Values_Entered,Beginning_Balance,""), "")</f>
        <v>11577983.955840588</v>
      </c>
      <c r="E371" s="298">
        <f>IFERROR(IF(Loan_Not_Paid*Values_Entered,Monthly_Payment,""), "")</f>
        <v>1677512.1817411617</v>
      </c>
      <c r="F371" s="298">
        <f>IFERROR(IF(Loan_Not_Paid*Values_Entered,Principal,""), "")</f>
        <v>1636506.8218974911</v>
      </c>
      <c r="G371" s="298">
        <f>IFERROR(IF(Loan_Not_Paid*Values_Entered,Interest,""), "")</f>
        <v>41005.35984367082</v>
      </c>
      <c r="H371" s="298">
        <f>IFERROR(IF(Loan_Not_Paid*Values_Entered,Ending_Balance,""), "")</f>
        <v>9941477.1339426041</v>
      </c>
    </row>
    <row r="372" spans="2:8">
      <c r="B372" s="300">
        <f>IFERROR(IF(Loan_Not_Paid*Values_Entered,Payment_Number,""), "")</f>
        <v>355</v>
      </c>
      <c r="C372" s="299"/>
      <c r="D372" s="298">
        <f>IFERROR(IF(Loan_Not_Paid*Values_Entered,Beginning_Balance,""), "")</f>
        <v>9941477.1339426041</v>
      </c>
      <c r="E372" s="298">
        <f>IFERROR(IF(Loan_Not_Paid*Values_Entered,Monthly_Payment,""), "")</f>
        <v>1677512.1817411617</v>
      </c>
      <c r="F372" s="298">
        <f>IFERROR(IF(Loan_Not_Paid*Values_Entered,Principal,""), "")</f>
        <v>1642302.7835583778</v>
      </c>
      <c r="G372" s="298">
        <f>IFERROR(IF(Loan_Not_Paid*Values_Entered,Interest,""), "")</f>
        <v>35209.398182783872</v>
      </c>
      <c r="H372" s="298">
        <f>IFERROR(IF(Loan_Not_Paid*Values_Entered,Ending_Balance,""), "")</f>
        <v>8299174.3503842354</v>
      </c>
    </row>
    <row r="373" spans="2:8">
      <c r="B373" s="300">
        <f>IFERROR(IF(Loan_Not_Paid*Values_Entered,Payment_Number,""), "")</f>
        <v>356</v>
      </c>
      <c r="C373" s="299"/>
      <c r="D373" s="298">
        <f>IFERROR(IF(Loan_Not_Paid*Values_Entered,Beginning_Balance,""), "")</f>
        <v>8299174.3503842354</v>
      </c>
      <c r="E373" s="298">
        <f>IFERROR(IF(Loan_Not_Paid*Values_Entered,Monthly_Payment,""), "")</f>
        <v>1677512.1817411617</v>
      </c>
      <c r="F373" s="298">
        <f>IFERROR(IF(Loan_Not_Paid*Values_Entered,Principal,""), "")</f>
        <v>1648119.2725834805</v>
      </c>
      <c r="G373" s="298">
        <f>IFERROR(IF(Loan_Not_Paid*Values_Entered,Interest,""), "")</f>
        <v>29392.909157681286</v>
      </c>
      <c r="H373" s="298">
        <f>IFERROR(IF(Loan_Not_Paid*Values_Entered,Ending_Balance,""), "")</f>
        <v>6651055.0778007507</v>
      </c>
    </row>
    <row r="374" spans="2:8">
      <c r="B374" s="300">
        <f>IFERROR(IF(Loan_Not_Paid*Values_Entered,Payment_Number,""), "")</f>
        <v>357</v>
      </c>
      <c r="C374" s="299"/>
      <c r="D374" s="298">
        <f>IFERROR(IF(Loan_Not_Paid*Values_Entered,Beginning_Balance,""), "")</f>
        <v>6651055.0778007507</v>
      </c>
      <c r="E374" s="298">
        <f>IFERROR(IF(Loan_Not_Paid*Values_Entered,Monthly_Payment,""), "")</f>
        <v>1677512.1817411617</v>
      </c>
      <c r="F374" s="298">
        <f>IFERROR(IF(Loan_Not_Paid*Values_Entered,Principal,""), "")</f>
        <v>1653956.3616738804</v>
      </c>
      <c r="G374" s="298">
        <f>IFERROR(IF(Loan_Not_Paid*Values_Entered,Interest,""), "")</f>
        <v>23555.82006728146</v>
      </c>
      <c r="H374" s="298">
        <f>IFERROR(IF(Loan_Not_Paid*Values_Entered,Ending_Balance,""), "")</f>
        <v>4997098.716126442</v>
      </c>
    </row>
    <row r="375" spans="2:8">
      <c r="B375" s="300">
        <f>IFERROR(IF(Loan_Not_Paid*Values_Entered,Payment_Number,""), "")</f>
        <v>358</v>
      </c>
      <c r="C375" s="299"/>
      <c r="D375" s="298">
        <f>IFERROR(IF(Loan_Not_Paid*Values_Entered,Beginning_Balance,""), "")</f>
        <v>4997098.716126442</v>
      </c>
      <c r="E375" s="298">
        <f>IFERROR(IF(Loan_Not_Paid*Values_Entered,Monthly_Payment,""), "")</f>
        <v>1677512.1817411617</v>
      </c>
      <c r="F375" s="298">
        <f>IFERROR(IF(Loan_Not_Paid*Values_Entered,Principal,""), "")</f>
        <v>1659814.1237881419</v>
      </c>
      <c r="G375" s="298">
        <f>IFERROR(IF(Loan_Not_Paid*Values_Entered,Interest,""), "")</f>
        <v>17698.057953019797</v>
      </c>
      <c r="H375" s="298">
        <f>IFERROR(IF(Loan_Not_Paid*Values_Entered,Ending_Balance,""), "")</f>
        <v>3337284.5923383236</v>
      </c>
    </row>
    <row r="376" spans="2:8">
      <c r="B376" s="300">
        <f>IFERROR(IF(Loan_Not_Paid*Values_Entered,Payment_Number,""), "")</f>
        <v>359</v>
      </c>
      <c r="C376" s="299"/>
      <c r="D376" s="298">
        <f>IFERROR(IF(Loan_Not_Paid*Values_Entered,Beginning_Balance,""), "")</f>
        <v>3337284.5923383236</v>
      </c>
      <c r="E376" s="298">
        <f>IFERROR(IF(Loan_Not_Paid*Values_Entered,Monthly_Payment,""), "")</f>
        <v>1677512.1817411617</v>
      </c>
      <c r="F376" s="298">
        <f>IFERROR(IF(Loan_Not_Paid*Values_Entered,Principal,""), "")</f>
        <v>1665692.6321432251</v>
      </c>
      <c r="G376" s="298">
        <f>IFERROR(IF(Loan_Not_Paid*Values_Entered,Interest,""), "")</f>
        <v>11819.549597936795</v>
      </c>
      <c r="H376" s="298">
        <f>IFERROR(IF(Loan_Not_Paid*Values_Entered,Ending_Balance,""), "")</f>
        <v>1671591.9601950645</v>
      </c>
    </row>
    <row r="377" spans="2:8">
      <c r="B377" s="300">
        <f>IFERROR(IF(Loan_Not_Paid*Values_Entered,Payment_Number,""), "")</f>
        <v>360</v>
      </c>
      <c r="C377" s="299"/>
      <c r="D377" s="298">
        <f>IFERROR(IF(Loan_Not_Paid*Values_Entered,Beginning_Balance,""), "")</f>
        <v>1671591.9601950645</v>
      </c>
      <c r="E377" s="298">
        <f>IFERROR(IF(Loan_Not_Paid*Values_Entered,Monthly_Payment,""), "")</f>
        <v>1677512.1817411617</v>
      </c>
      <c r="F377" s="298">
        <f>IFERROR(IF(Loan_Not_Paid*Values_Entered,Principal,""), "")</f>
        <v>1671591.9602153988</v>
      </c>
      <c r="G377" s="298">
        <f>IFERROR(IF(Loan_Not_Paid*Values_Entered,Interest,""), "")</f>
        <v>5920.2215257628723</v>
      </c>
      <c r="H377" s="298">
        <f>IFERROR(IF(Loan_Not_Paid*Values_Entered,Ending_Balance,""), "")</f>
        <v>-2.0265579223632813E-5</v>
      </c>
    </row>
  </sheetData>
  <mergeCells count="9">
    <mergeCell ref="B2:E2"/>
    <mergeCell ref="B8:D8"/>
    <mergeCell ref="B9:D9"/>
    <mergeCell ref="B10:D10"/>
    <mergeCell ref="B11:D11"/>
    <mergeCell ref="B3:D3"/>
    <mergeCell ref="B4:D4"/>
    <mergeCell ref="B5:D5"/>
    <mergeCell ref="B6:D6"/>
  </mergeCells>
  <conditionalFormatting sqref="C18:G377">
    <cfRule type="expression" dxfId="17" priority="1" stopIfTrue="1">
      <formula>NOT(Loan_Not_Paid)</formula>
    </cfRule>
    <cfRule type="expression" dxfId="16" priority="2" stopIfTrue="1">
      <formula>IF(ROW(C18)=Last_Row,TRUE,FALSE)</formula>
    </cfRule>
  </conditionalFormatting>
  <conditionalFormatting sqref="B18:B377">
    <cfRule type="expression" dxfId="15" priority="3" stopIfTrue="1">
      <formula>NOT(Loan_Not_Paid)</formula>
    </cfRule>
    <cfRule type="expression" dxfId="14" priority="4" stopIfTrue="1">
      <formula>IF(ROW(B18)=Last_Row,TRUE,FALSE)</formula>
    </cfRule>
  </conditionalFormatting>
  <conditionalFormatting sqref="H18:H377">
    <cfRule type="expression" dxfId="13" priority="5" stopIfTrue="1">
      <formula>NOT(Loan_Not_Paid)</formula>
    </cfRule>
    <cfRule type="expression" dxfId="12" priority="6" stopIfTrue="1">
      <formula>IF(ROW(H18)=Last_Row,TRUE,FALSE)</formula>
    </cfRule>
  </conditionalFormatting>
  <dataValidations count="26">
    <dataValidation allowBlank="1" showInputMessage="1" showErrorMessage="1" prompt="Enter Annual interest rate in this cell" sqref="E4" xr:uid="{00000000-0002-0000-0000-000019000000}"/>
    <dataValidation allowBlank="1" showInputMessage="1" showErrorMessage="1" prompt="Ending Balance is automatically updated in this column under this heading" sqref="H17" xr:uid="{00000000-0002-0000-0000-000018000000}"/>
    <dataValidation allowBlank="1" showInputMessage="1" showErrorMessage="1" prompt="Interest amount is automatically updated in this column under this heading" sqref="G17" xr:uid="{00000000-0002-0000-0000-000017000000}"/>
    <dataValidation allowBlank="1" showInputMessage="1" showErrorMessage="1" prompt="Principal amount is automatically updated in this column under this heading" sqref="F17" xr:uid="{00000000-0002-0000-0000-000016000000}"/>
    <dataValidation allowBlank="1" showInputMessage="1" showErrorMessage="1" prompt="Payment amount is automatically calculated in this column under this heading" sqref="E17" xr:uid="{00000000-0002-0000-0000-000015000000}"/>
    <dataValidation allowBlank="1" showInputMessage="1" showErrorMessage="1" prompt="Beginning Balance is automatically calculated in this column under this heading" sqref="D17" xr:uid="{00000000-0002-0000-0000-000014000000}"/>
    <dataValidation allowBlank="1" showInputMessage="1" showErrorMessage="1" prompt="Payment Date is automatically updated in this column under this heading" sqref="C17" xr:uid="{00000000-0002-0000-0000-000013000000}"/>
    <dataValidation allowBlank="1" showInputMessage="1" showErrorMessage="1" prompt="Payment Number is automatically updated in this column under this heading" sqref="B17" xr:uid="{00000000-0002-0000-0000-000012000000}"/>
    <dataValidation allowBlank="1" showInputMessage="1" showErrorMessage="1" prompt="Enter values in cells E3 through E6 for each description in column B. Values in cells E8 through E11 are automatically calculated" sqref="B2" xr:uid="{00000000-0002-0000-0000-000011000000}"/>
    <dataValidation allowBlank="1" showInputMessage="1" showErrorMessage="1" prompt="Total interest is automatically calculated in this cell" sqref="E10" xr:uid="{00000000-0002-0000-0000-00000E000000}"/>
    <dataValidation allowBlank="1" showInputMessage="1" showErrorMessage="1" prompt="Total interest is automatically calculated in cell at right" sqref="B10:D10" xr:uid="{00000000-0002-0000-0000-00000D000000}"/>
    <dataValidation allowBlank="1" showInputMessage="1" showErrorMessage="1" prompt="Number of payments is automatically calculated in this cell" sqref="E9" xr:uid="{00000000-0002-0000-0000-00000C000000}"/>
    <dataValidation allowBlank="1" showInputMessage="1" showErrorMessage="1" prompt="Number of payments is automatically calculated in cell at right" sqref="B9:D9" xr:uid="{00000000-0002-0000-0000-00000B000000}"/>
    <dataValidation allowBlank="1" showInputMessage="1" showErrorMessage="1" prompt="Monthly payment is automatically calculated in this cell" sqref="E8" xr:uid="{F3CA4ECA-D36E-4510-9AE3-C68AF9A249F9}"/>
    <dataValidation allowBlank="1" showInputMessage="1" showErrorMessage="1" prompt="Monthly payment is automatically calculated in cell at right" sqref="B8:D8" xr:uid="{00000000-0002-0000-0000-000009000000}"/>
    <dataValidation allowBlank="1" showInputMessage="1" showErrorMessage="1" prompt="Enter Start date of loan in this cell" sqref="E6" xr:uid="{00000000-0002-0000-0000-000008000000}"/>
    <dataValidation allowBlank="1" showInputMessage="1" showErrorMessage="1" prompt="Enter Start date of loan in cell at right" sqref="B6:D6" xr:uid="{00000000-0002-0000-0000-000007000000}"/>
    <dataValidation allowBlank="1" showInputMessage="1" showErrorMessage="1" prompt="Enter Loan period in years in this cell" sqref="E5" xr:uid="{00000000-0002-0000-0000-000006000000}"/>
    <dataValidation allowBlank="1" showInputMessage="1" showErrorMessage="1" prompt="Enter Loan period in years in cell at right" sqref="B5:D5" xr:uid="{00000000-0002-0000-0000-000005000000}"/>
    <dataValidation allowBlank="1" showInputMessage="1" showErrorMessage="1" prompt="Enter Annual interest rate in cell at right" sqref="B4:D4" xr:uid="{00000000-0002-0000-0000-000004000000}"/>
    <dataValidation allowBlank="1" showInputMessage="1" showErrorMessage="1" prompt="Enter Loan amount in this cell" sqref="E3" xr:uid="{00000000-0002-0000-0000-000003000000}"/>
    <dataValidation allowBlank="1" showInputMessage="1" showErrorMessage="1" prompt="Enter Loan amount in cell at right" sqref="B3:D3" xr:uid="{00000000-0002-0000-0000-000002000000}"/>
    <dataValidation allowBlank="1" showInputMessage="1" showErrorMessage="1" prompt="Title of this worksheet is in this cell. Enter Loan values in cells E3 through E6. Loan summary in cells E8 through E11 and Loan table are automatically updated" sqref="B1" xr:uid="{00000000-0002-0000-0000-000001000000}"/>
    <dataValidation allowBlank="1" showInputMessage="1" showErrorMessage="1" prompt="Create a loan repayment schedule using this Loan calculator and amortization worksheet. Total interest and total payments are automatically calculated" sqref="A1" xr:uid="{00000000-0002-0000-0000-000000000000}"/>
    <dataValidation allowBlank="1" showInputMessage="1" showErrorMessage="1" prompt="Total cost of loan is automatically calculated in this cell" sqref="E11:E14 E16" xr:uid="{00000000-0002-0000-0000-000010000000}"/>
    <dataValidation allowBlank="1" showInputMessage="1" showErrorMessage="1" prompt="Total cost of loan is automatically calculated in cell at right" sqref="B11:D14 B15 B16:D16" xr:uid="{00000000-0002-0000-0000-00000F000000}"/>
  </dataValidations>
  <printOptions horizontalCentered="1"/>
  <pageMargins left="0.5" right="0.5" top="1" bottom="1" header="0.5" footer="0.5"/>
  <pageSetup fitToHeight="0" orientation="portrait" r:id="rId1"/>
  <headerFooter differentFirst="1">
    <oddFooter>Page &amp;P of &amp;N</oddFooter>
  </headerFooter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9732-1B86-4D4F-A0FA-9404EA7DBBF0}">
  <sheetPr>
    <tabColor theme="3"/>
    <pageSetUpPr fitToPage="1"/>
  </sheetPr>
  <dimension ref="B1:H377"/>
  <sheetViews>
    <sheetView showGridLines="0" topLeftCell="A11" zoomScale="60" zoomScaleNormal="60" workbookViewId="0">
      <selection activeCell="F27" sqref="F26:F27"/>
    </sheetView>
  </sheetViews>
  <sheetFormatPr defaultRowHeight="14.5"/>
  <cols>
    <col min="1" max="1" width="2.81640625" style="297" customWidth="1"/>
    <col min="2" max="2" width="6.26953125" style="297" customWidth="1"/>
    <col min="3" max="3" width="14.81640625" style="297" customWidth="1"/>
    <col min="4" max="4" width="18.08984375" style="297" customWidth="1"/>
    <col min="5" max="5" width="18" style="297" customWidth="1"/>
    <col min="6" max="7" width="14.81640625" style="297" customWidth="1"/>
    <col min="8" max="8" width="17.453125" style="297" customWidth="1"/>
    <col min="9" max="9" width="2.81640625" style="297" customWidth="1"/>
    <col min="10" max="16384" width="8.7265625" style="297"/>
  </cols>
  <sheetData>
    <row r="1" spans="2:8" ht="30" customHeight="1">
      <c r="B1" s="306" t="s">
        <v>441</v>
      </c>
      <c r="C1" s="306"/>
      <c r="D1" s="306"/>
      <c r="E1" s="306"/>
      <c r="F1" s="306"/>
      <c r="G1" s="306"/>
      <c r="H1" s="306"/>
    </row>
    <row r="2" spans="2:8" ht="30" customHeight="1">
      <c r="B2" s="920" t="s">
        <v>440</v>
      </c>
      <c r="C2" s="920"/>
      <c r="D2" s="920"/>
      <c r="E2" s="920"/>
    </row>
    <row r="3" spans="2:8">
      <c r="B3" s="923" t="s">
        <v>408</v>
      </c>
      <c r="C3" s="923"/>
      <c r="D3" s="924"/>
      <c r="E3" s="308">
        <f>combined!Q99</f>
        <v>204017356.24405584</v>
      </c>
    </row>
    <row r="4" spans="2:8">
      <c r="B4" s="921" t="s">
        <v>439</v>
      </c>
      <c r="C4" s="921"/>
      <c r="D4" s="925"/>
      <c r="E4" s="309">
        <f>permanentinterestrate</f>
        <v>4.2500000000000003E-2</v>
      </c>
    </row>
    <row r="5" spans="2:8">
      <c r="B5" s="921" t="s">
        <v>438</v>
      </c>
      <c r="C5" s="921"/>
      <c r="D5" s="925"/>
      <c r="E5" s="310">
        <f>amortizationschedule</f>
        <v>30</v>
      </c>
    </row>
    <row r="6" spans="2:8">
      <c r="B6" s="921" t="s">
        <v>437</v>
      </c>
      <c r="C6" s="921"/>
      <c r="D6" s="925"/>
      <c r="E6" s="305">
        <v>43831</v>
      </c>
      <c r="F6" s="305"/>
    </row>
    <row r="7" spans="2:8">
      <c r="B7" s="304"/>
      <c r="C7" s="304"/>
      <c r="D7" s="304"/>
    </row>
    <row r="8" spans="2:8">
      <c r="B8" s="921" t="s">
        <v>436</v>
      </c>
      <c r="C8" s="921"/>
      <c r="D8" s="922"/>
      <c r="E8" s="307">
        <f>IFERROR(IF(Values_Entered,Monthly_Payment,""), "")</f>
        <v>1003642.7600902505</v>
      </c>
    </row>
    <row r="9" spans="2:8">
      <c r="B9" s="921" t="s">
        <v>435</v>
      </c>
      <c r="C9" s="921"/>
      <c r="D9" s="922"/>
      <c r="E9" s="303">
        <f>IFERROR(IF(Values_Entered,Loan_Years*12,""), "")</f>
        <v>360</v>
      </c>
    </row>
    <row r="10" spans="2:8">
      <c r="B10" s="921" t="s">
        <v>434</v>
      </c>
      <c r="C10" s="921"/>
      <c r="D10" s="922"/>
      <c r="E10" s="302">
        <f>IFERROR(IF(Values_Entered,Total_Cost-Loan_Amount,""), "")</f>
        <v>157294037.38843432</v>
      </c>
    </row>
    <row r="11" spans="2:8">
      <c r="B11" s="921" t="s">
        <v>433</v>
      </c>
      <c r="C11" s="921"/>
      <c r="D11" s="922"/>
      <c r="E11" s="307">
        <f>IFERROR(IF(Values_Entered,Monthly_Payment*Number_of_Payments,""), "")</f>
        <v>361311393.63249016</v>
      </c>
    </row>
    <row r="12" spans="2:8">
      <c r="B12" s="311"/>
      <c r="C12" s="311"/>
      <c r="D12" s="311"/>
      <c r="E12" s="312"/>
    </row>
    <row r="13" spans="2:8">
      <c r="B13" s="311"/>
      <c r="C13" s="314" t="s">
        <v>442</v>
      </c>
      <c r="D13" s="311"/>
      <c r="E13" s="320">
        <f>phase2stabilizationyear</f>
        <v>8</v>
      </c>
    </row>
    <row r="14" spans="2:8">
      <c r="B14" s="311"/>
      <c r="C14" s="314" t="s">
        <v>186</v>
      </c>
      <c r="D14" s="311"/>
      <c r="E14" s="320">
        <f>dispositionyear</f>
        <v>10</v>
      </c>
      <c r="F14" s="313"/>
    </row>
    <row r="15" spans="2:8">
      <c r="B15" s="311"/>
      <c r="C15" s="315" t="s">
        <v>444</v>
      </c>
      <c r="E15" s="321">
        <f>(E14-E13)*12</f>
        <v>24</v>
      </c>
    </row>
    <row r="16" spans="2:8">
      <c r="B16" s="311"/>
      <c r="C16" s="314" t="s">
        <v>443</v>
      </c>
      <c r="D16" s="311"/>
      <c r="E16" s="312">
        <f>VLOOKUP(E15,Loan3[#All],7,TRUE)</f>
        <v>196989377.68585208</v>
      </c>
    </row>
    <row r="17" spans="2:8" ht="38.5" customHeight="1">
      <c r="B17" s="301" t="s">
        <v>432</v>
      </c>
      <c r="C17" s="301" t="s">
        <v>281</v>
      </c>
      <c r="D17" s="301" t="s">
        <v>431</v>
      </c>
      <c r="E17" s="301" t="s">
        <v>430</v>
      </c>
      <c r="F17" s="301" t="s">
        <v>429</v>
      </c>
      <c r="G17" s="301" t="s">
        <v>428</v>
      </c>
      <c r="H17" s="301" t="s">
        <v>427</v>
      </c>
    </row>
    <row r="18" spans="2:8">
      <c r="B18" s="300">
        <f>IFERROR(IF(Loan_Not_Paid*Values_Entered,Payment_Number,""), "")</f>
        <v>1</v>
      </c>
      <c r="C18" s="299"/>
      <c r="D18" s="298">
        <f>IFERROR(IF(Loan_Not_Paid*Values_Entered,Beginning_Balance,""), "")</f>
        <v>204017356.24405584</v>
      </c>
      <c r="E18" s="298">
        <f>IFERROR(IF(Loan_Not_Paid*Values_Entered,Monthly_Payment,""), "")</f>
        <v>1003642.7600902505</v>
      </c>
      <c r="F18" s="298">
        <f>IFERROR(IF(Loan_Not_Paid*Values_Entered,Principal,""), "")</f>
        <v>281081.29005921929</v>
      </c>
      <c r="G18" s="298">
        <f>IFERROR(IF(Loan_Not_Paid*Values_Entered,Interest,""), "")</f>
        <v>722561.47003103117</v>
      </c>
      <c r="H18" s="298">
        <f>IFERROR(IF(Loan_Not_Paid*Values_Entered,Ending_Balance,""), "")</f>
        <v>203736274.9539966</v>
      </c>
    </row>
    <row r="19" spans="2:8">
      <c r="B19" s="300">
        <f>IFERROR(IF(Loan_Not_Paid*Values_Entered,Payment_Number,""), "")</f>
        <v>2</v>
      </c>
      <c r="C19" s="299"/>
      <c r="D19" s="298">
        <f>IFERROR(IF(Loan_Not_Paid*Values_Entered,Beginning_Balance,""), "")</f>
        <v>203736274.9539966</v>
      </c>
      <c r="E19" s="298">
        <f>IFERROR(IF(Loan_Not_Paid*Values_Entered,Monthly_Payment,""), "")</f>
        <v>1003642.7600902505</v>
      </c>
      <c r="F19" s="298">
        <f>IFERROR(IF(Loan_Not_Paid*Values_Entered,Principal,""), "")</f>
        <v>282076.78629484563</v>
      </c>
      <c r="G19" s="298">
        <f>IFERROR(IF(Loan_Not_Paid*Values_Entered,Interest,""), "")</f>
        <v>721565.97379540477</v>
      </c>
      <c r="H19" s="298">
        <f>IFERROR(IF(Loan_Not_Paid*Values_Entered,Ending_Balance,""), "")</f>
        <v>203454198.16770175</v>
      </c>
    </row>
    <row r="20" spans="2:8">
      <c r="B20" s="300">
        <f>IFERROR(IF(Loan_Not_Paid*Values_Entered,Payment_Number,""), "")</f>
        <v>3</v>
      </c>
      <c r="C20" s="299"/>
      <c r="D20" s="298">
        <f>IFERROR(IF(Loan_Not_Paid*Values_Entered,Beginning_Balance,""), "")</f>
        <v>203454198.16770175</v>
      </c>
      <c r="E20" s="298">
        <f>IFERROR(IF(Loan_Not_Paid*Values_Entered,Monthly_Payment,""), "")</f>
        <v>1003642.7600902505</v>
      </c>
      <c r="F20" s="298">
        <f>IFERROR(IF(Loan_Not_Paid*Values_Entered,Principal,""), "")</f>
        <v>283075.80824630661</v>
      </c>
      <c r="G20" s="298">
        <f>IFERROR(IF(Loan_Not_Paid*Values_Entered,Interest,""), "")</f>
        <v>720566.95184394391</v>
      </c>
      <c r="H20" s="298">
        <f>IFERROR(IF(Loan_Not_Paid*Values_Entered,Ending_Balance,""), "")</f>
        <v>203171122.35945541</v>
      </c>
    </row>
    <row r="21" spans="2:8">
      <c r="B21" s="300">
        <f>IFERROR(IF(Loan_Not_Paid*Values_Entered,Payment_Number,""), "")</f>
        <v>4</v>
      </c>
      <c r="C21" s="299"/>
      <c r="D21" s="298">
        <f>IFERROR(IF(Loan_Not_Paid*Values_Entered,Beginning_Balance,""), "")</f>
        <v>203171122.35945541</v>
      </c>
      <c r="E21" s="298">
        <f>IFERROR(IF(Loan_Not_Paid*Values_Entered,Monthly_Payment,""), "")</f>
        <v>1003642.7600902505</v>
      </c>
      <c r="F21" s="298">
        <f>IFERROR(IF(Loan_Not_Paid*Values_Entered,Principal,""), "")</f>
        <v>284078.3684005122</v>
      </c>
      <c r="G21" s="298">
        <f>IFERROR(IF(Loan_Not_Paid*Values_Entered,Interest,""), "")</f>
        <v>719564.39168973826</v>
      </c>
      <c r="H21" s="298">
        <f>IFERROR(IF(Loan_Not_Paid*Values_Entered,Ending_Balance,""), "")</f>
        <v>202887043.99105492</v>
      </c>
    </row>
    <row r="22" spans="2:8">
      <c r="B22" s="300">
        <f>IFERROR(IF(Loan_Not_Paid*Values_Entered,Payment_Number,""), "")</f>
        <v>5</v>
      </c>
      <c r="C22" s="299"/>
      <c r="D22" s="298">
        <f>IFERROR(IF(Loan_Not_Paid*Values_Entered,Beginning_Balance,""), "")</f>
        <v>202887043.99105492</v>
      </c>
      <c r="E22" s="298">
        <f>IFERROR(IF(Loan_Not_Paid*Values_Entered,Monthly_Payment,""), "")</f>
        <v>1003642.7600902505</v>
      </c>
      <c r="F22" s="298">
        <f>IFERROR(IF(Loan_Not_Paid*Values_Entered,Principal,""), "")</f>
        <v>285084.47928859742</v>
      </c>
      <c r="G22" s="298">
        <f>IFERROR(IF(Loan_Not_Paid*Values_Entered,Interest,""), "")</f>
        <v>718558.28080165316</v>
      </c>
      <c r="H22" s="298">
        <f>IFERROR(IF(Loan_Not_Paid*Values_Entered,Ending_Balance,""), "")</f>
        <v>202601959.51176631</v>
      </c>
    </row>
    <row r="23" spans="2:8">
      <c r="B23" s="300">
        <f>IFERROR(IF(Loan_Not_Paid*Values_Entered,Payment_Number,""), "")</f>
        <v>6</v>
      </c>
      <c r="C23" s="299"/>
      <c r="D23" s="298">
        <f>IFERROR(IF(Loan_Not_Paid*Values_Entered,Beginning_Balance,""), "")</f>
        <v>202601959.51176631</v>
      </c>
      <c r="E23" s="298">
        <f>IFERROR(IF(Loan_Not_Paid*Values_Entered,Monthly_Payment,""), "")</f>
        <v>1003642.7600902505</v>
      </c>
      <c r="F23" s="298">
        <f>IFERROR(IF(Loan_Not_Paid*Values_Entered,Principal,""), "")</f>
        <v>286094.15348607779</v>
      </c>
      <c r="G23" s="298">
        <f>IFERROR(IF(Loan_Not_Paid*Values_Entered,Interest,""), "")</f>
        <v>717548.60660417262</v>
      </c>
      <c r="H23" s="298">
        <f>IFERROR(IF(Loan_Not_Paid*Values_Entered,Ending_Balance,""), "")</f>
        <v>202315865.35828021</v>
      </c>
    </row>
    <row r="24" spans="2:8">
      <c r="B24" s="300">
        <f>IFERROR(IF(Loan_Not_Paid*Values_Entered,Payment_Number,""), "")</f>
        <v>7</v>
      </c>
      <c r="C24" s="299"/>
      <c r="D24" s="298">
        <f>IFERROR(IF(Loan_Not_Paid*Values_Entered,Beginning_Balance,""), "")</f>
        <v>202315865.35828021</v>
      </c>
      <c r="E24" s="298">
        <f>IFERROR(IF(Loan_Not_Paid*Values_Entered,Monthly_Payment,""), "")</f>
        <v>1003642.7600902505</v>
      </c>
      <c r="F24" s="298">
        <f>IFERROR(IF(Loan_Not_Paid*Values_Entered,Principal,""), "")</f>
        <v>287107.40361300769</v>
      </c>
      <c r="G24" s="298">
        <f>IFERROR(IF(Loan_Not_Paid*Values_Entered,Interest,""), "")</f>
        <v>716535.35647724278</v>
      </c>
      <c r="H24" s="298">
        <f>IFERROR(IF(Loan_Not_Paid*Values_Entered,Ending_Balance,""), "")</f>
        <v>202028757.95466718</v>
      </c>
    </row>
    <row r="25" spans="2:8">
      <c r="B25" s="300">
        <f>IFERROR(IF(Loan_Not_Paid*Values_Entered,Payment_Number,""), "")</f>
        <v>8</v>
      </c>
      <c r="C25" s="299"/>
      <c r="D25" s="298">
        <f>IFERROR(IF(Loan_Not_Paid*Values_Entered,Beginning_Balance,""), "")</f>
        <v>202028757.95466718</v>
      </c>
      <c r="E25" s="298">
        <f>IFERROR(IF(Loan_Not_Paid*Values_Entered,Monthly_Payment,""), "")</f>
        <v>1003642.7600902505</v>
      </c>
      <c r="F25" s="298">
        <f>IFERROR(IF(Loan_Not_Paid*Values_Entered,Principal,""), "")</f>
        <v>288124.24233413709</v>
      </c>
      <c r="G25" s="298">
        <f>IFERROR(IF(Loan_Not_Paid*Values_Entered,Interest,""), "")</f>
        <v>715518.51775611343</v>
      </c>
      <c r="H25" s="298">
        <f>IFERROR(IF(Loan_Not_Paid*Values_Entered,Ending_Balance,""), "")</f>
        <v>201740633.71233302</v>
      </c>
    </row>
    <row r="26" spans="2:8">
      <c r="B26" s="300">
        <f>IFERROR(IF(Loan_Not_Paid*Values_Entered,Payment_Number,""), "")</f>
        <v>9</v>
      </c>
      <c r="C26" s="299"/>
      <c r="D26" s="298">
        <f>IFERROR(IF(Loan_Not_Paid*Values_Entered,Beginning_Balance,""), "")</f>
        <v>201740633.71233302</v>
      </c>
      <c r="E26" s="298">
        <f>IFERROR(IF(Loan_Not_Paid*Values_Entered,Monthly_Payment,""), "")</f>
        <v>1003642.7600902505</v>
      </c>
      <c r="F26" s="298">
        <f>IFERROR(IF(Loan_Not_Paid*Values_Entered,Principal,""), "")</f>
        <v>289144.68235907052</v>
      </c>
      <c r="G26" s="298">
        <f>IFERROR(IF(Loan_Not_Paid*Values_Entered,Interest,""), "")</f>
        <v>714498.07773118</v>
      </c>
      <c r="H26" s="298">
        <f>IFERROR(IF(Loan_Not_Paid*Values_Entered,Ending_Balance,""), "")</f>
        <v>201451489.02997398</v>
      </c>
    </row>
    <row r="27" spans="2:8">
      <c r="B27" s="300">
        <f>IFERROR(IF(Loan_Not_Paid*Values_Entered,Payment_Number,""), "")</f>
        <v>10</v>
      </c>
      <c r="C27" s="299"/>
      <c r="D27" s="298">
        <f>IFERROR(IF(Loan_Not_Paid*Values_Entered,Beginning_Balance,""), "")</f>
        <v>201451489.02997398</v>
      </c>
      <c r="E27" s="298">
        <f>IFERROR(IF(Loan_Not_Paid*Values_Entered,Monthly_Payment,""), "")</f>
        <v>1003642.7600902505</v>
      </c>
      <c r="F27" s="298">
        <f>IFERROR(IF(Loan_Not_Paid*Values_Entered,Principal,""), "")</f>
        <v>290168.73644242552</v>
      </c>
      <c r="G27" s="298">
        <f>IFERROR(IF(Loan_Not_Paid*Values_Entered,Interest,""), "")</f>
        <v>713474.023647825</v>
      </c>
      <c r="H27" s="298">
        <f>IFERROR(IF(Loan_Not_Paid*Values_Entered,Ending_Balance,""), "")</f>
        <v>201161320.29353154</v>
      </c>
    </row>
    <row r="28" spans="2:8">
      <c r="B28" s="300">
        <f>IFERROR(IF(Loan_Not_Paid*Values_Entered,Payment_Number,""), "")</f>
        <v>11</v>
      </c>
      <c r="C28" s="299"/>
      <c r="D28" s="298">
        <f>IFERROR(IF(Loan_Not_Paid*Values_Entered,Beginning_Balance,""), "")</f>
        <v>201161320.29353154</v>
      </c>
      <c r="E28" s="298">
        <f>IFERROR(IF(Loan_Not_Paid*Values_Entered,Monthly_Payment,""), "")</f>
        <v>1003642.7600902505</v>
      </c>
      <c r="F28" s="298">
        <f>IFERROR(IF(Loan_Not_Paid*Values_Entered,Principal,""), "")</f>
        <v>291196.41738399252</v>
      </c>
      <c r="G28" s="298">
        <f>IFERROR(IF(Loan_Not_Paid*Values_Entered,Interest,""), "")</f>
        <v>712446.34270625794</v>
      </c>
      <c r="H28" s="298">
        <f>IFERROR(IF(Loan_Not_Paid*Values_Entered,Ending_Balance,""), "")</f>
        <v>200870123.87614751</v>
      </c>
    </row>
    <row r="29" spans="2:8">
      <c r="B29" s="300">
        <f>IFERROR(IF(Loan_Not_Paid*Values_Entered,Payment_Number,""), "")</f>
        <v>12</v>
      </c>
      <c r="C29" s="299"/>
      <c r="D29" s="298">
        <f>IFERROR(IF(Loan_Not_Paid*Values_Entered,Beginning_Balance,""), "")</f>
        <v>200870123.87614751</v>
      </c>
      <c r="E29" s="298">
        <f>IFERROR(IF(Loan_Not_Paid*Values_Entered,Monthly_Payment,""), "")</f>
        <v>1003642.7600902505</v>
      </c>
      <c r="F29" s="298">
        <f>IFERROR(IF(Loan_Not_Paid*Values_Entered,Principal,""), "")</f>
        <v>292227.73802889406</v>
      </c>
      <c r="G29" s="298">
        <f>IFERROR(IF(Loan_Not_Paid*Values_Entered,Interest,""), "")</f>
        <v>711415.02206135634</v>
      </c>
      <c r="H29" s="298">
        <f>IFERROR(IF(Loan_Not_Paid*Values_Entered,Ending_Balance,""), "")</f>
        <v>200577896.13811862</v>
      </c>
    </row>
    <row r="30" spans="2:8">
      <c r="B30" s="300">
        <f>IFERROR(IF(Loan_Not_Paid*Values_Entered,Payment_Number,""), "")</f>
        <v>13</v>
      </c>
      <c r="C30" s="299"/>
      <c r="D30" s="298">
        <f>IFERROR(IF(Loan_Not_Paid*Values_Entered,Beginning_Balance,""), "")</f>
        <v>200577896.13811862</v>
      </c>
      <c r="E30" s="298">
        <f>IFERROR(IF(Loan_Not_Paid*Values_Entered,Monthly_Payment,""), "")</f>
        <v>1003642.7600902505</v>
      </c>
      <c r="F30" s="298">
        <f>IFERROR(IF(Loan_Not_Paid*Values_Entered,Principal,""), "")</f>
        <v>293262.71126774646</v>
      </c>
      <c r="G30" s="298">
        <f>IFERROR(IF(Loan_Not_Paid*Values_Entered,Interest,""), "")</f>
        <v>710380.048822504</v>
      </c>
      <c r="H30" s="298">
        <f>IFERROR(IF(Loan_Not_Paid*Values_Entered,Ending_Balance,""), "")</f>
        <v>200284633.42685089</v>
      </c>
    </row>
    <row r="31" spans="2:8">
      <c r="B31" s="300">
        <f>IFERROR(IF(Loan_Not_Paid*Values_Entered,Payment_Number,""), "")</f>
        <v>14</v>
      </c>
      <c r="C31" s="299"/>
      <c r="D31" s="298">
        <f>IFERROR(IF(Loan_Not_Paid*Values_Entered,Beginning_Balance,""), "")</f>
        <v>200284633.42685089</v>
      </c>
      <c r="E31" s="298">
        <f>IFERROR(IF(Loan_Not_Paid*Values_Entered,Monthly_Payment,""), "")</f>
        <v>1003642.7600902505</v>
      </c>
      <c r="F31" s="298">
        <f>IFERROR(IF(Loan_Not_Paid*Values_Entered,Principal,""), "")</f>
        <v>294301.3500368197</v>
      </c>
      <c r="G31" s="298">
        <f>IFERROR(IF(Loan_Not_Paid*Values_Entered,Interest,""), "")</f>
        <v>709341.41005343082</v>
      </c>
      <c r="H31" s="298">
        <f>IFERROR(IF(Loan_Not_Paid*Values_Entered,Ending_Balance,""), "")</f>
        <v>199990332.07681403</v>
      </c>
    </row>
    <row r="32" spans="2:8">
      <c r="B32" s="300">
        <f>IFERROR(IF(Loan_Not_Paid*Values_Entered,Payment_Number,""), "")</f>
        <v>15</v>
      </c>
      <c r="C32" s="299"/>
      <c r="D32" s="298">
        <f>IFERROR(IF(Loan_Not_Paid*Values_Entered,Beginning_Balance,""), "")</f>
        <v>199990332.07681403</v>
      </c>
      <c r="E32" s="298">
        <f>IFERROR(IF(Loan_Not_Paid*Values_Entered,Monthly_Payment,""), "")</f>
        <v>1003642.7600902505</v>
      </c>
      <c r="F32" s="298">
        <f>IFERROR(IF(Loan_Not_Paid*Values_Entered,Principal,""), "")</f>
        <v>295343.66731820017</v>
      </c>
      <c r="G32" s="298">
        <f>IFERROR(IF(Loan_Not_Paid*Values_Entered,Interest,""), "")</f>
        <v>708299.09277205041</v>
      </c>
      <c r="H32" s="298">
        <f>IFERROR(IF(Loan_Not_Paid*Values_Entered,Ending_Balance,""), "")</f>
        <v>199694988.40949583</v>
      </c>
    </row>
    <row r="33" spans="2:8">
      <c r="B33" s="300">
        <f>IFERROR(IF(Loan_Not_Paid*Values_Entered,Payment_Number,""), "")</f>
        <v>16</v>
      </c>
      <c r="C33" s="299"/>
      <c r="D33" s="298">
        <f>IFERROR(IF(Loan_Not_Paid*Values_Entered,Beginning_Balance,""), "")</f>
        <v>199694988.40949583</v>
      </c>
      <c r="E33" s="298">
        <f>IFERROR(IF(Loan_Not_Paid*Values_Entered,Monthly_Payment,""), "")</f>
        <v>1003642.7600902505</v>
      </c>
      <c r="F33" s="298">
        <f>IFERROR(IF(Loan_Not_Paid*Values_Entered,Principal,""), "")</f>
        <v>296389.67613995203</v>
      </c>
      <c r="G33" s="298">
        <f>IFERROR(IF(Loan_Not_Paid*Values_Entered,Interest,""), "")</f>
        <v>707253.08395029837</v>
      </c>
      <c r="H33" s="298">
        <f>IFERROR(IF(Loan_Not_Paid*Values_Entered,Ending_Balance,""), "")</f>
        <v>199398598.73335588</v>
      </c>
    </row>
    <row r="34" spans="2:8">
      <c r="B34" s="300">
        <f>IFERROR(IF(Loan_Not_Paid*Values_Entered,Payment_Number,""), "")</f>
        <v>17</v>
      </c>
      <c r="C34" s="299"/>
      <c r="D34" s="298">
        <f>IFERROR(IF(Loan_Not_Paid*Values_Entered,Beginning_Balance,""), "")</f>
        <v>199398598.73335588</v>
      </c>
      <c r="E34" s="298">
        <f>IFERROR(IF(Loan_Not_Paid*Values_Entered,Monthly_Payment,""), "")</f>
        <v>1003642.7600902505</v>
      </c>
      <c r="F34" s="298">
        <f>IFERROR(IF(Loan_Not_Paid*Values_Entered,Principal,""), "")</f>
        <v>297439.38957628107</v>
      </c>
      <c r="G34" s="298">
        <f>IFERROR(IF(Loan_Not_Paid*Values_Entered,Interest,""), "")</f>
        <v>706203.37051396933</v>
      </c>
      <c r="H34" s="298">
        <f>IFERROR(IF(Loan_Not_Paid*Values_Entered,Ending_Balance,""), "")</f>
        <v>199101159.34377956</v>
      </c>
    </row>
    <row r="35" spans="2:8">
      <c r="B35" s="300">
        <f>IFERROR(IF(Loan_Not_Paid*Values_Entered,Payment_Number,""), "")</f>
        <v>18</v>
      </c>
      <c r="C35" s="299"/>
      <c r="D35" s="298">
        <f>IFERROR(IF(Loan_Not_Paid*Values_Entered,Beginning_Balance,""), "")</f>
        <v>199101159.34377956</v>
      </c>
      <c r="E35" s="298">
        <f>IFERROR(IF(Loan_Not_Paid*Values_Entered,Monthly_Payment,""), "")</f>
        <v>1003642.7600902505</v>
      </c>
      <c r="F35" s="298">
        <f>IFERROR(IF(Loan_Not_Paid*Values_Entered,Principal,""), "")</f>
        <v>298492.82074769709</v>
      </c>
      <c r="G35" s="298">
        <f>IFERROR(IF(Loan_Not_Paid*Values_Entered,Interest,""), "")</f>
        <v>705149.93934255349</v>
      </c>
      <c r="H35" s="298">
        <f>IFERROR(IF(Loan_Not_Paid*Values_Entered,Ending_Balance,""), "")</f>
        <v>198802666.52303186</v>
      </c>
    </row>
    <row r="36" spans="2:8">
      <c r="B36" s="300">
        <f>IFERROR(IF(Loan_Not_Paid*Values_Entered,Payment_Number,""), "")</f>
        <v>19</v>
      </c>
      <c r="C36" s="299"/>
      <c r="D36" s="298">
        <f>IFERROR(IF(Loan_Not_Paid*Values_Entered,Beginning_Balance,""), "")</f>
        <v>198802666.52303186</v>
      </c>
      <c r="E36" s="298">
        <f>IFERROR(IF(Loan_Not_Paid*Values_Entered,Monthly_Payment,""), "")</f>
        <v>1003642.7600902505</v>
      </c>
      <c r="F36" s="298">
        <f>IFERROR(IF(Loan_Not_Paid*Values_Entered,Principal,""), "")</f>
        <v>299549.98282117851</v>
      </c>
      <c r="G36" s="298">
        <f>IFERROR(IF(Loan_Not_Paid*Values_Entered,Interest,""), "")</f>
        <v>704092.77726907202</v>
      </c>
      <c r="H36" s="298">
        <f>IFERROR(IF(Loan_Not_Paid*Values_Entered,Ending_Balance,""), "")</f>
        <v>198503116.54021069</v>
      </c>
    </row>
    <row r="37" spans="2:8">
      <c r="B37" s="300">
        <f>IFERROR(IF(Loan_Not_Paid*Values_Entered,Payment_Number,""), "")</f>
        <v>20</v>
      </c>
      <c r="C37" s="299"/>
      <c r="D37" s="298">
        <f>IFERROR(IF(Loan_Not_Paid*Values_Entered,Beginning_Balance,""), "")</f>
        <v>198503116.54021069</v>
      </c>
      <c r="E37" s="298">
        <f>IFERROR(IF(Loan_Not_Paid*Values_Entered,Monthly_Payment,""), "")</f>
        <v>1003642.7600902505</v>
      </c>
      <c r="F37" s="298">
        <f>IFERROR(IF(Loan_Not_Paid*Values_Entered,Principal,""), "")</f>
        <v>300610.88901033689</v>
      </c>
      <c r="G37" s="298">
        <f>IFERROR(IF(Loan_Not_Paid*Values_Entered,Interest,""), "")</f>
        <v>703031.87107991369</v>
      </c>
      <c r="H37" s="298">
        <f>IFERROR(IF(Loan_Not_Paid*Values_Entered,Ending_Balance,""), "")</f>
        <v>198202505.65120035</v>
      </c>
    </row>
    <row r="38" spans="2:8">
      <c r="B38" s="300">
        <f>IFERROR(IF(Loan_Not_Paid*Values_Entered,Payment_Number,""), "")</f>
        <v>21</v>
      </c>
      <c r="C38" s="299"/>
      <c r="D38" s="298">
        <f>IFERROR(IF(Loan_Not_Paid*Values_Entered,Beginning_Balance,""), "")</f>
        <v>198202505.65120035</v>
      </c>
      <c r="E38" s="298">
        <f>IFERROR(IF(Loan_Not_Paid*Values_Entered,Monthly_Payment,""), "")</f>
        <v>1003642.7600902505</v>
      </c>
      <c r="F38" s="298">
        <f>IFERROR(IF(Loan_Not_Paid*Values_Entered,Principal,""), "")</f>
        <v>301675.55257558177</v>
      </c>
      <c r="G38" s="298">
        <f>IFERROR(IF(Loan_Not_Paid*Values_Entered,Interest,""), "")</f>
        <v>701967.2075146687</v>
      </c>
      <c r="H38" s="298">
        <f>IFERROR(IF(Loan_Not_Paid*Values_Entered,Ending_Balance,""), "")</f>
        <v>197900830.09862474</v>
      </c>
    </row>
    <row r="39" spans="2:8">
      <c r="B39" s="300">
        <f>IFERROR(IF(Loan_Not_Paid*Values_Entered,Payment_Number,""), "")</f>
        <v>22</v>
      </c>
      <c r="C39" s="299"/>
      <c r="D39" s="298">
        <f>IFERROR(IF(Loan_Not_Paid*Values_Entered,Beginning_Balance,""), "")</f>
        <v>197900830.09862474</v>
      </c>
      <c r="E39" s="298">
        <f>IFERROR(IF(Loan_Not_Paid*Values_Entered,Monthly_Payment,""), "")</f>
        <v>1003642.7600902505</v>
      </c>
      <c r="F39" s="298">
        <f>IFERROR(IF(Loan_Not_Paid*Values_Entered,Principal,""), "")</f>
        <v>302743.98682428704</v>
      </c>
      <c r="G39" s="298">
        <f>IFERROR(IF(Loan_Not_Paid*Values_Entered,Interest,""), "")</f>
        <v>700898.77326596354</v>
      </c>
      <c r="H39" s="298">
        <f>IFERROR(IF(Loan_Not_Paid*Values_Entered,Ending_Balance,""), "")</f>
        <v>197598086.11180043</v>
      </c>
    </row>
    <row r="40" spans="2:8">
      <c r="B40" s="300">
        <f>IFERROR(IF(Loan_Not_Paid*Values_Entered,Payment_Number,""), "")</f>
        <v>23</v>
      </c>
      <c r="C40" s="299"/>
      <c r="D40" s="298">
        <f>IFERROR(IF(Loan_Not_Paid*Values_Entered,Beginning_Balance,""), "")</f>
        <v>197598086.11180043</v>
      </c>
      <c r="E40" s="298">
        <f>IFERROR(IF(Loan_Not_Paid*Values_Entered,Monthly_Payment,""), "")</f>
        <v>1003642.7600902505</v>
      </c>
      <c r="F40" s="298">
        <f>IFERROR(IF(Loan_Not_Paid*Values_Entered,Principal,""), "")</f>
        <v>303816.20511095633</v>
      </c>
      <c r="G40" s="298">
        <f>IFERROR(IF(Loan_Not_Paid*Values_Entered,Interest,""), "")</f>
        <v>699826.55497929419</v>
      </c>
      <c r="H40" s="298">
        <f>IFERROR(IF(Loan_Not_Paid*Values_Entered,Ending_Balance,""), "")</f>
        <v>197294269.90668947</v>
      </c>
    </row>
    <row r="41" spans="2:8">
      <c r="B41" s="300">
        <f>IFERROR(IF(Loan_Not_Paid*Values_Entered,Payment_Number,""), "")</f>
        <v>24</v>
      </c>
      <c r="C41" s="299"/>
      <c r="D41" s="298">
        <f>IFERROR(IF(Loan_Not_Paid*Values_Entered,Beginning_Balance,""), "")</f>
        <v>197294269.90668947</v>
      </c>
      <c r="E41" s="298">
        <f>IFERROR(IF(Loan_Not_Paid*Values_Entered,Monthly_Payment,""), "")</f>
        <v>1003642.7600902505</v>
      </c>
      <c r="F41" s="298">
        <f>IFERROR(IF(Loan_Not_Paid*Values_Entered,Principal,""), "")</f>
        <v>304892.22083739098</v>
      </c>
      <c r="G41" s="298">
        <f>IFERROR(IF(Loan_Not_Paid*Values_Entered,Interest,""), "")</f>
        <v>698750.53925285942</v>
      </c>
      <c r="H41" s="298">
        <f>IFERROR(IF(Loan_Not_Paid*Values_Entered,Ending_Balance,""), "")</f>
        <v>196989377.68585208</v>
      </c>
    </row>
    <row r="42" spans="2:8">
      <c r="B42" s="300">
        <f>IFERROR(IF(Loan_Not_Paid*Values_Entered,Payment_Number,""), "")</f>
        <v>25</v>
      </c>
      <c r="C42" s="299"/>
      <c r="D42" s="298">
        <f>IFERROR(IF(Loan_Not_Paid*Values_Entered,Beginning_Balance,""), "")</f>
        <v>196989377.68585208</v>
      </c>
      <c r="E42" s="298">
        <f>IFERROR(IF(Loan_Not_Paid*Values_Entered,Monthly_Payment,""), "")</f>
        <v>1003642.7600902505</v>
      </c>
      <c r="F42" s="298">
        <f>IFERROR(IF(Loan_Not_Paid*Values_Entered,Principal,""), "")</f>
        <v>305972.04745285673</v>
      </c>
      <c r="G42" s="298">
        <f>IFERROR(IF(Loan_Not_Paid*Values_Entered,Interest,""), "")</f>
        <v>697670.71263739374</v>
      </c>
      <c r="H42" s="298">
        <f>IFERROR(IF(Loan_Not_Paid*Values_Entered,Ending_Balance,""), "")</f>
        <v>196683405.63839921</v>
      </c>
    </row>
    <row r="43" spans="2:8">
      <c r="B43" s="300">
        <f>IFERROR(IF(Loan_Not_Paid*Values_Entered,Payment_Number,""), "")</f>
        <v>26</v>
      </c>
      <c r="C43" s="299"/>
      <c r="D43" s="298">
        <f>IFERROR(IF(Loan_Not_Paid*Values_Entered,Beginning_Balance,""), "")</f>
        <v>196683405.63839921</v>
      </c>
      <c r="E43" s="298">
        <f>IFERROR(IF(Loan_Not_Paid*Values_Entered,Monthly_Payment,""), "")</f>
        <v>1003642.7600902505</v>
      </c>
      <c r="F43" s="298">
        <f>IFERROR(IF(Loan_Not_Paid*Values_Entered,Principal,""), "")</f>
        <v>307055.69845425233</v>
      </c>
      <c r="G43" s="298">
        <f>IFERROR(IF(Loan_Not_Paid*Values_Entered,Interest,""), "")</f>
        <v>696587.06163599819</v>
      </c>
      <c r="H43" s="298">
        <f>IFERROR(IF(Loan_Not_Paid*Values_Entered,Ending_Balance,""), "")</f>
        <v>196376349.93994495</v>
      </c>
    </row>
    <row r="44" spans="2:8">
      <c r="B44" s="300">
        <f>IFERROR(IF(Loan_Not_Paid*Values_Entered,Payment_Number,""), "")</f>
        <v>27</v>
      </c>
      <c r="C44" s="299"/>
      <c r="D44" s="298">
        <f>IFERROR(IF(Loan_Not_Paid*Values_Entered,Beginning_Balance,""), "")</f>
        <v>196376349.93994495</v>
      </c>
      <c r="E44" s="298">
        <f>IFERROR(IF(Loan_Not_Paid*Values_Entered,Monthly_Payment,""), "")</f>
        <v>1003642.7600902505</v>
      </c>
      <c r="F44" s="298">
        <f>IFERROR(IF(Loan_Not_Paid*Values_Entered,Principal,""), "")</f>
        <v>308143.18738627777</v>
      </c>
      <c r="G44" s="298">
        <f>IFERROR(IF(Loan_Not_Paid*Values_Entered,Interest,""), "")</f>
        <v>695499.57270397269</v>
      </c>
      <c r="H44" s="298">
        <f>IFERROR(IF(Loan_Not_Paid*Values_Entered,Ending_Balance,""), "")</f>
        <v>196068206.75255865</v>
      </c>
    </row>
    <row r="45" spans="2:8">
      <c r="B45" s="300">
        <f>IFERROR(IF(Loan_Not_Paid*Values_Entered,Payment_Number,""), "")</f>
        <v>28</v>
      </c>
      <c r="C45" s="299"/>
      <c r="D45" s="298">
        <f>IFERROR(IF(Loan_Not_Paid*Values_Entered,Beginning_Balance,""), "")</f>
        <v>196068206.75255865</v>
      </c>
      <c r="E45" s="298">
        <f>IFERROR(IF(Loan_Not_Paid*Values_Entered,Monthly_Payment,""), "")</f>
        <v>1003642.7600902505</v>
      </c>
      <c r="F45" s="298">
        <f>IFERROR(IF(Loan_Not_Paid*Values_Entered,Principal,""), "")</f>
        <v>309234.5278416042</v>
      </c>
      <c r="G45" s="298">
        <f>IFERROR(IF(Loan_Not_Paid*Values_Entered,Interest,""), "")</f>
        <v>694408.23224864621</v>
      </c>
      <c r="H45" s="298">
        <f>IFERROR(IF(Loan_Not_Paid*Values_Entered,Ending_Balance,""), "")</f>
        <v>195758972.22471705</v>
      </c>
    </row>
    <row r="46" spans="2:8">
      <c r="B46" s="300">
        <f>IFERROR(IF(Loan_Not_Paid*Values_Entered,Payment_Number,""), "")</f>
        <v>29</v>
      </c>
      <c r="C46" s="299"/>
      <c r="D46" s="298">
        <f>IFERROR(IF(Loan_Not_Paid*Values_Entered,Beginning_Balance,""), "")</f>
        <v>195758972.22471705</v>
      </c>
      <c r="E46" s="298">
        <f>IFERROR(IF(Loan_Not_Paid*Values_Entered,Monthly_Payment,""), "")</f>
        <v>1003642.7600902505</v>
      </c>
      <c r="F46" s="298">
        <f>IFERROR(IF(Loan_Not_Paid*Values_Entered,Principal,""), "")</f>
        <v>310329.73346104316</v>
      </c>
      <c r="G46" s="298">
        <f>IFERROR(IF(Loan_Not_Paid*Values_Entered,Interest,""), "")</f>
        <v>693313.02662920731</v>
      </c>
      <c r="H46" s="298">
        <f>IFERROR(IF(Loan_Not_Paid*Values_Entered,Ending_Balance,""), "")</f>
        <v>195448642.49125597</v>
      </c>
    </row>
    <row r="47" spans="2:8">
      <c r="B47" s="300">
        <f>IFERROR(IF(Loan_Not_Paid*Values_Entered,Payment_Number,""), "")</f>
        <v>30</v>
      </c>
      <c r="C47" s="299"/>
      <c r="D47" s="298">
        <f>IFERROR(IF(Loan_Not_Paid*Values_Entered,Beginning_Balance,""), "")</f>
        <v>195448642.49125597</v>
      </c>
      <c r="E47" s="298">
        <f>IFERROR(IF(Loan_Not_Paid*Values_Entered,Monthly_Payment,""), "")</f>
        <v>1003642.7600902505</v>
      </c>
      <c r="F47" s="298">
        <f>IFERROR(IF(Loan_Not_Paid*Values_Entered,Principal,""), "")</f>
        <v>311428.81793371768</v>
      </c>
      <c r="G47" s="298">
        <f>IFERROR(IF(Loan_Not_Paid*Values_Entered,Interest,""), "")</f>
        <v>692213.94215653278</v>
      </c>
      <c r="H47" s="298">
        <f>IFERROR(IF(Loan_Not_Paid*Values_Entered,Ending_Balance,""), "")</f>
        <v>195137213.67332226</v>
      </c>
    </row>
    <row r="48" spans="2:8">
      <c r="B48" s="300">
        <f>IFERROR(IF(Loan_Not_Paid*Values_Entered,Payment_Number,""), "")</f>
        <v>31</v>
      </c>
      <c r="C48" s="299"/>
      <c r="D48" s="298">
        <f>IFERROR(IF(Loan_Not_Paid*Values_Entered,Beginning_Balance,""), "")</f>
        <v>195137213.67332226</v>
      </c>
      <c r="E48" s="298">
        <f>IFERROR(IF(Loan_Not_Paid*Values_Entered,Monthly_Payment,""), "")</f>
        <v>1003642.7600902505</v>
      </c>
      <c r="F48" s="298">
        <f>IFERROR(IF(Loan_Not_Paid*Values_Entered,Principal,""), "")</f>
        <v>312531.79499723291</v>
      </c>
      <c r="G48" s="298">
        <f>IFERROR(IF(Loan_Not_Paid*Values_Entered,Interest,""), "")</f>
        <v>691110.96509301756</v>
      </c>
      <c r="H48" s="298">
        <f>IFERROR(IF(Loan_Not_Paid*Values_Entered,Ending_Balance,""), "")</f>
        <v>194824681.87832499</v>
      </c>
    </row>
    <row r="49" spans="2:8">
      <c r="B49" s="300">
        <f>IFERROR(IF(Loan_Not_Paid*Values_Entered,Payment_Number,""), "")</f>
        <v>32</v>
      </c>
      <c r="C49" s="299"/>
      <c r="D49" s="298">
        <f>IFERROR(IF(Loan_Not_Paid*Values_Entered,Beginning_Balance,""), "")</f>
        <v>194824681.87832499</v>
      </c>
      <c r="E49" s="298">
        <f>IFERROR(IF(Loan_Not_Paid*Values_Entered,Monthly_Payment,""), "")</f>
        <v>1003642.7600902505</v>
      </c>
      <c r="F49" s="298">
        <f>IFERROR(IF(Loan_Not_Paid*Values_Entered,Principal,""), "")</f>
        <v>313638.67843784817</v>
      </c>
      <c r="G49" s="298">
        <f>IFERROR(IF(Loan_Not_Paid*Values_Entered,Interest,""), "")</f>
        <v>690004.0816524023</v>
      </c>
      <c r="H49" s="298">
        <f>IFERROR(IF(Loan_Not_Paid*Values_Entered,Ending_Balance,""), "")</f>
        <v>194511043.19988716</v>
      </c>
    </row>
    <row r="50" spans="2:8">
      <c r="B50" s="300">
        <f>IFERROR(IF(Loan_Not_Paid*Values_Entered,Payment_Number,""), "")</f>
        <v>33</v>
      </c>
      <c r="C50" s="299"/>
      <c r="D50" s="298">
        <f>IFERROR(IF(Loan_Not_Paid*Values_Entered,Beginning_Balance,""), "")</f>
        <v>194511043.19988716</v>
      </c>
      <c r="E50" s="298">
        <f>IFERROR(IF(Loan_Not_Paid*Values_Entered,Monthly_Payment,""), "")</f>
        <v>1003642.7600902505</v>
      </c>
      <c r="F50" s="298">
        <f>IFERROR(IF(Loan_Not_Paid*Values_Entered,Principal,""), "")</f>
        <v>314749.48209064885</v>
      </c>
      <c r="G50" s="298">
        <f>IFERROR(IF(Loan_Not_Paid*Values_Entered,Interest,""), "")</f>
        <v>688893.27799960156</v>
      </c>
      <c r="H50" s="298">
        <f>IFERROR(IF(Loan_Not_Paid*Values_Entered,Ending_Balance,""), "")</f>
        <v>194196293.71779647</v>
      </c>
    </row>
    <row r="51" spans="2:8">
      <c r="B51" s="300">
        <f>IFERROR(IF(Loan_Not_Paid*Values_Entered,Payment_Number,""), "")</f>
        <v>34</v>
      </c>
      <c r="C51" s="299"/>
      <c r="D51" s="298">
        <f>IFERROR(IF(Loan_Not_Paid*Values_Entered,Beginning_Balance,""), "")</f>
        <v>194196293.71779647</v>
      </c>
      <c r="E51" s="298">
        <f>IFERROR(IF(Loan_Not_Paid*Values_Entered,Monthly_Payment,""), "")</f>
        <v>1003642.7600902505</v>
      </c>
      <c r="F51" s="298">
        <f>IFERROR(IF(Loan_Not_Paid*Values_Entered,Principal,""), "")</f>
        <v>315864.21983971994</v>
      </c>
      <c r="G51" s="298">
        <f>IFERROR(IF(Loan_Not_Paid*Values_Entered,Interest,""), "")</f>
        <v>687778.54025053047</v>
      </c>
      <c r="H51" s="298">
        <f>IFERROR(IF(Loan_Not_Paid*Values_Entered,Ending_Balance,""), "")</f>
        <v>193880429.49795675</v>
      </c>
    </row>
    <row r="52" spans="2:8">
      <c r="B52" s="300">
        <f>IFERROR(IF(Loan_Not_Paid*Values_Entered,Payment_Number,""), "")</f>
        <v>35</v>
      </c>
      <c r="C52" s="299"/>
      <c r="D52" s="298">
        <f>IFERROR(IF(Loan_Not_Paid*Values_Entered,Beginning_Balance,""), "")</f>
        <v>193880429.49795675</v>
      </c>
      <c r="E52" s="298">
        <f>IFERROR(IF(Loan_Not_Paid*Values_Entered,Monthly_Payment,""), "")</f>
        <v>1003642.7600902505</v>
      </c>
      <c r="F52" s="298">
        <f>IFERROR(IF(Loan_Not_Paid*Values_Entered,Principal,""), "")</f>
        <v>316982.90561831888</v>
      </c>
      <c r="G52" s="298">
        <f>IFERROR(IF(Loan_Not_Paid*Values_Entered,Interest,""), "")</f>
        <v>686659.85447193147</v>
      </c>
      <c r="H52" s="298">
        <f>IFERROR(IF(Loan_Not_Paid*Values_Entered,Ending_Balance,""), "")</f>
        <v>193563446.59233841</v>
      </c>
    </row>
    <row r="53" spans="2:8">
      <c r="B53" s="300">
        <f>IFERROR(IF(Loan_Not_Paid*Values_Entered,Payment_Number,""), "")</f>
        <v>36</v>
      </c>
      <c r="C53" s="299"/>
      <c r="D53" s="298">
        <f>IFERROR(IF(Loan_Not_Paid*Values_Entered,Beginning_Balance,""), "")</f>
        <v>193563446.59233841</v>
      </c>
      <c r="E53" s="298">
        <f>IFERROR(IF(Loan_Not_Paid*Values_Entered,Monthly_Payment,""), "")</f>
        <v>1003642.7600902505</v>
      </c>
      <c r="F53" s="298">
        <f>IFERROR(IF(Loan_Not_Paid*Values_Entered,Principal,""), "")</f>
        <v>318105.55340905051</v>
      </c>
      <c r="G53" s="298">
        <f>IFERROR(IF(Loan_Not_Paid*Values_Entered,Interest,""), "")</f>
        <v>685537.20668119995</v>
      </c>
      <c r="H53" s="298">
        <f>IFERROR(IF(Loan_Not_Paid*Values_Entered,Ending_Balance,""), "")</f>
        <v>193245341.03892934</v>
      </c>
    </row>
    <row r="54" spans="2:8">
      <c r="B54" s="300">
        <f>IFERROR(IF(Loan_Not_Paid*Values_Entered,Payment_Number,""), "")</f>
        <v>37</v>
      </c>
      <c r="C54" s="299"/>
      <c r="D54" s="298">
        <f>IFERROR(IF(Loan_Not_Paid*Values_Entered,Beginning_Balance,""), "")</f>
        <v>193245341.03892934</v>
      </c>
      <c r="E54" s="298">
        <f>IFERROR(IF(Loan_Not_Paid*Values_Entered,Monthly_Payment,""), "")</f>
        <v>1003642.7600902505</v>
      </c>
      <c r="F54" s="298">
        <f>IFERROR(IF(Loan_Not_Paid*Values_Entered,Principal,""), "")</f>
        <v>319232.17724404082</v>
      </c>
      <c r="G54" s="298">
        <f>IFERROR(IF(Loan_Not_Paid*Values_Entered,Interest,""), "")</f>
        <v>684410.58284620964</v>
      </c>
      <c r="H54" s="298">
        <f>IFERROR(IF(Loan_Not_Paid*Values_Entered,Ending_Balance,""), "")</f>
        <v>192926108.86168531</v>
      </c>
    </row>
    <row r="55" spans="2:8">
      <c r="B55" s="300">
        <f>IFERROR(IF(Loan_Not_Paid*Values_Entered,Payment_Number,""), "")</f>
        <v>38</v>
      </c>
      <c r="C55" s="299"/>
      <c r="D55" s="298">
        <f>IFERROR(IF(Loan_Not_Paid*Values_Entered,Beginning_Balance,""), "")</f>
        <v>192926108.86168531</v>
      </c>
      <c r="E55" s="298">
        <f>IFERROR(IF(Loan_Not_Paid*Values_Entered,Monthly_Payment,""), "")</f>
        <v>1003642.7600902505</v>
      </c>
      <c r="F55" s="298">
        <f>IFERROR(IF(Loan_Not_Paid*Values_Entered,Principal,""), "")</f>
        <v>320362.79120511352</v>
      </c>
      <c r="G55" s="298">
        <f>IFERROR(IF(Loan_Not_Paid*Values_Entered,Interest,""), "")</f>
        <v>683279.968885137</v>
      </c>
      <c r="H55" s="298">
        <f>IFERROR(IF(Loan_Not_Paid*Values_Entered,Ending_Balance,""), "")</f>
        <v>192605746.07048017</v>
      </c>
    </row>
    <row r="56" spans="2:8">
      <c r="B56" s="300">
        <f>IFERROR(IF(Loan_Not_Paid*Values_Entered,Payment_Number,""), "")</f>
        <v>39</v>
      </c>
      <c r="C56" s="299"/>
      <c r="D56" s="298">
        <f>IFERROR(IF(Loan_Not_Paid*Values_Entered,Beginning_Balance,""), "")</f>
        <v>192605746.07048017</v>
      </c>
      <c r="E56" s="298">
        <f>IFERROR(IF(Loan_Not_Paid*Values_Entered,Monthly_Payment,""), "")</f>
        <v>1003642.7600902505</v>
      </c>
      <c r="F56" s="298">
        <f>IFERROR(IF(Loan_Not_Paid*Values_Entered,Principal,""), "")</f>
        <v>321497.40942396491</v>
      </c>
      <c r="G56" s="298">
        <f>IFERROR(IF(Loan_Not_Paid*Values_Entered,Interest,""), "")</f>
        <v>682145.35066628561</v>
      </c>
      <c r="H56" s="298">
        <f>IFERROR(IF(Loan_Not_Paid*Values_Entered,Ending_Balance,""), "")</f>
        <v>192284248.66105619</v>
      </c>
    </row>
    <row r="57" spans="2:8">
      <c r="B57" s="300">
        <f>IFERROR(IF(Loan_Not_Paid*Values_Entered,Payment_Number,""), "")</f>
        <v>40</v>
      </c>
      <c r="C57" s="299"/>
      <c r="D57" s="298">
        <f>IFERROR(IF(Loan_Not_Paid*Values_Entered,Beginning_Balance,""), "")</f>
        <v>192284248.66105619</v>
      </c>
      <c r="E57" s="298">
        <f>IFERROR(IF(Loan_Not_Paid*Values_Entered,Monthly_Payment,""), "")</f>
        <v>1003642.7600902505</v>
      </c>
      <c r="F57" s="298">
        <f>IFERROR(IF(Loan_Not_Paid*Values_Entered,Principal,""), "")</f>
        <v>322636.04608234152</v>
      </c>
      <c r="G57" s="298">
        <f>IFERROR(IF(Loan_Not_Paid*Values_Entered,Interest,""), "")</f>
        <v>681006.71400790906</v>
      </c>
      <c r="H57" s="298">
        <f>IFERROR(IF(Loan_Not_Paid*Values_Entered,Ending_Balance,""), "")</f>
        <v>191961612.61497381</v>
      </c>
    </row>
    <row r="58" spans="2:8">
      <c r="B58" s="300">
        <f>IFERROR(IF(Loan_Not_Paid*Values_Entered,Payment_Number,""), "")</f>
        <v>41</v>
      </c>
      <c r="C58" s="299"/>
      <c r="D58" s="298">
        <f>IFERROR(IF(Loan_Not_Paid*Values_Entered,Beginning_Balance,""), "")</f>
        <v>191961612.61497381</v>
      </c>
      <c r="E58" s="298">
        <f>IFERROR(IF(Loan_Not_Paid*Values_Entered,Monthly_Payment,""), "")</f>
        <v>1003642.7600902505</v>
      </c>
      <c r="F58" s="298">
        <f>IFERROR(IF(Loan_Not_Paid*Values_Entered,Principal,""), "")</f>
        <v>323778.71541221644</v>
      </c>
      <c r="G58" s="298">
        <f>IFERROR(IF(Loan_Not_Paid*Values_Entered,Interest,""), "")</f>
        <v>679864.04467803403</v>
      </c>
      <c r="H58" s="298">
        <f>IFERROR(IF(Loan_Not_Paid*Values_Entered,Ending_Balance,""), "")</f>
        <v>191637833.89956158</v>
      </c>
    </row>
    <row r="59" spans="2:8">
      <c r="B59" s="300">
        <f>IFERROR(IF(Loan_Not_Paid*Values_Entered,Payment_Number,""), "")</f>
        <v>42</v>
      </c>
      <c r="C59" s="299"/>
      <c r="D59" s="298">
        <f>IFERROR(IF(Loan_Not_Paid*Values_Entered,Beginning_Balance,""), "")</f>
        <v>191637833.89956158</v>
      </c>
      <c r="E59" s="298">
        <f>IFERROR(IF(Loan_Not_Paid*Values_Entered,Monthly_Payment,""), "")</f>
        <v>1003642.7600902505</v>
      </c>
      <c r="F59" s="298">
        <f>IFERROR(IF(Loan_Not_Paid*Values_Entered,Principal,""), "")</f>
        <v>324925.43169596809</v>
      </c>
      <c r="G59" s="298">
        <f>IFERROR(IF(Loan_Not_Paid*Values_Entered,Interest,""), "")</f>
        <v>678717.32839428249</v>
      </c>
      <c r="H59" s="298">
        <f>IFERROR(IF(Loan_Not_Paid*Values_Entered,Ending_Balance,""), "")</f>
        <v>191312908.46786562</v>
      </c>
    </row>
    <row r="60" spans="2:8">
      <c r="B60" s="300">
        <f>IFERROR(IF(Loan_Not_Paid*Values_Entered,Payment_Number,""), "")</f>
        <v>43</v>
      </c>
      <c r="C60" s="299"/>
      <c r="D60" s="298">
        <f>IFERROR(IF(Loan_Not_Paid*Values_Entered,Beginning_Balance,""), "")</f>
        <v>191312908.46786562</v>
      </c>
      <c r="E60" s="298">
        <f>IFERROR(IF(Loan_Not_Paid*Values_Entered,Monthly_Payment,""), "")</f>
        <v>1003642.7600902505</v>
      </c>
      <c r="F60" s="298">
        <f>IFERROR(IF(Loan_Not_Paid*Values_Entered,Principal,""), "")</f>
        <v>326076.20926655788</v>
      </c>
      <c r="G60" s="298">
        <f>IFERROR(IF(Loan_Not_Paid*Values_Entered,Interest,""), "")</f>
        <v>677566.55082369258</v>
      </c>
      <c r="H60" s="298">
        <f>IFERROR(IF(Loan_Not_Paid*Values_Entered,Ending_Balance,""), "")</f>
        <v>190986832.25859904</v>
      </c>
    </row>
    <row r="61" spans="2:8">
      <c r="B61" s="300">
        <f>IFERROR(IF(Loan_Not_Paid*Values_Entered,Payment_Number,""), "")</f>
        <v>44</v>
      </c>
      <c r="C61" s="299"/>
      <c r="D61" s="298">
        <f>IFERROR(IF(Loan_Not_Paid*Values_Entered,Beginning_Balance,""), "")</f>
        <v>190986832.25859904</v>
      </c>
      <c r="E61" s="298">
        <f>IFERROR(IF(Loan_Not_Paid*Values_Entered,Monthly_Payment,""), "")</f>
        <v>1003642.7600902505</v>
      </c>
      <c r="F61" s="298">
        <f>IFERROR(IF(Loan_Not_Paid*Values_Entered,Principal,""), "")</f>
        <v>327231.06250771036</v>
      </c>
      <c r="G61" s="298">
        <f>IFERROR(IF(Loan_Not_Paid*Values_Entered,Interest,""), "")</f>
        <v>676411.6975825401</v>
      </c>
      <c r="H61" s="298">
        <f>IFERROR(IF(Loan_Not_Paid*Values_Entered,Ending_Balance,""), "")</f>
        <v>190659601.19609132</v>
      </c>
    </row>
    <row r="62" spans="2:8">
      <c r="B62" s="300">
        <f>IFERROR(IF(Loan_Not_Paid*Values_Entered,Payment_Number,""), "")</f>
        <v>45</v>
      </c>
      <c r="C62" s="299"/>
      <c r="D62" s="298">
        <f>IFERROR(IF(Loan_Not_Paid*Values_Entered,Beginning_Balance,""), "")</f>
        <v>190659601.19609132</v>
      </c>
      <c r="E62" s="298">
        <f>IFERROR(IF(Loan_Not_Paid*Values_Entered,Monthly_Payment,""), "")</f>
        <v>1003642.7600902505</v>
      </c>
      <c r="F62" s="298">
        <f>IFERROR(IF(Loan_Not_Paid*Values_Entered,Principal,""), "")</f>
        <v>328390.00585409172</v>
      </c>
      <c r="G62" s="298">
        <f>IFERROR(IF(Loan_Not_Paid*Values_Entered,Interest,""), "")</f>
        <v>675252.75423615868</v>
      </c>
      <c r="H62" s="298">
        <f>IFERROR(IF(Loan_Not_Paid*Values_Entered,Ending_Balance,""), "")</f>
        <v>190331211.19023722</v>
      </c>
    </row>
    <row r="63" spans="2:8">
      <c r="B63" s="300">
        <f>IFERROR(IF(Loan_Not_Paid*Values_Entered,Payment_Number,""), "")</f>
        <v>46</v>
      </c>
      <c r="C63" s="299"/>
      <c r="D63" s="298">
        <f>IFERROR(IF(Loan_Not_Paid*Values_Entered,Beginning_Balance,""), "")</f>
        <v>190331211.19023722</v>
      </c>
      <c r="E63" s="298">
        <f>IFERROR(IF(Loan_Not_Paid*Values_Entered,Monthly_Payment,""), "")</f>
        <v>1003642.7600902505</v>
      </c>
      <c r="F63" s="298">
        <f>IFERROR(IF(Loan_Not_Paid*Values_Entered,Principal,""), "")</f>
        <v>329553.05379149172</v>
      </c>
      <c r="G63" s="298">
        <f>IFERROR(IF(Loan_Not_Paid*Values_Entered,Interest,""), "")</f>
        <v>674089.70629875874</v>
      </c>
      <c r="H63" s="298">
        <f>IFERROR(IF(Loan_Not_Paid*Values_Entered,Ending_Balance,""), "")</f>
        <v>190001658.13644573</v>
      </c>
    </row>
    <row r="64" spans="2:8">
      <c r="B64" s="300">
        <f>IFERROR(IF(Loan_Not_Paid*Values_Entered,Payment_Number,""), "")</f>
        <v>47</v>
      </c>
      <c r="C64" s="299"/>
      <c r="D64" s="298">
        <f>IFERROR(IF(Loan_Not_Paid*Values_Entered,Beginning_Balance,""), "")</f>
        <v>190001658.13644573</v>
      </c>
      <c r="E64" s="298">
        <f>IFERROR(IF(Loan_Not_Paid*Values_Entered,Monthly_Payment,""), "")</f>
        <v>1003642.7600902505</v>
      </c>
      <c r="F64" s="298">
        <f>IFERROR(IF(Loan_Not_Paid*Values_Entered,Principal,""), "")</f>
        <v>330720.22085700324</v>
      </c>
      <c r="G64" s="298">
        <f>IFERROR(IF(Loan_Not_Paid*Values_Entered,Interest,""), "")</f>
        <v>672922.53923324728</v>
      </c>
      <c r="H64" s="298">
        <f>IFERROR(IF(Loan_Not_Paid*Values_Entered,Ending_Balance,""), "")</f>
        <v>189670937.91558868</v>
      </c>
    </row>
    <row r="65" spans="2:8">
      <c r="B65" s="300">
        <f>IFERROR(IF(Loan_Not_Paid*Values_Entered,Payment_Number,""), "")</f>
        <v>48</v>
      </c>
      <c r="C65" s="299"/>
      <c r="D65" s="298">
        <f>IFERROR(IF(Loan_Not_Paid*Values_Entered,Beginning_Balance,""), "")</f>
        <v>189670937.91558868</v>
      </c>
      <c r="E65" s="298">
        <f>IFERROR(IF(Loan_Not_Paid*Values_Entered,Monthly_Payment,""), "")</f>
        <v>1003642.7600902505</v>
      </c>
      <c r="F65" s="298">
        <f>IFERROR(IF(Loan_Not_Paid*Values_Entered,Principal,""), "")</f>
        <v>331891.52163920511</v>
      </c>
      <c r="G65" s="298">
        <f>IFERROR(IF(Loan_Not_Paid*Values_Entered,Interest,""), "")</f>
        <v>671751.23845104536</v>
      </c>
      <c r="H65" s="298">
        <f>IFERROR(IF(Loan_Not_Paid*Values_Entered,Ending_Balance,""), "")</f>
        <v>189339046.39394951</v>
      </c>
    </row>
    <row r="66" spans="2:8">
      <c r="B66" s="300">
        <f>IFERROR(IF(Loan_Not_Paid*Values_Entered,Payment_Number,""), "")</f>
        <v>49</v>
      </c>
      <c r="C66" s="299"/>
      <c r="D66" s="298">
        <f>IFERROR(IF(Loan_Not_Paid*Values_Entered,Beginning_Balance,""), "")</f>
        <v>189339046.39394951</v>
      </c>
      <c r="E66" s="298">
        <f>IFERROR(IF(Loan_Not_Paid*Values_Entered,Monthly_Payment,""), "")</f>
        <v>1003642.7600902505</v>
      </c>
      <c r="F66" s="298">
        <f>IFERROR(IF(Loan_Not_Paid*Values_Entered,Principal,""), "")</f>
        <v>333066.97077834397</v>
      </c>
      <c r="G66" s="298">
        <f>IFERROR(IF(Loan_Not_Paid*Values_Entered,Interest,""), "")</f>
        <v>670575.78931190656</v>
      </c>
      <c r="H66" s="298">
        <f>IFERROR(IF(Loan_Not_Paid*Values_Entered,Ending_Balance,""), "")</f>
        <v>189005979.42317113</v>
      </c>
    </row>
    <row r="67" spans="2:8">
      <c r="B67" s="300">
        <f>IFERROR(IF(Loan_Not_Paid*Values_Entered,Payment_Number,""), "")</f>
        <v>50</v>
      </c>
      <c r="C67" s="299"/>
      <c r="D67" s="298">
        <f>IFERROR(IF(Loan_Not_Paid*Values_Entered,Beginning_Balance,""), "")</f>
        <v>189005979.42317113</v>
      </c>
      <c r="E67" s="298">
        <f>IFERROR(IF(Loan_Not_Paid*Values_Entered,Monthly_Payment,""), "")</f>
        <v>1003642.7600902505</v>
      </c>
      <c r="F67" s="298">
        <f>IFERROR(IF(Loan_Not_Paid*Values_Entered,Principal,""), "")</f>
        <v>334246.58296651731</v>
      </c>
      <c r="G67" s="298">
        <f>IFERROR(IF(Loan_Not_Paid*Values_Entered,Interest,""), "")</f>
        <v>669396.1771237331</v>
      </c>
      <c r="H67" s="298">
        <f>IFERROR(IF(Loan_Not_Paid*Values_Entered,Ending_Balance,""), "")</f>
        <v>188671732.8402046</v>
      </c>
    </row>
    <row r="68" spans="2:8">
      <c r="B68" s="300">
        <f>IFERROR(IF(Loan_Not_Paid*Values_Entered,Payment_Number,""), "")</f>
        <v>51</v>
      </c>
      <c r="C68" s="299"/>
      <c r="D68" s="298">
        <f>IFERROR(IF(Loan_Not_Paid*Values_Entered,Beginning_Balance,""), "")</f>
        <v>188671732.8402046</v>
      </c>
      <c r="E68" s="298">
        <f>IFERROR(IF(Loan_Not_Paid*Values_Entered,Monthly_Payment,""), "")</f>
        <v>1003642.7600902505</v>
      </c>
      <c r="F68" s="298">
        <f>IFERROR(IF(Loan_Not_Paid*Values_Entered,Principal,""), "")</f>
        <v>335430.37294785696</v>
      </c>
      <c r="G68" s="298">
        <f>IFERROR(IF(Loan_Not_Paid*Values_Entered,Interest,""), "")</f>
        <v>668212.38714239351</v>
      </c>
      <c r="H68" s="298">
        <f>IFERROR(IF(Loan_Not_Paid*Values_Entered,Ending_Balance,""), "")</f>
        <v>188336302.46725672</v>
      </c>
    </row>
    <row r="69" spans="2:8">
      <c r="B69" s="300">
        <f>IFERROR(IF(Loan_Not_Paid*Values_Entered,Payment_Number,""), "")</f>
        <v>52</v>
      </c>
      <c r="C69" s="299"/>
      <c r="D69" s="298">
        <f>IFERROR(IF(Loan_Not_Paid*Values_Entered,Beginning_Balance,""), "")</f>
        <v>188336302.46725672</v>
      </c>
      <c r="E69" s="298">
        <f>IFERROR(IF(Loan_Not_Paid*Values_Entered,Monthly_Payment,""), "")</f>
        <v>1003642.7600902505</v>
      </c>
      <c r="F69" s="298">
        <f>IFERROR(IF(Loan_Not_Paid*Values_Entered,Principal,""), "")</f>
        <v>336618.35551871406</v>
      </c>
      <c r="G69" s="298">
        <f>IFERROR(IF(Loan_Not_Paid*Values_Entered,Interest,""), "")</f>
        <v>667024.40457153646</v>
      </c>
      <c r="H69" s="298">
        <f>IFERROR(IF(Loan_Not_Paid*Values_Entered,Ending_Balance,""), "")</f>
        <v>187999684.11173803</v>
      </c>
    </row>
    <row r="70" spans="2:8">
      <c r="B70" s="300">
        <f>IFERROR(IF(Loan_Not_Paid*Values_Entered,Payment_Number,""), "")</f>
        <v>53</v>
      </c>
      <c r="C70" s="299"/>
      <c r="D70" s="298">
        <f>IFERROR(IF(Loan_Not_Paid*Values_Entered,Beginning_Balance,""), "")</f>
        <v>187999684.11173803</v>
      </c>
      <c r="E70" s="298">
        <f>IFERROR(IF(Loan_Not_Paid*Values_Entered,Monthly_Payment,""), "")</f>
        <v>1003642.7600902505</v>
      </c>
      <c r="F70" s="298">
        <f>IFERROR(IF(Loan_Not_Paid*Values_Entered,Principal,""), "")</f>
        <v>337810.54552784283</v>
      </c>
      <c r="G70" s="298">
        <f>IFERROR(IF(Loan_Not_Paid*Values_Entered,Interest,""), "")</f>
        <v>665832.21456240781</v>
      </c>
      <c r="H70" s="298">
        <f>IFERROR(IF(Loan_Not_Paid*Values_Entered,Ending_Balance,""), "")</f>
        <v>187661873.56621015</v>
      </c>
    </row>
    <row r="71" spans="2:8">
      <c r="B71" s="300">
        <f>IFERROR(IF(Loan_Not_Paid*Values_Entered,Payment_Number,""), "")</f>
        <v>54</v>
      </c>
      <c r="C71" s="299"/>
      <c r="D71" s="298">
        <f>IFERROR(IF(Loan_Not_Paid*Values_Entered,Beginning_Balance,""), "")</f>
        <v>187661873.56621015</v>
      </c>
      <c r="E71" s="298">
        <f>IFERROR(IF(Loan_Not_Paid*Values_Entered,Monthly_Payment,""), "")</f>
        <v>1003642.7600902505</v>
      </c>
      <c r="F71" s="298">
        <f>IFERROR(IF(Loan_Not_Paid*Values_Entered,Principal,""), "")</f>
        <v>339006.95787658723</v>
      </c>
      <c r="G71" s="298">
        <f>IFERROR(IF(Loan_Not_Paid*Values_Entered,Interest,""), "")</f>
        <v>664635.80221366324</v>
      </c>
      <c r="H71" s="298">
        <f>IFERROR(IF(Loan_Not_Paid*Values_Entered,Ending_Balance,""), "")</f>
        <v>187322866.60833356</v>
      </c>
    </row>
    <row r="72" spans="2:8">
      <c r="B72" s="300">
        <f>IFERROR(IF(Loan_Not_Paid*Values_Entered,Payment_Number,""), "")</f>
        <v>55</v>
      </c>
      <c r="C72" s="299"/>
      <c r="D72" s="298">
        <f>IFERROR(IF(Loan_Not_Paid*Values_Entered,Beginning_Balance,""), "")</f>
        <v>187322866.60833356</v>
      </c>
      <c r="E72" s="298">
        <f>IFERROR(IF(Loan_Not_Paid*Values_Entered,Monthly_Payment,""), "")</f>
        <v>1003642.7600902505</v>
      </c>
      <c r="F72" s="298">
        <f>IFERROR(IF(Loan_Not_Paid*Values_Entered,Principal,""), "")</f>
        <v>340207.60751906678</v>
      </c>
      <c r="G72" s="298">
        <f>IFERROR(IF(Loan_Not_Paid*Values_Entered,Interest,""), "")</f>
        <v>663435.15257118363</v>
      </c>
      <c r="H72" s="298">
        <f>IFERROR(IF(Loan_Not_Paid*Values_Entered,Ending_Balance,""), "")</f>
        <v>186982659.00081447</v>
      </c>
    </row>
    <row r="73" spans="2:8">
      <c r="B73" s="300">
        <f>IFERROR(IF(Loan_Not_Paid*Values_Entered,Payment_Number,""), "")</f>
        <v>56</v>
      </c>
      <c r="C73" s="299"/>
      <c r="D73" s="298">
        <f>IFERROR(IF(Loan_Not_Paid*Values_Entered,Beginning_Balance,""), "")</f>
        <v>186982659.00081447</v>
      </c>
      <c r="E73" s="298">
        <f>IFERROR(IF(Loan_Not_Paid*Values_Entered,Monthly_Payment,""), "")</f>
        <v>1003642.7600902505</v>
      </c>
      <c r="F73" s="298">
        <f>IFERROR(IF(Loan_Not_Paid*Values_Entered,Principal,""), "")</f>
        <v>341412.50946236355</v>
      </c>
      <c r="G73" s="298">
        <f>IFERROR(IF(Loan_Not_Paid*Values_Entered,Interest,""), "")</f>
        <v>662230.25062788697</v>
      </c>
      <c r="H73" s="298">
        <f>IFERROR(IF(Loan_Not_Paid*Values_Entered,Ending_Balance,""), "")</f>
        <v>186641246.49135211</v>
      </c>
    </row>
    <row r="74" spans="2:8">
      <c r="B74" s="300">
        <f>IFERROR(IF(Loan_Not_Paid*Values_Entered,Payment_Number,""), "")</f>
        <v>57</v>
      </c>
      <c r="C74" s="299"/>
      <c r="D74" s="298">
        <f>IFERROR(IF(Loan_Not_Paid*Values_Entered,Beginning_Balance,""), "")</f>
        <v>186641246.49135211</v>
      </c>
      <c r="E74" s="298">
        <f>IFERROR(IF(Loan_Not_Paid*Values_Entered,Monthly_Payment,""), "")</f>
        <v>1003642.7600902505</v>
      </c>
      <c r="F74" s="298">
        <f>IFERROR(IF(Loan_Not_Paid*Values_Entered,Principal,""), "")</f>
        <v>342621.67876670934</v>
      </c>
      <c r="G74" s="298">
        <f>IFERROR(IF(Loan_Not_Paid*Values_Entered,Interest,""), "")</f>
        <v>661021.08132354112</v>
      </c>
      <c r="H74" s="298">
        <f>IFERROR(IF(Loan_Not_Paid*Values_Entered,Ending_Balance,""), "")</f>
        <v>186298624.81258538</v>
      </c>
    </row>
    <row r="75" spans="2:8">
      <c r="B75" s="300">
        <f>IFERROR(IF(Loan_Not_Paid*Values_Entered,Payment_Number,""), "")</f>
        <v>58</v>
      </c>
      <c r="C75" s="299"/>
      <c r="D75" s="298">
        <f>IFERROR(IF(Loan_Not_Paid*Values_Entered,Beginning_Balance,""), "")</f>
        <v>186298624.81258538</v>
      </c>
      <c r="E75" s="298">
        <f>IFERROR(IF(Loan_Not_Paid*Values_Entered,Monthly_Payment,""), "")</f>
        <v>1003642.7600902505</v>
      </c>
      <c r="F75" s="298">
        <f>IFERROR(IF(Loan_Not_Paid*Values_Entered,Principal,""), "")</f>
        <v>343835.13054567482</v>
      </c>
      <c r="G75" s="298">
        <f>IFERROR(IF(Loan_Not_Paid*Values_Entered,Interest,""), "")</f>
        <v>659807.62954457558</v>
      </c>
      <c r="H75" s="298">
        <f>IFERROR(IF(Loan_Not_Paid*Values_Entered,Ending_Balance,""), "")</f>
        <v>185954789.68203968</v>
      </c>
    </row>
    <row r="76" spans="2:8">
      <c r="B76" s="300">
        <f>IFERROR(IF(Loan_Not_Paid*Values_Entered,Payment_Number,""), "")</f>
        <v>59</v>
      </c>
      <c r="C76" s="299"/>
      <c r="D76" s="298">
        <f>IFERROR(IF(Loan_Not_Paid*Values_Entered,Beginning_Balance,""), "")</f>
        <v>185954789.68203968</v>
      </c>
      <c r="E76" s="298">
        <f>IFERROR(IF(Loan_Not_Paid*Values_Entered,Monthly_Payment,""), "")</f>
        <v>1003642.7600902505</v>
      </c>
      <c r="F76" s="298">
        <f>IFERROR(IF(Loan_Not_Paid*Values_Entered,Principal,""), "")</f>
        <v>345052.87996635737</v>
      </c>
      <c r="G76" s="298">
        <f>IFERROR(IF(Loan_Not_Paid*Values_Entered,Interest,""), "")</f>
        <v>658589.88012389303</v>
      </c>
      <c r="H76" s="298">
        <f>IFERROR(IF(Loan_Not_Paid*Values_Entered,Ending_Balance,""), "")</f>
        <v>185609736.80207327</v>
      </c>
    </row>
    <row r="77" spans="2:8">
      <c r="B77" s="300">
        <f>IFERROR(IF(Loan_Not_Paid*Values_Entered,Payment_Number,""), "")</f>
        <v>60</v>
      </c>
      <c r="C77" s="299"/>
      <c r="D77" s="298">
        <f>IFERROR(IF(Loan_Not_Paid*Values_Entered,Beginning_Balance,""), "")</f>
        <v>185609736.80207327</v>
      </c>
      <c r="E77" s="298">
        <f>IFERROR(IF(Loan_Not_Paid*Values_Entered,Monthly_Payment,""), "")</f>
        <v>1003642.7600902505</v>
      </c>
      <c r="F77" s="298">
        <f>IFERROR(IF(Loan_Not_Paid*Values_Entered,Principal,""), "")</f>
        <v>346274.94224957156</v>
      </c>
      <c r="G77" s="298">
        <f>IFERROR(IF(Loan_Not_Paid*Values_Entered,Interest,""), "")</f>
        <v>657367.81784067885</v>
      </c>
      <c r="H77" s="298">
        <f>IFERROR(IF(Loan_Not_Paid*Values_Entered,Ending_Balance,""), "")</f>
        <v>185263461.85982373</v>
      </c>
    </row>
    <row r="78" spans="2:8">
      <c r="B78" s="300">
        <f>IFERROR(IF(Loan_Not_Paid*Values_Entered,Payment_Number,""), "")</f>
        <v>61</v>
      </c>
      <c r="C78" s="299"/>
      <c r="D78" s="298">
        <f>IFERROR(IF(Loan_Not_Paid*Values_Entered,Beginning_Balance,""), "")</f>
        <v>185263461.85982373</v>
      </c>
      <c r="E78" s="298">
        <f>IFERROR(IF(Loan_Not_Paid*Values_Entered,Monthly_Payment,""), "")</f>
        <v>1003642.7600902505</v>
      </c>
      <c r="F78" s="298">
        <f>IFERROR(IF(Loan_Not_Paid*Values_Entered,Principal,""), "")</f>
        <v>347501.3326700388</v>
      </c>
      <c r="G78" s="298">
        <f>IFERROR(IF(Loan_Not_Paid*Values_Entered,Interest,""), "")</f>
        <v>656141.42742021161</v>
      </c>
      <c r="H78" s="298">
        <f>IFERROR(IF(Loan_Not_Paid*Values_Entered,Ending_Balance,""), "")</f>
        <v>184915960.52715367</v>
      </c>
    </row>
    <row r="79" spans="2:8">
      <c r="B79" s="300">
        <f>IFERROR(IF(Loan_Not_Paid*Values_Entered,Payment_Number,""), "")</f>
        <v>62</v>
      </c>
      <c r="C79" s="299"/>
      <c r="D79" s="298">
        <f>IFERROR(IF(Loan_Not_Paid*Values_Entered,Beginning_Balance,""), "")</f>
        <v>184915960.52715367</v>
      </c>
      <c r="E79" s="298">
        <f>IFERROR(IF(Loan_Not_Paid*Values_Entered,Monthly_Payment,""), "")</f>
        <v>1003642.7600902505</v>
      </c>
      <c r="F79" s="298">
        <f>IFERROR(IF(Loan_Not_Paid*Values_Entered,Principal,""), "")</f>
        <v>348732.06655657856</v>
      </c>
      <c r="G79" s="298">
        <f>IFERROR(IF(Loan_Not_Paid*Values_Entered,Interest,""), "")</f>
        <v>654910.6935336719</v>
      </c>
      <c r="H79" s="298">
        <f>IFERROR(IF(Loan_Not_Paid*Values_Entered,Ending_Balance,""), "")</f>
        <v>184567228.4605971</v>
      </c>
    </row>
    <row r="80" spans="2:8">
      <c r="B80" s="300">
        <f>IFERROR(IF(Loan_Not_Paid*Values_Entered,Payment_Number,""), "")</f>
        <v>63</v>
      </c>
      <c r="C80" s="299"/>
      <c r="D80" s="298">
        <f>IFERROR(IF(Loan_Not_Paid*Values_Entered,Beginning_Balance,""), "")</f>
        <v>184567228.4605971</v>
      </c>
      <c r="E80" s="298">
        <f>IFERROR(IF(Loan_Not_Paid*Values_Entered,Monthly_Payment,""), "")</f>
        <v>1003642.7600902505</v>
      </c>
      <c r="F80" s="298">
        <f>IFERROR(IF(Loan_Not_Paid*Values_Entered,Principal,""), "")</f>
        <v>349967.15929229971</v>
      </c>
      <c r="G80" s="298">
        <f>IFERROR(IF(Loan_Not_Paid*Values_Entered,Interest,""), "")</f>
        <v>653675.60079795076</v>
      </c>
      <c r="H80" s="298">
        <f>IFERROR(IF(Loan_Not_Paid*Values_Entered,Ending_Balance,""), "")</f>
        <v>184217261.30130473</v>
      </c>
    </row>
    <row r="81" spans="2:8">
      <c r="B81" s="300">
        <f>IFERROR(IF(Loan_Not_Paid*Values_Entered,Payment_Number,""), "")</f>
        <v>64</v>
      </c>
      <c r="C81" s="299"/>
      <c r="D81" s="298">
        <f>IFERROR(IF(Loan_Not_Paid*Values_Entered,Beginning_Balance,""), "")</f>
        <v>184217261.30130473</v>
      </c>
      <c r="E81" s="298">
        <f>IFERROR(IF(Loan_Not_Paid*Values_Entered,Monthly_Payment,""), "")</f>
        <v>1003642.7600902505</v>
      </c>
      <c r="F81" s="298">
        <f>IFERROR(IF(Loan_Not_Paid*Values_Entered,Principal,""), "")</f>
        <v>351206.62631479331</v>
      </c>
      <c r="G81" s="298">
        <f>IFERROR(IF(Loan_Not_Paid*Values_Entered,Interest,""), "")</f>
        <v>652436.13377545716</v>
      </c>
      <c r="H81" s="298">
        <f>IFERROR(IF(Loan_Not_Paid*Values_Entered,Ending_Balance,""), "")</f>
        <v>183866054.67498994</v>
      </c>
    </row>
    <row r="82" spans="2:8">
      <c r="B82" s="300">
        <f>IFERROR(IF(Loan_Not_Paid*Values_Entered,Payment_Number,""), "")</f>
        <v>65</v>
      </c>
      <c r="C82" s="299"/>
      <c r="D82" s="298">
        <f>IFERROR(IF(Loan_Not_Paid*Values_Entered,Beginning_Balance,""), "")</f>
        <v>183866054.67498994</v>
      </c>
      <c r="E82" s="298">
        <f>IFERROR(IF(Loan_Not_Paid*Values_Entered,Monthly_Payment,""), "")</f>
        <v>1003642.7600902505</v>
      </c>
      <c r="F82" s="298">
        <f>IFERROR(IF(Loan_Not_Paid*Values_Entered,Principal,""), "")</f>
        <v>352450.48311632482</v>
      </c>
      <c r="G82" s="298">
        <f>IFERROR(IF(Loan_Not_Paid*Values_Entered,Interest,""), "")</f>
        <v>651192.27697392565</v>
      </c>
      <c r="H82" s="298">
        <f>IFERROR(IF(Loan_Not_Paid*Values_Entered,Ending_Balance,""), "")</f>
        <v>183513604.19187361</v>
      </c>
    </row>
    <row r="83" spans="2:8">
      <c r="B83" s="300">
        <f>IFERROR(IF(Loan_Not_Paid*Values_Entered,Payment_Number,""), "")</f>
        <v>66</v>
      </c>
      <c r="C83" s="299"/>
      <c r="D83" s="298">
        <f>IFERROR(IF(Loan_Not_Paid*Values_Entered,Beginning_Balance,""), "")</f>
        <v>183513604.19187361</v>
      </c>
      <c r="E83" s="298">
        <f>IFERROR(IF(Loan_Not_Paid*Values_Entered,Monthly_Payment,""), "")</f>
        <v>1003642.7600902505</v>
      </c>
      <c r="F83" s="298">
        <f>IFERROR(IF(Loan_Not_Paid*Values_Entered,Principal,""), "")</f>
        <v>353698.74524402851</v>
      </c>
      <c r="G83" s="298">
        <f>IFERROR(IF(Loan_Not_Paid*Values_Entered,Interest,""), "")</f>
        <v>649944.01484622189</v>
      </c>
      <c r="H83" s="298">
        <f>IFERROR(IF(Loan_Not_Paid*Values_Entered,Ending_Balance,""), "")</f>
        <v>183159905.44662958</v>
      </c>
    </row>
    <row r="84" spans="2:8">
      <c r="B84" s="300">
        <f>IFERROR(IF(Loan_Not_Paid*Values_Entered,Payment_Number,""), "")</f>
        <v>67</v>
      </c>
      <c r="C84" s="299"/>
      <c r="D84" s="298">
        <f>IFERROR(IF(Loan_Not_Paid*Values_Entered,Beginning_Balance,""), "")</f>
        <v>183159905.44662958</v>
      </c>
      <c r="E84" s="298">
        <f>IFERROR(IF(Loan_Not_Paid*Values_Entered,Monthly_Payment,""), "")</f>
        <v>1003642.7600902505</v>
      </c>
      <c r="F84" s="298">
        <f>IFERROR(IF(Loan_Not_Paid*Values_Entered,Principal,""), "")</f>
        <v>354951.42830010114</v>
      </c>
      <c r="G84" s="298">
        <f>IFERROR(IF(Loan_Not_Paid*Values_Entered,Interest,""), "")</f>
        <v>648691.33179014921</v>
      </c>
      <c r="H84" s="298">
        <f>IFERROR(IF(Loan_Not_Paid*Values_Entered,Ending_Balance,""), "")</f>
        <v>182804954.01832944</v>
      </c>
    </row>
    <row r="85" spans="2:8">
      <c r="B85" s="300">
        <f>IFERROR(IF(Loan_Not_Paid*Values_Entered,Payment_Number,""), "")</f>
        <v>68</v>
      </c>
      <c r="C85" s="299"/>
      <c r="D85" s="298">
        <f>IFERROR(IF(Loan_Not_Paid*Values_Entered,Beginning_Balance,""), "")</f>
        <v>182804954.01832944</v>
      </c>
      <c r="E85" s="298">
        <f>IFERROR(IF(Loan_Not_Paid*Values_Entered,Monthly_Payment,""), "")</f>
        <v>1003642.7600902505</v>
      </c>
      <c r="F85" s="298">
        <f>IFERROR(IF(Loan_Not_Paid*Values_Entered,Principal,""), "")</f>
        <v>356208.5479419973</v>
      </c>
      <c r="G85" s="298">
        <f>IFERROR(IF(Loan_Not_Paid*Values_Entered,Interest,""), "")</f>
        <v>647434.21214825311</v>
      </c>
      <c r="H85" s="298">
        <f>IFERROR(IF(Loan_Not_Paid*Values_Entered,Ending_Balance,""), "")</f>
        <v>182448745.47038743</v>
      </c>
    </row>
    <row r="86" spans="2:8">
      <c r="B86" s="300">
        <f>IFERROR(IF(Loan_Not_Paid*Values_Entered,Payment_Number,""), "")</f>
        <v>69</v>
      </c>
      <c r="C86" s="299"/>
      <c r="D86" s="298">
        <f>IFERROR(IF(Loan_Not_Paid*Values_Entered,Beginning_Balance,""), "")</f>
        <v>182448745.47038743</v>
      </c>
      <c r="E86" s="298">
        <f>IFERROR(IF(Loan_Not_Paid*Values_Entered,Monthly_Payment,""), "")</f>
        <v>1003642.7600902505</v>
      </c>
      <c r="F86" s="298">
        <f>IFERROR(IF(Loan_Not_Paid*Values_Entered,Principal,""), "")</f>
        <v>357470.11988262524</v>
      </c>
      <c r="G86" s="298">
        <f>IFERROR(IF(Loan_Not_Paid*Values_Entered,Interest,""), "")</f>
        <v>646172.64020762523</v>
      </c>
      <c r="H86" s="298">
        <f>IFERROR(IF(Loan_Not_Paid*Values_Entered,Ending_Balance,""), "")</f>
        <v>182091275.35050479</v>
      </c>
    </row>
    <row r="87" spans="2:8">
      <c r="B87" s="300">
        <f>IFERROR(IF(Loan_Not_Paid*Values_Entered,Payment_Number,""), "")</f>
        <v>70</v>
      </c>
      <c r="C87" s="299"/>
      <c r="D87" s="298">
        <f>IFERROR(IF(Loan_Not_Paid*Values_Entered,Beginning_Balance,""), "")</f>
        <v>182091275.35050479</v>
      </c>
      <c r="E87" s="298">
        <f>IFERROR(IF(Loan_Not_Paid*Values_Entered,Monthly_Payment,""), "")</f>
        <v>1003642.7600902505</v>
      </c>
      <c r="F87" s="298">
        <f>IFERROR(IF(Loan_Not_Paid*Values_Entered,Principal,""), "")</f>
        <v>358736.15989054285</v>
      </c>
      <c r="G87" s="298">
        <f>IFERROR(IF(Loan_Not_Paid*Values_Entered,Interest,""), "")</f>
        <v>644906.60019970755</v>
      </c>
      <c r="H87" s="298">
        <f>IFERROR(IF(Loan_Not_Paid*Values_Entered,Ending_Balance,""), "")</f>
        <v>181732539.19061422</v>
      </c>
    </row>
    <row r="88" spans="2:8">
      <c r="B88" s="300">
        <f>IFERROR(IF(Loan_Not_Paid*Values_Entered,Payment_Number,""), "")</f>
        <v>71</v>
      </c>
      <c r="C88" s="299"/>
      <c r="D88" s="298">
        <f>IFERROR(IF(Loan_Not_Paid*Values_Entered,Beginning_Balance,""), "")</f>
        <v>181732539.19061422</v>
      </c>
      <c r="E88" s="298">
        <f>IFERROR(IF(Loan_Not_Paid*Values_Entered,Monthly_Payment,""), "")</f>
        <v>1003642.7600902505</v>
      </c>
      <c r="F88" s="298">
        <f>IFERROR(IF(Loan_Not_Paid*Values_Entered,Principal,""), "")</f>
        <v>360006.68379015516</v>
      </c>
      <c r="G88" s="298">
        <f>IFERROR(IF(Loan_Not_Paid*Values_Entered,Interest,""), "")</f>
        <v>643636.07630009542</v>
      </c>
      <c r="H88" s="298">
        <f>IFERROR(IF(Loan_Not_Paid*Values_Entered,Ending_Balance,""), "")</f>
        <v>181372532.50682408</v>
      </c>
    </row>
    <row r="89" spans="2:8">
      <c r="B89" s="300">
        <f>IFERROR(IF(Loan_Not_Paid*Values_Entered,Payment_Number,""), "")</f>
        <v>72</v>
      </c>
      <c r="C89" s="299"/>
      <c r="D89" s="298">
        <f>IFERROR(IF(Loan_Not_Paid*Values_Entered,Beginning_Balance,""), "")</f>
        <v>181372532.50682408</v>
      </c>
      <c r="E89" s="298">
        <f>IFERROR(IF(Loan_Not_Paid*Values_Entered,Monthly_Payment,""), "")</f>
        <v>1003642.7600902505</v>
      </c>
      <c r="F89" s="298">
        <f>IFERROR(IF(Loan_Not_Paid*Values_Entered,Principal,""), "")</f>
        <v>361281.70746191207</v>
      </c>
      <c r="G89" s="298">
        <f>IFERROR(IF(Loan_Not_Paid*Values_Entered,Interest,""), "")</f>
        <v>642361.05262833834</v>
      </c>
      <c r="H89" s="298">
        <f>IFERROR(IF(Loan_Not_Paid*Values_Entered,Ending_Balance,""), "")</f>
        <v>181011250.79936212</v>
      </c>
    </row>
    <row r="90" spans="2:8">
      <c r="B90" s="300">
        <f>IFERROR(IF(Loan_Not_Paid*Values_Entered,Payment_Number,""), "")</f>
        <v>73</v>
      </c>
      <c r="C90" s="299"/>
      <c r="D90" s="298">
        <f>IFERROR(IF(Loan_Not_Paid*Values_Entered,Beginning_Balance,""), "")</f>
        <v>181011250.79936212</v>
      </c>
      <c r="E90" s="298">
        <f>IFERROR(IF(Loan_Not_Paid*Values_Entered,Monthly_Payment,""), "")</f>
        <v>1003642.7600902505</v>
      </c>
      <c r="F90" s="298">
        <f>IFERROR(IF(Loan_Not_Paid*Values_Entered,Principal,""), "")</f>
        <v>362561.24684250623</v>
      </c>
      <c r="G90" s="298">
        <f>IFERROR(IF(Loan_Not_Paid*Values_Entered,Interest,""), "")</f>
        <v>641081.51324774418</v>
      </c>
      <c r="H90" s="298">
        <f>IFERROR(IF(Loan_Not_Paid*Values_Entered,Ending_Balance,""), "")</f>
        <v>180648689.55251962</v>
      </c>
    </row>
    <row r="91" spans="2:8">
      <c r="B91" s="300">
        <f>IFERROR(IF(Loan_Not_Paid*Values_Entered,Payment_Number,""), "")</f>
        <v>74</v>
      </c>
      <c r="C91" s="299"/>
      <c r="D91" s="298">
        <f>IFERROR(IF(Loan_Not_Paid*Values_Entered,Beginning_Balance,""), "")</f>
        <v>180648689.55251962</v>
      </c>
      <c r="E91" s="298">
        <f>IFERROR(IF(Loan_Not_Paid*Values_Entered,Monthly_Payment,""), "")</f>
        <v>1003642.7600902505</v>
      </c>
      <c r="F91" s="298">
        <f>IFERROR(IF(Loan_Not_Paid*Values_Entered,Principal,""), "")</f>
        <v>363845.3179250735</v>
      </c>
      <c r="G91" s="298">
        <f>IFERROR(IF(Loan_Not_Paid*Values_Entered,Interest,""), "")</f>
        <v>639797.44216517697</v>
      </c>
      <c r="H91" s="298">
        <f>IFERROR(IF(Loan_Not_Paid*Values_Entered,Ending_Balance,""), "")</f>
        <v>180284844.23459452</v>
      </c>
    </row>
    <row r="92" spans="2:8">
      <c r="B92" s="300">
        <f>IFERROR(IF(Loan_Not_Paid*Values_Entered,Payment_Number,""), "")</f>
        <v>75</v>
      </c>
      <c r="C92" s="299"/>
      <c r="D92" s="298">
        <f>IFERROR(IF(Loan_Not_Paid*Values_Entered,Beginning_Balance,""), "")</f>
        <v>180284844.23459452</v>
      </c>
      <c r="E92" s="298">
        <f>IFERROR(IF(Loan_Not_Paid*Values_Entered,Monthly_Payment,""), "")</f>
        <v>1003642.7600902505</v>
      </c>
      <c r="F92" s="298">
        <f>IFERROR(IF(Loan_Not_Paid*Values_Entered,Principal,""), "")</f>
        <v>365133.93675939145</v>
      </c>
      <c r="G92" s="298">
        <f>IFERROR(IF(Loan_Not_Paid*Values_Entered,Interest,""), "")</f>
        <v>638508.82333085907</v>
      </c>
      <c r="H92" s="298">
        <f>IFERROR(IF(Loan_Not_Paid*Values_Entered,Ending_Balance,""), "")</f>
        <v>179919710.29783511</v>
      </c>
    </row>
    <row r="93" spans="2:8">
      <c r="B93" s="300">
        <f>IFERROR(IF(Loan_Not_Paid*Values_Entered,Payment_Number,""), "")</f>
        <v>76</v>
      </c>
      <c r="C93" s="299"/>
      <c r="D93" s="298">
        <f>IFERROR(IF(Loan_Not_Paid*Values_Entered,Beginning_Balance,""), "")</f>
        <v>179919710.29783511</v>
      </c>
      <c r="E93" s="298">
        <f>IFERROR(IF(Loan_Not_Paid*Values_Entered,Monthly_Payment,""), "")</f>
        <v>1003642.7600902505</v>
      </c>
      <c r="F93" s="298">
        <f>IFERROR(IF(Loan_Not_Paid*Values_Entered,Principal,""), "")</f>
        <v>366427.11945208098</v>
      </c>
      <c r="G93" s="298">
        <f>IFERROR(IF(Loan_Not_Paid*Values_Entered,Interest,""), "")</f>
        <v>637215.64063816948</v>
      </c>
      <c r="H93" s="298">
        <f>IFERROR(IF(Loan_Not_Paid*Values_Entered,Ending_Balance,""), "")</f>
        <v>179553283.17838305</v>
      </c>
    </row>
    <row r="94" spans="2:8">
      <c r="B94" s="300">
        <f>IFERROR(IF(Loan_Not_Paid*Values_Entered,Payment_Number,""), "")</f>
        <v>77</v>
      </c>
      <c r="C94" s="299"/>
      <c r="D94" s="298">
        <f>IFERROR(IF(Loan_Not_Paid*Values_Entered,Beginning_Balance,""), "")</f>
        <v>179553283.17838305</v>
      </c>
      <c r="E94" s="298">
        <f>IFERROR(IF(Loan_Not_Paid*Values_Entered,Monthly_Payment,""), "")</f>
        <v>1003642.7600902505</v>
      </c>
      <c r="F94" s="298">
        <f>IFERROR(IF(Loan_Not_Paid*Values_Entered,Principal,""), "")</f>
        <v>367724.88216680707</v>
      </c>
      <c r="G94" s="298">
        <f>IFERROR(IF(Loan_Not_Paid*Values_Entered,Interest,""), "")</f>
        <v>635917.87792344333</v>
      </c>
      <c r="H94" s="298">
        <f>IFERROR(IF(Loan_Not_Paid*Values_Entered,Ending_Balance,""), "")</f>
        <v>179185558.29621619</v>
      </c>
    </row>
    <row r="95" spans="2:8">
      <c r="B95" s="300">
        <f>IFERROR(IF(Loan_Not_Paid*Values_Entered,Payment_Number,""), "")</f>
        <v>78</v>
      </c>
      <c r="C95" s="299"/>
      <c r="D95" s="298">
        <f>IFERROR(IF(Loan_Not_Paid*Values_Entered,Beginning_Balance,""), "")</f>
        <v>179185558.29621619</v>
      </c>
      <c r="E95" s="298">
        <f>IFERROR(IF(Loan_Not_Paid*Values_Entered,Monthly_Payment,""), "")</f>
        <v>1003642.7600902505</v>
      </c>
      <c r="F95" s="298">
        <f>IFERROR(IF(Loan_Not_Paid*Values_Entered,Principal,""), "")</f>
        <v>369027.24112448114</v>
      </c>
      <c r="G95" s="298">
        <f>IFERROR(IF(Loan_Not_Paid*Values_Entered,Interest,""), "")</f>
        <v>634615.51896576921</v>
      </c>
      <c r="H95" s="298">
        <f>IFERROR(IF(Loan_Not_Paid*Values_Entered,Ending_Balance,""), "")</f>
        <v>178816531.05509168</v>
      </c>
    </row>
    <row r="96" spans="2:8">
      <c r="B96" s="300">
        <f>IFERROR(IF(Loan_Not_Paid*Values_Entered,Payment_Number,""), "")</f>
        <v>79</v>
      </c>
      <c r="C96" s="299"/>
      <c r="D96" s="298">
        <f>IFERROR(IF(Loan_Not_Paid*Values_Entered,Beginning_Balance,""), "")</f>
        <v>178816531.05509168</v>
      </c>
      <c r="E96" s="298">
        <f>IFERROR(IF(Loan_Not_Paid*Values_Entered,Monthly_Payment,""), "")</f>
        <v>1003642.7600902505</v>
      </c>
      <c r="F96" s="298">
        <f>IFERROR(IF(Loan_Not_Paid*Values_Entered,Principal,""), "")</f>
        <v>370334.21260346367</v>
      </c>
      <c r="G96" s="298">
        <f>IFERROR(IF(Loan_Not_Paid*Values_Entered,Interest,""), "")</f>
        <v>633308.54748678673</v>
      </c>
      <c r="H96" s="298">
        <f>IFERROR(IF(Loan_Not_Paid*Values_Entered,Ending_Balance,""), "")</f>
        <v>178446196.84248823</v>
      </c>
    </row>
    <row r="97" spans="2:8">
      <c r="B97" s="300">
        <f>IFERROR(IF(Loan_Not_Paid*Values_Entered,Payment_Number,""), "")</f>
        <v>80</v>
      </c>
      <c r="C97" s="299"/>
      <c r="D97" s="298">
        <f>IFERROR(IF(Loan_Not_Paid*Values_Entered,Beginning_Balance,""), "")</f>
        <v>178446196.84248823</v>
      </c>
      <c r="E97" s="298">
        <f>IFERROR(IF(Loan_Not_Paid*Values_Entered,Monthly_Payment,""), "")</f>
        <v>1003642.7600902505</v>
      </c>
      <c r="F97" s="298">
        <f>IFERROR(IF(Loan_Not_Paid*Values_Entered,Principal,""), "")</f>
        <v>371645.81293976767</v>
      </c>
      <c r="G97" s="298">
        <f>IFERROR(IF(Loan_Not_Paid*Values_Entered,Interest,""), "")</f>
        <v>631996.9471504828</v>
      </c>
      <c r="H97" s="298">
        <f>IFERROR(IF(Loan_Not_Paid*Values_Entered,Ending_Balance,""), "")</f>
        <v>178074551.02954847</v>
      </c>
    </row>
    <row r="98" spans="2:8">
      <c r="B98" s="300">
        <f>IFERROR(IF(Loan_Not_Paid*Values_Entered,Payment_Number,""), "")</f>
        <v>81</v>
      </c>
      <c r="C98" s="299"/>
      <c r="D98" s="298">
        <f>IFERROR(IF(Loan_Not_Paid*Values_Entered,Beginning_Balance,""), "")</f>
        <v>178074551.02954847</v>
      </c>
      <c r="E98" s="298">
        <f>IFERROR(IF(Loan_Not_Paid*Values_Entered,Monthly_Payment,""), "")</f>
        <v>1003642.7600902505</v>
      </c>
      <c r="F98" s="298">
        <f>IFERROR(IF(Loan_Not_Paid*Values_Entered,Principal,""), "")</f>
        <v>372962.05852726265</v>
      </c>
      <c r="G98" s="298">
        <f>IFERROR(IF(Loan_Not_Paid*Values_Entered,Interest,""), "")</f>
        <v>630680.70156298764</v>
      </c>
      <c r="H98" s="298">
        <f>IFERROR(IF(Loan_Not_Paid*Values_Entered,Ending_Balance,""), "")</f>
        <v>177701588.97102118</v>
      </c>
    </row>
    <row r="99" spans="2:8">
      <c r="B99" s="300">
        <f>IFERROR(IF(Loan_Not_Paid*Values_Entered,Payment_Number,""), "")</f>
        <v>82</v>
      </c>
      <c r="C99" s="299"/>
      <c r="D99" s="298">
        <f>IFERROR(IF(Loan_Not_Paid*Values_Entered,Beginning_Balance,""), "")</f>
        <v>177701588.97102118</v>
      </c>
      <c r="E99" s="298">
        <f>IFERROR(IF(Loan_Not_Paid*Values_Entered,Monthly_Payment,""), "")</f>
        <v>1003642.7600902505</v>
      </c>
      <c r="F99" s="298">
        <f>IFERROR(IF(Loan_Not_Paid*Values_Entered,Principal,""), "")</f>
        <v>374282.96581788006</v>
      </c>
      <c r="G99" s="298">
        <f>IFERROR(IF(Loan_Not_Paid*Values_Entered,Interest,""), "")</f>
        <v>629359.7942723704</v>
      </c>
      <c r="H99" s="298">
        <f>IFERROR(IF(Loan_Not_Paid*Values_Entered,Ending_Balance,""), "")</f>
        <v>177327306.00520325</v>
      </c>
    </row>
    <row r="100" spans="2:8">
      <c r="B100" s="300">
        <f>IFERROR(IF(Loan_Not_Paid*Values_Entered,Payment_Number,""), "")</f>
        <v>83</v>
      </c>
      <c r="C100" s="299"/>
      <c r="D100" s="298">
        <f>IFERROR(IF(Loan_Not_Paid*Values_Entered,Beginning_Balance,""), "")</f>
        <v>177327306.00520325</v>
      </c>
      <c r="E100" s="298">
        <f>IFERROR(IF(Loan_Not_Paid*Values_Entered,Monthly_Payment,""), "")</f>
        <v>1003642.7600902505</v>
      </c>
      <c r="F100" s="298">
        <f>IFERROR(IF(Loan_Not_Paid*Values_Entered,Principal,""), "")</f>
        <v>375608.55132181838</v>
      </c>
      <c r="G100" s="298">
        <f>IFERROR(IF(Loan_Not_Paid*Values_Entered,Interest,""), "")</f>
        <v>628034.20876843215</v>
      </c>
      <c r="H100" s="298">
        <f>IFERROR(IF(Loan_Not_Paid*Values_Entered,Ending_Balance,""), "")</f>
        <v>176951697.45388144</v>
      </c>
    </row>
    <row r="101" spans="2:8">
      <c r="B101" s="300">
        <f>IFERROR(IF(Loan_Not_Paid*Values_Entered,Payment_Number,""), "")</f>
        <v>84</v>
      </c>
      <c r="C101" s="299"/>
      <c r="D101" s="298">
        <f>IFERROR(IF(Loan_Not_Paid*Values_Entered,Beginning_Balance,""), "")</f>
        <v>176951697.45388144</v>
      </c>
      <c r="E101" s="298">
        <f>IFERROR(IF(Loan_Not_Paid*Values_Entered,Monthly_Payment,""), "")</f>
        <v>1003642.7600902505</v>
      </c>
      <c r="F101" s="298">
        <f>IFERROR(IF(Loan_Not_Paid*Values_Entered,Principal,""), "")</f>
        <v>376938.83160774986</v>
      </c>
      <c r="G101" s="298">
        <f>IFERROR(IF(Loan_Not_Paid*Values_Entered,Interest,""), "")</f>
        <v>626703.92848250049</v>
      </c>
      <c r="H101" s="298">
        <f>IFERROR(IF(Loan_Not_Paid*Values_Entered,Ending_Balance,""), "")</f>
        <v>176574758.62227368</v>
      </c>
    </row>
    <row r="102" spans="2:8">
      <c r="B102" s="300">
        <f>IFERROR(IF(Loan_Not_Paid*Values_Entered,Payment_Number,""), "")</f>
        <v>85</v>
      </c>
      <c r="C102" s="299"/>
      <c r="D102" s="298">
        <f>IFERROR(IF(Loan_Not_Paid*Values_Entered,Beginning_Balance,""), "")</f>
        <v>176574758.62227368</v>
      </c>
      <c r="E102" s="298">
        <f>IFERROR(IF(Loan_Not_Paid*Values_Entered,Monthly_Payment,""), "")</f>
        <v>1003642.7600902505</v>
      </c>
      <c r="F102" s="298">
        <f>IFERROR(IF(Loan_Not_Paid*Values_Entered,Principal,""), "")</f>
        <v>378273.82330302725</v>
      </c>
      <c r="G102" s="298">
        <f>IFERROR(IF(Loan_Not_Paid*Values_Entered,Interest,""), "")</f>
        <v>625368.93678722309</v>
      </c>
      <c r="H102" s="298">
        <f>IFERROR(IF(Loan_Not_Paid*Values_Entered,Ending_Balance,""), "")</f>
        <v>176196484.79897058</v>
      </c>
    </row>
    <row r="103" spans="2:8">
      <c r="B103" s="300">
        <f>IFERROR(IF(Loan_Not_Paid*Values_Entered,Payment_Number,""), "")</f>
        <v>86</v>
      </c>
      <c r="C103" s="299"/>
      <c r="D103" s="298">
        <f>IFERROR(IF(Loan_Not_Paid*Values_Entered,Beginning_Balance,""), "")</f>
        <v>176196484.79897058</v>
      </c>
      <c r="E103" s="298">
        <f>IFERROR(IF(Loan_Not_Paid*Values_Entered,Monthly_Payment,""), "")</f>
        <v>1003642.7600902505</v>
      </c>
      <c r="F103" s="298">
        <f>IFERROR(IF(Loan_Not_Paid*Values_Entered,Principal,""), "")</f>
        <v>379613.54309389216</v>
      </c>
      <c r="G103" s="298">
        <f>IFERROR(IF(Loan_Not_Paid*Values_Entered,Interest,""), "")</f>
        <v>624029.21699635824</v>
      </c>
      <c r="H103" s="298">
        <f>IFERROR(IF(Loan_Not_Paid*Values_Entered,Ending_Balance,""), "")</f>
        <v>175816871.25587672</v>
      </c>
    </row>
    <row r="104" spans="2:8">
      <c r="B104" s="300">
        <f>IFERROR(IF(Loan_Not_Paid*Values_Entered,Payment_Number,""), "")</f>
        <v>87</v>
      </c>
      <c r="C104" s="299"/>
      <c r="D104" s="298">
        <f>IFERROR(IF(Loan_Not_Paid*Values_Entered,Beginning_Balance,""), "")</f>
        <v>175816871.25587672</v>
      </c>
      <c r="E104" s="298">
        <f>IFERROR(IF(Loan_Not_Paid*Values_Entered,Monthly_Payment,""), "")</f>
        <v>1003642.7600902505</v>
      </c>
      <c r="F104" s="298">
        <f>IFERROR(IF(Loan_Not_Paid*Values_Entered,Principal,""), "")</f>
        <v>380958.00772568304</v>
      </c>
      <c r="G104" s="298">
        <f>IFERROR(IF(Loan_Not_Paid*Values_Entered,Interest,""), "")</f>
        <v>622684.75236456748</v>
      </c>
      <c r="H104" s="298">
        <f>IFERROR(IF(Loan_Not_Paid*Values_Entered,Ending_Balance,""), "")</f>
        <v>175435913.24815103</v>
      </c>
    </row>
    <row r="105" spans="2:8">
      <c r="B105" s="300">
        <f>IFERROR(IF(Loan_Not_Paid*Values_Entered,Payment_Number,""), "")</f>
        <v>88</v>
      </c>
      <c r="C105" s="299"/>
      <c r="D105" s="298">
        <f>IFERROR(IF(Loan_Not_Paid*Values_Entered,Beginning_Balance,""), "")</f>
        <v>175435913.24815103</v>
      </c>
      <c r="E105" s="298">
        <f>IFERROR(IF(Loan_Not_Paid*Values_Entered,Monthly_Payment,""), "")</f>
        <v>1003642.7600902505</v>
      </c>
      <c r="F105" s="298">
        <f>IFERROR(IF(Loan_Not_Paid*Values_Entered,Principal,""), "")</f>
        <v>382307.23400304484</v>
      </c>
      <c r="G105" s="298">
        <f>IFERROR(IF(Loan_Not_Paid*Values_Entered,Interest,""), "")</f>
        <v>621335.52608720562</v>
      </c>
      <c r="H105" s="298">
        <f>IFERROR(IF(Loan_Not_Paid*Values_Entered,Ending_Balance,""), "")</f>
        <v>175053606.014148</v>
      </c>
    </row>
    <row r="106" spans="2:8">
      <c r="B106" s="300">
        <f>IFERROR(IF(Loan_Not_Paid*Values_Entered,Payment_Number,""), "")</f>
        <v>89</v>
      </c>
      <c r="C106" s="299"/>
      <c r="D106" s="298">
        <f>IFERROR(IF(Loan_Not_Paid*Values_Entered,Beginning_Balance,""), "")</f>
        <v>175053606.014148</v>
      </c>
      <c r="E106" s="298">
        <f>IFERROR(IF(Loan_Not_Paid*Values_Entered,Monthly_Payment,""), "")</f>
        <v>1003642.7600902505</v>
      </c>
      <c r="F106" s="298">
        <f>IFERROR(IF(Loan_Not_Paid*Values_Entered,Principal,""), "")</f>
        <v>383661.23879013897</v>
      </c>
      <c r="G106" s="298">
        <f>IFERROR(IF(Loan_Not_Paid*Values_Entered,Interest,""), "")</f>
        <v>619981.52130011155</v>
      </c>
      <c r="H106" s="298">
        <f>IFERROR(IF(Loan_Not_Paid*Values_Entered,Ending_Balance,""), "")</f>
        <v>174669944.77535781</v>
      </c>
    </row>
    <row r="107" spans="2:8">
      <c r="B107" s="300">
        <f>IFERROR(IF(Loan_Not_Paid*Values_Entered,Payment_Number,""), "")</f>
        <v>90</v>
      </c>
      <c r="C107" s="299"/>
      <c r="D107" s="298">
        <f>IFERROR(IF(Loan_Not_Paid*Values_Entered,Beginning_Balance,""), "")</f>
        <v>174669944.77535781</v>
      </c>
      <c r="E107" s="298">
        <f>IFERROR(IF(Loan_Not_Paid*Values_Entered,Monthly_Payment,""), "")</f>
        <v>1003642.7600902505</v>
      </c>
      <c r="F107" s="298">
        <f>IFERROR(IF(Loan_Not_Paid*Values_Entered,Principal,""), "")</f>
        <v>385020.03901085403</v>
      </c>
      <c r="G107" s="298">
        <f>IFERROR(IF(Loan_Not_Paid*Values_Entered,Interest,""), "")</f>
        <v>618622.72107939655</v>
      </c>
      <c r="H107" s="298">
        <f>IFERROR(IF(Loan_Not_Paid*Values_Entered,Ending_Balance,""), "")</f>
        <v>174284924.73634693</v>
      </c>
    </row>
    <row r="108" spans="2:8">
      <c r="B108" s="300">
        <f>IFERROR(IF(Loan_Not_Paid*Values_Entered,Payment_Number,""), "")</f>
        <v>91</v>
      </c>
      <c r="C108" s="299"/>
      <c r="D108" s="298">
        <f>IFERROR(IF(Loan_Not_Paid*Values_Entered,Beginning_Balance,""), "")</f>
        <v>174284924.73634693</v>
      </c>
      <c r="E108" s="298">
        <f>IFERROR(IF(Loan_Not_Paid*Values_Entered,Monthly_Payment,""), "")</f>
        <v>1003642.7600902505</v>
      </c>
      <c r="F108" s="298">
        <f>IFERROR(IF(Loan_Not_Paid*Values_Entered,Principal,""), "")</f>
        <v>386383.65164901741</v>
      </c>
      <c r="G108" s="298">
        <f>IFERROR(IF(Loan_Not_Paid*Values_Entered,Interest,""), "")</f>
        <v>617259.10844123294</v>
      </c>
      <c r="H108" s="298">
        <f>IFERROR(IF(Loan_Not_Paid*Values_Entered,Ending_Balance,""), "")</f>
        <v>173898541.08469784</v>
      </c>
    </row>
    <row r="109" spans="2:8">
      <c r="B109" s="300">
        <f>IFERROR(IF(Loan_Not_Paid*Values_Entered,Payment_Number,""), "")</f>
        <v>92</v>
      </c>
      <c r="C109" s="299"/>
      <c r="D109" s="298">
        <f>IFERROR(IF(Loan_Not_Paid*Values_Entered,Beginning_Balance,""), "")</f>
        <v>173898541.08469784</v>
      </c>
      <c r="E109" s="298">
        <f>IFERROR(IF(Loan_Not_Paid*Values_Entered,Monthly_Payment,""), "")</f>
        <v>1003642.7600902505</v>
      </c>
      <c r="F109" s="298">
        <f>IFERROR(IF(Loan_Not_Paid*Values_Entered,Principal,""), "")</f>
        <v>387752.09374860767</v>
      </c>
      <c r="G109" s="298">
        <f>IFERROR(IF(Loan_Not_Paid*Values_Entered,Interest,""), "")</f>
        <v>615890.66634164273</v>
      </c>
      <c r="H109" s="298">
        <f>IFERROR(IF(Loan_Not_Paid*Values_Entered,Ending_Balance,""), "")</f>
        <v>173510788.99094927</v>
      </c>
    </row>
    <row r="110" spans="2:8">
      <c r="B110" s="300">
        <f>IFERROR(IF(Loan_Not_Paid*Values_Entered,Payment_Number,""), "")</f>
        <v>93</v>
      </c>
      <c r="C110" s="299"/>
      <c r="D110" s="298">
        <f>IFERROR(IF(Loan_Not_Paid*Values_Entered,Beginning_Balance,""), "")</f>
        <v>173510788.99094927</v>
      </c>
      <c r="E110" s="298">
        <f>IFERROR(IF(Loan_Not_Paid*Values_Entered,Monthly_Payment,""), "")</f>
        <v>1003642.7600902505</v>
      </c>
      <c r="F110" s="298">
        <f>IFERROR(IF(Loan_Not_Paid*Values_Entered,Principal,""), "")</f>
        <v>389125.3824139674</v>
      </c>
      <c r="G110" s="298">
        <f>IFERROR(IF(Loan_Not_Paid*Values_Entered,Interest,""), "")</f>
        <v>614517.37767628301</v>
      </c>
      <c r="H110" s="298">
        <f>IFERROR(IF(Loan_Not_Paid*Values_Entered,Ending_Balance,""), "")</f>
        <v>173121663.60853532</v>
      </c>
    </row>
    <row r="111" spans="2:8">
      <c r="B111" s="300">
        <f>IFERROR(IF(Loan_Not_Paid*Values_Entered,Payment_Number,""), "")</f>
        <v>94</v>
      </c>
      <c r="C111" s="299"/>
      <c r="D111" s="298">
        <f>IFERROR(IF(Loan_Not_Paid*Values_Entered,Beginning_Balance,""), "")</f>
        <v>173121663.60853532</v>
      </c>
      <c r="E111" s="298">
        <f>IFERROR(IF(Loan_Not_Paid*Values_Entered,Monthly_Payment,""), "")</f>
        <v>1003642.7600902505</v>
      </c>
      <c r="F111" s="298">
        <f>IFERROR(IF(Loan_Not_Paid*Values_Entered,Principal,""), "")</f>
        <v>390503.53481001686</v>
      </c>
      <c r="G111" s="298">
        <f>IFERROR(IF(Loan_Not_Paid*Values_Entered,Interest,""), "")</f>
        <v>613139.22528023366</v>
      </c>
      <c r="H111" s="298">
        <f>IFERROR(IF(Loan_Not_Paid*Values_Entered,Ending_Balance,""), "")</f>
        <v>172731160.07372525</v>
      </c>
    </row>
    <row r="112" spans="2:8">
      <c r="B112" s="300">
        <f>IFERROR(IF(Loan_Not_Paid*Values_Entered,Payment_Number,""), "")</f>
        <v>95</v>
      </c>
      <c r="C112" s="299"/>
      <c r="D112" s="298">
        <f>IFERROR(IF(Loan_Not_Paid*Values_Entered,Beginning_Balance,""), "")</f>
        <v>172731160.07372525</v>
      </c>
      <c r="E112" s="298">
        <f>IFERROR(IF(Loan_Not_Paid*Values_Entered,Monthly_Payment,""), "")</f>
        <v>1003642.7600902505</v>
      </c>
      <c r="F112" s="298">
        <f>IFERROR(IF(Loan_Not_Paid*Values_Entered,Principal,""), "")</f>
        <v>391886.56816246902</v>
      </c>
      <c r="G112" s="298">
        <f>IFERROR(IF(Loan_Not_Paid*Values_Entered,Interest,""), "")</f>
        <v>611756.19192778156</v>
      </c>
      <c r="H112" s="298">
        <f>IFERROR(IF(Loan_Not_Paid*Values_Entered,Ending_Balance,""), "")</f>
        <v>172339273.50556275</v>
      </c>
    </row>
    <row r="113" spans="2:8">
      <c r="B113" s="300">
        <f>IFERROR(IF(Loan_Not_Paid*Values_Entered,Payment_Number,""), "")</f>
        <v>96</v>
      </c>
      <c r="C113" s="299"/>
      <c r="D113" s="298">
        <f>IFERROR(IF(Loan_Not_Paid*Values_Entered,Beginning_Balance,""), "")</f>
        <v>172339273.50556275</v>
      </c>
      <c r="E113" s="298">
        <f>IFERROR(IF(Loan_Not_Paid*Values_Entered,Monthly_Payment,""), "")</f>
        <v>1003642.7600902505</v>
      </c>
      <c r="F113" s="298">
        <f>IFERROR(IF(Loan_Not_Paid*Values_Entered,Principal,""), "")</f>
        <v>393274.49975804437</v>
      </c>
      <c r="G113" s="298">
        <f>IFERROR(IF(Loan_Not_Paid*Values_Entered,Interest,""), "")</f>
        <v>610368.26033220591</v>
      </c>
      <c r="H113" s="298">
        <f>IFERROR(IF(Loan_Not_Paid*Values_Entered,Ending_Balance,""), "")</f>
        <v>171945999.00580472</v>
      </c>
    </row>
    <row r="114" spans="2:8">
      <c r="B114" s="300">
        <f>IFERROR(IF(Loan_Not_Paid*Values_Entered,Payment_Number,""), "")</f>
        <v>97</v>
      </c>
      <c r="C114" s="299"/>
      <c r="D114" s="298">
        <f>IFERROR(IF(Loan_Not_Paid*Values_Entered,Beginning_Balance,""), "")</f>
        <v>171945999.00580472</v>
      </c>
      <c r="E114" s="298">
        <f>IFERROR(IF(Loan_Not_Paid*Values_Entered,Monthly_Payment,""), "")</f>
        <v>1003642.7600902505</v>
      </c>
      <c r="F114" s="298">
        <f>IFERROR(IF(Loan_Not_Paid*Values_Entered,Principal,""), "")</f>
        <v>394667.34694468754</v>
      </c>
      <c r="G114" s="298">
        <f>IFERROR(IF(Loan_Not_Paid*Values_Entered,Interest,""), "")</f>
        <v>608975.41314556298</v>
      </c>
      <c r="H114" s="298">
        <f>IFERROR(IF(Loan_Not_Paid*Values_Entered,Ending_Balance,""), "")</f>
        <v>171551331.65885997</v>
      </c>
    </row>
    <row r="115" spans="2:8">
      <c r="B115" s="300">
        <f>IFERROR(IF(Loan_Not_Paid*Values_Entered,Payment_Number,""), "")</f>
        <v>98</v>
      </c>
      <c r="C115" s="299"/>
      <c r="D115" s="298">
        <f>IFERROR(IF(Loan_Not_Paid*Values_Entered,Beginning_Balance,""), "")</f>
        <v>171551331.65885997</v>
      </c>
      <c r="E115" s="298">
        <f>IFERROR(IF(Loan_Not_Paid*Values_Entered,Monthly_Payment,""), "")</f>
        <v>1003642.7600902505</v>
      </c>
      <c r="F115" s="298">
        <f>IFERROR(IF(Loan_Not_Paid*Values_Entered,Principal,""), "")</f>
        <v>396065.12713178323</v>
      </c>
      <c r="G115" s="298">
        <f>IFERROR(IF(Loan_Not_Paid*Values_Entered,Interest,""), "")</f>
        <v>607577.63295846723</v>
      </c>
      <c r="H115" s="298">
        <f>IFERROR(IF(Loan_Not_Paid*Values_Entered,Ending_Balance,""), "")</f>
        <v>171155266.53172821</v>
      </c>
    </row>
    <row r="116" spans="2:8">
      <c r="B116" s="300">
        <f>IFERROR(IF(Loan_Not_Paid*Values_Entered,Payment_Number,""), "")</f>
        <v>99</v>
      </c>
      <c r="C116" s="299"/>
      <c r="D116" s="298">
        <f>IFERROR(IF(Loan_Not_Paid*Values_Entered,Beginning_Balance,""), "")</f>
        <v>171155266.53172821</v>
      </c>
      <c r="E116" s="298">
        <f>IFERROR(IF(Loan_Not_Paid*Values_Entered,Monthly_Payment,""), "")</f>
        <v>1003642.7600902505</v>
      </c>
      <c r="F116" s="298">
        <f>IFERROR(IF(Loan_Not_Paid*Values_Entered,Principal,""), "")</f>
        <v>397467.85779037501</v>
      </c>
      <c r="G116" s="298">
        <f>IFERROR(IF(Loan_Not_Paid*Values_Entered,Interest,""), "")</f>
        <v>606174.90229987551</v>
      </c>
      <c r="H116" s="298">
        <f>IFERROR(IF(Loan_Not_Paid*Values_Entered,Ending_Balance,""), "")</f>
        <v>170757798.6739378</v>
      </c>
    </row>
    <row r="117" spans="2:8">
      <c r="B117" s="300">
        <f>IFERROR(IF(Loan_Not_Paid*Values_Entered,Payment_Number,""), "")</f>
        <v>100</v>
      </c>
      <c r="C117" s="299"/>
      <c r="D117" s="298">
        <f>IFERROR(IF(Loan_Not_Paid*Values_Entered,Beginning_Balance,""), "")</f>
        <v>170757798.6739378</v>
      </c>
      <c r="E117" s="298">
        <f>IFERROR(IF(Loan_Not_Paid*Values_Entered,Monthly_Payment,""), "")</f>
        <v>1003642.7600902505</v>
      </c>
      <c r="F117" s="298">
        <f>IFERROR(IF(Loan_Not_Paid*Values_Entered,Principal,""), "")</f>
        <v>398875.55645338254</v>
      </c>
      <c r="G117" s="298">
        <f>IFERROR(IF(Loan_Not_Paid*Values_Entered,Interest,""), "")</f>
        <v>604767.20363686793</v>
      </c>
      <c r="H117" s="298">
        <f>IFERROR(IF(Loan_Not_Paid*Values_Entered,Ending_Balance,""), "")</f>
        <v>170358923.11748439</v>
      </c>
    </row>
    <row r="118" spans="2:8">
      <c r="B118" s="300">
        <f>IFERROR(IF(Loan_Not_Paid*Values_Entered,Payment_Number,""), "")</f>
        <v>101</v>
      </c>
      <c r="C118" s="299"/>
      <c r="D118" s="298">
        <f>IFERROR(IF(Loan_Not_Paid*Values_Entered,Beginning_Balance,""), "")</f>
        <v>170358923.11748439</v>
      </c>
      <c r="E118" s="298">
        <f>IFERROR(IF(Loan_Not_Paid*Values_Entered,Monthly_Payment,""), "")</f>
        <v>1003642.7600902505</v>
      </c>
      <c r="F118" s="298">
        <f>IFERROR(IF(Loan_Not_Paid*Values_Entered,Principal,""), "")</f>
        <v>400288.24071582162</v>
      </c>
      <c r="G118" s="298">
        <f>IFERROR(IF(Loan_Not_Paid*Values_Entered,Interest,""), "")</f>
        <v>603354.51937442878</v>
      </c>
      <c r="H118" s="298">
        <f>IFERROR(IF(Loan_Not_Paid*Values_Entered,Ending_Balance,""), "")</f>
        <v>169958634.87676853</v>
      </c>
    </row>
    <row r="119" spans="2:8">
      <c r="B119" s="300">
        <f>IFERROR(IF(Loan_Not_Paid*Values_Entered,Payment_Number,""), "")</f>
        <v>102</v>
      </c>
      <c r="C119" s="299"/>
      <c r="D119" s="298">
        <f>IFERROR(IF(Loan_Not_Paid*Values_Entered,Beginning_Balance,""), "")</f>
        <v>169958634.87676853</v>
      </c>
      <c r="E119" s="298">
        <f>IFERROR(IF(Loan_Not_Paid*Values_Entered,Monthly_Payment,""), "")</f>
        <v>1003642.7600902505</v>
      </c>
      <c r="F119" s="298">
        <f>IFERROR(IF(Loan_Not_Paid*Values_Entered,Principal,""), "")</f>
        <v>401705.92823502346</v>
      </c>
      <c r="G119" s="298">
        <f>IFERROR(IF(Loan_Not_Paid*Values_Entered,Interest,""), "")</f>
        <v>601936.83185522712</v>
      </c>
      <c r="H119" s="298">
        <f>IFERROR(IF(Loan_Not_Paid*Values_Entered,Ending_Balance,""), "")</f>
        <v>169556928.94853351</v>
      </c>
    </row>
    <row r="120" spans="2:8">
      <c r="B120" s="300">
        <f>IFERROR(IF(Loan_Not_Paid*Values_Entered,Payment_Number,""), "")</f>
        <v>103</v>
      </c>
      <c r="C120" s="299"/>
      <c r="D120" s="298">
        <f>IFERROR(IF(Loan_Not_Paid*Values_Entered,Beginning_Balance,""), "")</f>
        <v>169556928.94853351</v>
      </c>
      <c r="E120" s="298">
        <f>IFERROR(IF(Loan_Not_Paid*Values_Entered,Monthly_Payment,""), "")</f>
        <v>1003642.7600902505</v>
      </c>
      <c r="F120" s="298">
        <f>IFERROR(IF(Loan_Not_Paid*Values_Entered,Principal,""), "")</f>
        <v>403128.63673085585</v>
      </c>
      <c r="G120" s="298">
        <f>IFERROR(IF(Loan_Not_Paid*Values_Entered,Interest,""), "")</f>
        <v>600514.12335939473</v>
      </c>
      <c r="H120" s="298">
        <f>IFERROR(IF(Loan_Not_Paid*Values_Entered,Ending_Balance,""), "")</f>
        <v>169153800.31180263</v>
      </c>
    </row>
    <row r="121" spans="2:8">
      <c r="B121" s="300">
        <f>IFERROR(IF(Loan_Not_Paid*Values_Entered,Payment_Number,""), "")</f>
        <v>104</v>
      </c>
      <c r="C121" s="299"/>
      <c r="D121" s="298">
        <f>IFERROR(IF(Loan_Not_Paid*Values_Entered,Beginning_Balance,""), "")</f>
        <v>169153800.31180263</v>
      </c>
      <c r="E121" s="298">
        <f>IFERROR(IF(Loan_Not_Paid*Values_Entered,Monthly_Payment,""), "")</f>
        <v>1003642.7600902505</v>
      </c>
      <c r="F121" s="298">
        <f>IFERROR(IF(Loan_Not_Paid*Values_Entered,Principal,""), "")</f>
        <v>404556.38398594433</v>
      </c>
      <c r="G121" s="298">
        <f>IFERROR(IF(Loan_Not_Paid*Values_Entered,Interest,""), "")</f>
        <v>599086.3761043062</v>
      </c>
      <c r="H121" s="298">
        <f>IFERROR(IF(Loan_Not_Paid*Values_Entered,Ending_Balance,""), "")</f>
        <v>168749243.92781666</v>
      </c>
    </row>
    <row r="122" spans="2:8">
      <c r="B122" s="300">
        <f>IFERROR(IF(Loan_Not_Paid*Values_Entered,Payment_Number,""), "")</f>
        <v>105</v>
      </c>
      <c r="C122" s="299"/>
      <c r="D122" s="298">
        <f>IFERROR(IF(Loan_Not_Paid*Values_Entered,Beginning_Balance,""), "")</f>
        <v>168749243.92781666</v>
      </c>
      <c r="E122" s="298">
        <f>IFERROR(IF(Loan_Not_Paid*Values_Entered,Monthly_Payment,""), "")</f>
        <v>1003642.7600902505</v>
      </c>
      <c r="F122" s="298">
        <f>IFERROR(IF(Loan_Not_Paid*Values_Entered,Principal,""), "")</f>
        <v>405989.18784589454</v>
      </c>
      <c r="G122" s="298">
        <f>IFERROR(IF(Loan_Not_Paid*Values_Entered,Interest,""), "")</f>
        <v>597653.57224435604</v>
      </c>
      <c r="H122" s="298">
        <f>IFERROR(IF(Loan_Not_Paid*Values_Entered,Ending_Balance,""), "")</f>
        <v>168343254.73997071</v>
      </c>
    </row>
    <row r="123" spans="2:8">
      <c r="B123" s="300">
        <f>IFERROR(IF(Loan_Not_Paid*Values_Entered,Payment_Number,""), "")</f>
        <v>106</v>
      </c>
      <c r="C123" s="299"/>
      <c r="D123" s="298">
        <f>IFERROR(IF(Loan_Not_Paid*Values_Entered,Beginning_Balance,""), "")</f>
        <v>168343254.73997071</v>
      </c>
      <c r="E123" s="298">
        <f>IFERROR(IF(Loan_Not_Paid*Values_Entered,Monthly_Payment,""), "")</f>
        <v>1003642.7600902505</v>
      </c>
      <c r="F123" s="298">
        <f>IFERROR(IF(Loan_Not_Paid*Values_Entered,Principal,""), "")</f>
        <v>407427.0662195154</v>
      </c>
      <c r="G123" s="298">
        <f>IFERROR(IF(Loan_Not_Paid*Values_Entered,Interest,""), "")</f>
        <v>596215.69387073501</v>
      </c>
      <c r="H123" s="298">
        <f>IFERROR(IF(Loan_Not_Paid*Values_Entered,Ending_Balance,""), "")</f>
        <v>167935827.67375118</v>
      </c>
    </row>
    <row r="124" spans="2:8">
      <c r="B124" s="300">
        <f>IFERROR(IF(Loan_Not_Paid*Values_Entered,Payment_Number,""), "")</f>
        <v>107</v>
      </c>
      <c r="C124" s="299"/>
      <c r="D124" s="298">
        <f>IFERROR(IF(Loan_Not_Paid*Values_Entered,Beginning_Balance,""), "")</f>
        <v>167935827.67375118</v>
      </c>
      <c r="E124" s="298">
        <f>IFERROR(IF(Loan_Not_Paid*Values_Entered,Monthly_Payment,""), "")</f>
        <v>1003642.7600902505</v>
      </c>
      <c r="F124" s="298">
        <f>IFERROR(IF(Loan_Not_Paid*Values_Entered,Principal,""), "")</f>
        <v>408870.03707904287</v>
      </c>
      <c r="G124" s="298">
        <f>IFERROR(IF(Loan_Not_Paid*Values_Entered,Interest,""), "")</f>
        <v>594772.72301120765</v>
      </c>
      <c r="H124" s="298">
        <f>IFERROR(IF(Loan_Not_Paid*Values_Entered,Ending_Balance,""), "")</f>
        <v>167526957.63667214</v>
      </c>
    </row>
    <row r="125" spans="2:8">
      <c r="B125" s="300">
        <f>IFERROR(IF(Loan_Not_Paid*Values_Entered,Payment_Number,""), "")</f>
        <v>108</v>
      </c>
      <c r="C125" s="299"/>
      <c r="D125" s="298">
        <f>IFERROR(IF(Loan_Not_Paid*Values_Entered,Beginning_Balance,""), "")</f>
        <v>167526957.63667214</v>
      </c>
      <c r="E125" s="298">
        <f>IFERROR(IF(Loan_Not_Paid*Values_Entered,Monthly_Payment,""), "")</f>
        <v>1003642.7600902505</v>
      </c>
      <c r="F125" s="298">
        <f>IFERROR(IF(Loan_Not_Paid*Values_Entered,Principal,""), "")</f>
        <v>410318.11846036447</v>
      </c>
      <c r="G125" s="298">
        <f>IFERROR(IF(Loan_Not_Paid*Values_Entered,Interest,""), "")</f>
        <v>593324.641629886</v>
      </c>
      <c r="H125" s="298">
        <f>IFERROR(IF(Loan_Not_Paid*Values_Entered,Ending_Balance,""), "")</f>
        <v>167116639.51821178</v>
      </c>
    </row>
    <row r="126" spans="2:8">
      <c r="B126" s="300">
        <f>IFERROR(IF(Loan_Not_Paid*Values_Entered,Payment_Number,""), "")</f>
        <v>109</v>
      </c>
      <c r="C126" s="299"/>
      <c r="D126" s="298">
        <f>IFERROR(IF(Loan_Not_Paid*Values_Entered,Beginning_Balance,""), "")</f>
        <v>167116639.51821178</v>
      </c>
      <c r="E126" s="298">
        <f>IFERROR(IF(Loan_Not_Paid*Values_Entered,Monthly_Payment,""), "")</f>
        <v>1003642.7600902505</v>
      </c>
      <c r="F126" s="298">
        <f>IFERROR(IF(Loan_Not_Paid*Values_Entered,Principal,""), "")</f>
        <v>411771.32846324495</v>
      </c>
      <c r="G126" s="298">
        <f>IFERROR(IF(Loan_Not_Paid*Values_Entered,Interest,""), "")</f>
        <v>591871.43162700546</v>
      </c>
      <c r="H126" s="298">
        <f>IFERROR(IF(Loan_Not_Paid*Values_Entered,Ending_Balance,""), "")</f>
        <v>166704868.18974847</v>
      </c>
    </row>
    <row r="127" spans="2:8">
      <c r="B127" s="300">
        <f>IFERROR(IF(Loan_Not_Paid*Values_Entered,Payment_Number,""), "")</f>
        <v>110</v>
      </c>
      <c r="C127" s="299"/>
      <c r="D127" s="298">
        <f>IFERROR(IF(Loan_Not_Paid*Values_Entered,Beginning_Balance,""), "")</f>
        <v>166704868.18974847</v>
      </c>
      <c r="E127" s="298">
        <f>IFERROR(IF(Loan_Not_Paid*Values_Entered,Monthly_Payment,""), "")</f>
        <v>1003642.7600902505</v>
      </c>
      <c r="F127" s="298">
        <f>IFERROR(IF(Loan_Not_Paid*Values_Entered,Principal,""), "")</f>
        <v>413229.68525155226</v>
      </c>
      <c r="G127" s="298">
        <f>IFERROR(IF(Loan_Not_Paid*Values_Entered,Interest,""), "")</f>
        <v>590413.07483869826</v>
      </c>
      <c r="H127" s="298">
        <f>IFERROR(IF(Loan_Not_Paid*Values_Entered,Ending_Balance,""), "")</f>
        <v>166291638.50449696</v>
      </c>
    </row>
    <row r="128" spans="2:8">
      <c r="B128" s="300">
        <f>IFERROR(IF(Loan_Not_Paid*Values_Entered,Payment_Number,""), "")</f>
        <v>111</v>
      </c>
      <c r="C128" s="299"/>
      <c r="D128" s="298">
        <f>IFERROR(IF(Loan_Not_Paid*Values_Entered,Beginning_Balance,""), "")</f>
        <v>166291638.50449696</v>
      </c>
      <c r="E128" s="298">
        <f>IFERROR(IF(Loan_Not_Paid*Values_Entered,Monthly_Payment,""), "")</f>
        <v>1003642.7600902505</v>
      </c>
      <c r="F128" s="298">
        <f>IFERROR(IF(Loan_Not_Paid*Values_Entered,Principal,""), "")</f>
        <v>414693.2070534848</v>
      </c>
      <c r="G128" s="298">
        <f>IFERROR(IF(Loan_Not_Paid*Values_Entered,Interest,""), "")</f>
        <v>588949.55303676566</v>
      </c>
      <c r="H128" s="298">
        <f>IFERROR(IF(Loan_Not_Paid*Values_Entered,Ending_Balance,""), "")</f>
        <v>165876945.29744342</v>
      </c>
    </row>
    <row r="129" spans="2:8">
      <c r="B129" s="300">
        <f>IFERROR(IF(Loan_Not_Paid*Values_Entered,Payment_Number,""), "")</f>
        <v>112</v>
      </c>
      <c r="C129" s="299"/>
      <c r="D129" s="298">
        <f>IFERROR(IF(Loan_Not_Paid*Values_Entered,Beginning_Balance,""), "")</f>
        <v>165876945.29744342</v>
      </c>
      <c r="E129" s="298">
        <f>IFERROR(IF(Loan_Not_Paid*Values_Entered,Monthly_Payment,""), "")</f>
        <v>1003642.7600902505</v>
      </c>
      <c r="F129" s="298">
        <f>IFERROR(IF(Loan_Not_Paid*Values_Entered,Principal,""), "")</f>
        <v>416161.91216179921</v>
      </c>
      <c r="G129" s="298">
        <f>IFERROR(IF(Loan_Not_Paid*Values_Entered,Interest,""), "")</f>
        <v>587480.84792845102</v>
      </c>
      <c r="H129" s="298">
        <f>IFERROR(IF(Loan_Not_Paid*Values_Entered,Ending_Balance,""), "")</f>
        <v>165460783.38528162</v>
      </c>
    </row>
    <row r="130" spans="2:8">
      <c r="B130" s="300">
        <f>IFERROR(IF(Loan_Not_Paid*Values_Entered,Payment_Number,""), "")</f>
        <v>113</v>
      </c>
      <c r="C130" s="299"/>
      <c r="D130" s="298">
        <f>IFERROR(IF(Loan_Not_Paid*Values_Entered,Beginning_Balance,""), "")</f>
        <v>165460783.38528162</v>
      </c>
      <c r="E130" s="298">
        <f>IFERROR(IF(Loan_Not_Paid*Values_Entered,Monthly_Payment,""), "")</f>
        <v>1003642.7600902505</v>
      </c>
      <c r="F130" s="298">
        <f>IFERROR(IF(Loan_Not_Paid*Values_Entered,Principal,""), "")</f>
        <v>417635.81893403892</v>
      </c>
      <c r="G130" s="298">
        <f>IFERROR(IF(Loan_Not_Paid*Values_Entered,Interest,""), "")</f>
        <v>586006.94115621143</v>
      </c>
      <c r="H130" s="298">
        <f>IFERROR(IF(Loan_Not_Paid*Values_Entered,Ending_Balance,""), "")</f>
        <v>165043147.56634757</v>
      </c>
    </row>
    <row r="131" spans="2:8">
      <c r="B131" s="300">
        <f>IFERROR(IF(Loan_Not_Paid*Values_Entered,Payment_Number,""), "")</f>
        <v>114</v>
      </c>
      <c r="C131" s="299"/>
      <c r="D131" s="298">
        <f>IFERROR(IF(Loan_Not_Paid*Values_Entered,Beginning_Balance,""), "")</f>
        <v>165043147.56634757</v>
      </c>
      <c r="E131" s="298">
        <f>IFERROR(IF(Loan_Not_Paid*Values_Entered,Monthly_Payment,""), "")</f>
        <v>1003642.7600902505</v>
      </c>
      <c r="F131" s="298">
        <f>IFERROR(IF(Loan_Not_Paid*Values_Entered,Principal,""), "")</f>
        <v>419114.94579276373</v>
      </c>
      <c r="G131" s="298">
        <f>IFERROR(IF(Loan_Not_Paid*Values_Entered,Interest,""), "")</f>
        <v>584527.8142974868</v>
      </c>
      <c r="H131" s="298">
        <f>IFERROR(IF(Loan_Not_Paid*Values_Entered,Ending_Balance,""), "")</f>
        <v>164624032.62055477</v>
      </c>
    </row>
    <row r="132" spans="2:8">
      <c r="B132" s="300">
        <f>IFERROR(IF(Loan_Not_Paid*Values_Entered,Payment_Number,""), "")</f>
        <v>115</v>
      </c>
      <c r="C132" s="299"/>
      <c r="D132" s="298">
        <f>IFERROR(IF(Loan_Not_Paid*Values_Entered,Beginning_Balance,""), "")</f>
        <v>164624032.62055477</v>
      </c>
      <c r="E132" s="298">
        <f>IFERROR(IF(Loan_Not_Paid*Values_Entered,Monthly_Payment,""), "")</f>
        <v>1003642.7600902505</v>
      </c>
      <c r="F132" s="298">
        <f>IFERROR(IF(Loan_Not_Paid*Values_Entered,Principal,""), "")</f>
        <v>420599.3112257797</v>
      </c>
      <c r="G132" s="298">
        <f>IFERROR(IF(Loan_Not_Paid*Values_Entered,Interest,""), "")</f>
        <v>583043.44886447082</v>
      </c>
      <c r="H132" s="298">
        <f>IFERROR(IF(Loan_Not_Paid*Values_Entered,Ending_Balance,""), "")</f>
        <v>164203433.309329</v>
      </c>
    </row>
    <row r="133" spans="2:8">
      <c r="B133" s="300">
        <f>IFERROR(IF(Loan_Not_Paid*Values_Entered,Payment_Number,""), "")</f>
        <v>116</v>
      </c>
      <c r="C133" s="299"/>
      <c r="D133" s="298">
        <f>IFERROR(IF(Loan_Not_Paid*Values_Entered,Beginning_Balance,""), "")</f>
        <v>164203433.309329</v>
      </c>
      <c r="E133" s="298">
        <f>IFERROR(IF(Loan_Not_Paid*Values_Entered,Monthly_Payment,""), "")</f>
        <v>1003642.7600902505</v>
      </c>
      <c r="F133" s="298">
        <f>IFERROR(IF(Loan_Not_Paid*Values_Entered,Principal,""), "")</f>
        <v>422088.93378637102</v>
      </c>
      <c r="G133" s="298">
        <f>IFERROR(IF(Loan_Not_Paid*Values_Entered,Interest,""), "")</f>
        <v>581553.82630387938</v>
      </c>
      <c r="H133" s="298">
        <f>IFERROR(IF(Loan_Not_Paid*Values_Entered,Ending_Balance,""), "")</f>
        <v>163781344.37554261</v>
      </c>
    </row>
    <row r="134" spans="2:8">
      <c r="B134" s="300">
        <f>IFERROR(IF(Loan_Not_Paid*Values_Entered,Payment_Number,""), "")</f>
        <v>117</v>
      </c>
      <c r="C134" s="299"/>
      <c r="D134" s="298">
        <f>IFERROR(IF(Loan_Not_Paid*Values_Entered,Beginning_Balance,""), "")</f>
        <v>163781344.37554261</v>
      </c>
      <c r="E134" s="298">
        <f>IFERROR(IF(Loan_Not_Paid*Values_Entered,Monthly_Payment,""), "")</f>
        <v>1003642.7600902505</v>
      </c>
      <c r="F134" s="298">
        <f>IFERROR(IF(Loan_Not_Paid*Values_Entered,Principal,""), "")</f>
        <v>423583.83209353109</v>
      </c>
      <c r="G134" s="298">
        <f>IFERROR(IF(Loan_Not_Paid*Values_Entered,Interest,""), "")</f>
        <v>580058.92799671949</v>
      </c>
      <c r="H134" s="298">
        <f>IFERROR(IF(Loan_Not_Paid*Values_Entered,Ending_Balance,""), "")</f>
        <v>163357760.54344898</v>
      </c>
    </row>
    <row r="135" spans="2:8">
      <c r="B135" s="300">
        <f>IFERROR(IF(Loan_Not_Paid*Values_Entered,Payment_Number,""), "")</f>
        <v>118</v>
      </c>
      <c r="C135" s="299"/>
      <c r="D135" s="298">
        <f>IFERROR(IF(Loan_Not_Paid*Values_Entered,Beginning_Balance,""), "")</f>
        <v>163357760.54344898</v>
      </c>
      <c r="E135" s="298">
        <f>IFERROR(IF(Loan_Not_Paid*Values_Entered,Monthly_Payment,""), "")</f>
        <v>1003642.7600902505</v>
      </c>
      <c r="F135" s="298">
        <f>IFERROR(IF(Loan_Not_Paid*Values_Entered,Principal,""), "")</f>
        <v>425084.02483219572</v>
      </c>
      <c r="G135" s="298">
        <f>IFERROR(IF(Loan_Not_Paid*Values_Entered,Interest,""), "")</f>
        <v>578558.73525805492</v>
      </c>
      <c r="H135" s="298">
        <f>IFERROR(IF(Loan_Not_Paid*Values_Entered,Ending_Balance,""), "")</f>
        <v>162932676.5186168</v>
      </c>
    </row>
    <row r="136" spans="2:8">
      <c r="B136" s="300">
        <f>IFERROR(IF(Loan_Not_Paid*Values_Entered,Payment_Number,""), "")</f>
        <v>119</v>
      </c>
      <c r="C136" s="299"/>
      <c r="D136" s="298">
        <f>IFERROR(IF(Loan_Not_Paid*Values_Entered,Beginning_Balance,""), "")</f>
        <v>162932676.5186168</v>
      </c>
      <c r="E136" s="298">
        <f>IFERROR(IF(Loan_Not_Paid*Values_Entered,Monthly_Payment,""), "")</f>
        <v>1003642.7600902505</v>
      </c>
      <c r="F136" s="298">
        <f>IFERROR(IF(Loan_Not_Paid*Values_Entered,Principal,""), "")</f>
        <v>426589.53075347637</v>
      </c>
      <c r="G136" s="298">
        <f>IFERROR(IF(Loan_Not_Paid*Values_Entered,Interest,""), "")</f>
        <v>577053.22933677421</v>
      </c>
      <c r="H136" s="298">
        <f>IFERROR(IF(Loan_Not_Paid*Values_Entered,Ending_Balance,""), "")</f>
        <v>162506086.98786333</v>
      </c>
    </row>
    <row r="137" spans="2:8">
      <c r="B137" s="300">
        <f>IFERROR(IF(Loan_Not_Paid*Values_Entered,Payment_Number,""), "")</f>
        <v>120</v>
      </c>
      <c r="C137" s="299"/>
      <c r="D137" s="298">
        <f>IFERROR(IF(Loan_Not_Paid*Values_Entered,Beginning_Balance,""), "")</f>
        <v>162506086.98786333</v>
      </c>
      <c r="E137" s="298">
        <f>IFERROR(IF(Loan_Not_Paid*Values_Entered,Monthly_Payment,""), "")</f>
        <v>1003642.7600902505</v>
      </c>
      <c r="F137" s="298">
        <f>IFERROR(IF(Loan_Not_Paid*Values_Entered,Principal,""), "")</f>
        <v>428100.36867489491</v>
      </c>
      <c r="G137" s="298">
        <f>IFERROR(IF(Loan_Not_Paid*Values_Entered,Interest,""), "")</f>
        <v>575542.39141535549</v>
      </c>
      <c r="H137" s="298">
        <f>IFERROR(IF(Loan_Not_Paid*Values_Entered,Ending_Balance,""), "")</f>
        <v>162077986.61918843</v>
      </c>
    </row>
    <row r="138" spans="2:8">
      <c r="B138" s="300">
        <f>IFERROR(IF(Loan_Not_Paid*Values_Entered,Payment_Number,""), "")</f>
        <v>121</v>
      </c>
      <c r="C138" s="299"/>
      <c r="D138" s="298">
        <f>IFERROR(IF(Loan_Not_Paid*Values_Entered,Beginning_Balance,""), "")</f>
        <v>162077986.61918843</v>
      </c>
      <c r="E138" s="298">
        <f>IFERROR(IF(Loan_Not_Paid*Values_Entered,Monthly_Payment,""), "")</f>
        <v>1003642.7600902505</v>
      </c>
      <c r="F138" s="298">
        <f>IFERROR(IF(Loan_Not_Paid*Values_Entered,Principal,""), "")</f>
        <v>429616.55748061853</v>
      </c>
      <c r="G138" s="298">
        <f>IFERROR(IF(Loan_Not_Paid*Values_Entered,Interest,""), "")</f>
        <v>574026.20260963193</v>
      </c>
      <c r="H138" s="298">
        <f>IFERROR(IF(Loan_Not_Paid*Values_Entered,Ending_Balance,""), "")</f>
        <v>161648370.06170776</v>
      </c>
    </row>
    <row r="139" spans="2:8">
      <c r="B139" s="300">
        <f>IFERROR(IF(Loan_Not_Paid*Values_Entered,Payment_Number,""), "")</f>
        <v>122</v>
      </c>
      <c r="C139" s="299"/>
      <c r="D139" s="298">
        <f>IFERROR(IF(Loan_Not_Paid*Values_Entered,Beginning_Balance,""), "")</f>
        <v>161648370.06170776</v>
      </c>
      <c r="E139" s="298">
        <f>IFERROR(IF(Loan_Not_Paid*Values_Entered,Monthly_Payment,""), "")</f>
        <v>1003642.7600902505</v>
      </c>
      <c r="F139" s="298">
        <f>IFERROR(IF(Loan_Not_Paid*Values_Entered,Principal,""), "")</f>
        <v>431138.11612169573</v>
      </c>
      <c r="G139" s="298">
        <f>IFERROR(IF(Loan_Not_Paid*Values_Entered,Interest,""), "")</f>
        <v>572504.6439685548</v>
      </c>
      <c r="H139" s="298">
        <f>IFERROR(IF(Loan_Not_Paid*Values_Entered,Ending_Balance,""), "")</f>
        <v>161217231.945586</v>
      </c>
    </row>
    <row r="140" spans="2:8">
      <c r="B140" s="300">
        <f>IFERROR(IF(Loan_Not_Paid*Values_Entered,Payment_Number,""), "")</f>
        <v>123</v>
      </c>
      <c r="C140" s="299"/>
      <c r="D140" s="298">
        <f>IFERROR(IF(Loan_Not_Paid*Values_Entered,Beginning_Balance,""), "")</f>
        <v>161217231.945586</v>
      </c>
      <c r="E140" s="298">
        <f>IFERROR(IF(Loan_Not_Paid*Values_Entered,Monthly_Payment,""), "")</f>
        <v>1003642.7600902505</v>
      </c>
      <c r="F140" s="298">
        <f>IFERROR(IF(Loan_Not_Paid*Values_Entered,Principal,""), "")</f>
        <v>432665.06361629337</v>
      </c>
      <c r="G140" s="298">
        <f>IFERROR(IF(Loan_Not_Paid*Values_Entered,Interest,""), "")</f>
        <v>570977.69647395704</v>
      </c>
      <c r="H140" s="298">
        <f>IFERROR(IF(Loan_Not_Paid*Values_Entered,Ending_Balance,""), "")</f>
        <v>160784566.88196969</v>
      </c>
    </row>
    <row r="141" spans="2:8">
      <c r="B141" s="300">
        <f>IFERROR(IF(Loan_Not_Paid*Values_Entered,Payment_Number,""), "")</f>
        <v>124</v>
      </c>
      <c r="C141" s="299"/>
      <c r="D141" s="298">
        <f>IFERROR(IF(Loan_Not_Paid*Values_Entered,Beginning_Balance,""), "")</f>
        <v>160784566.88196969</v>
      </c>
      <c r="E141" s="298">
        <f>IFERROR(IF(Loan_Not_Paid*Values_Entered,Monthly_Payment,""), "")</f>
        <v>1003642.7600902505</v>
      </c>
      <c r="F141" s="298">
        <f>IFERROR(IF(Loan_Not_Paid*Values_Entered,Principal,""), "")</f>
        <v>434197.41904993443</v>
      </c>
      <c r="G141" s="298">
        <f>IFERROR(IF(Loan_Not_Paid*Values_Entered,Interest,""), "")</f>
        <v>569445.34104031604</v>
      </c>
      <c r="H141" s="298">
        <f>IFERROR(IF(Loan_Not_Paid*Values_Entered,Ending_Balance,""), "")</f>
        <v>160350369.4629198</v>
      </c>
    </row>
    <row r="142" spans="2:8">
      <c r="B142" s="300">
        <f>IFERROR(IF(Loan_Not_Paid*Values_Entered,Payment_Number,""), "")</f>
        <v>125</v>
      </c>
      <c r="C142" s="299"/>
      <c r="D142" s="298">
        <f>IFERROR(IF(Loan_Not_Paid*Values_Entered,Beginning_Balance,""), "")</f>
        <v>160350369.4629198</v>
      </c>
      <c r="E142" s="298">
        <f>IFERROR(IF(Loan_Not_Paid*Values_Entered,Monthly_Payment,""), "")</f>
        <v>1003642.7600902505</v>
      </c>
      <c r="F142" s="298">
        <f>IFERROR(IF(Loan_Not_Paid*Values_Entered,Principal,""), "")</f>
        <v>435735.20157573628</v>
      </c>
      <c r="G142" s="298">
        <f>IFERROR(IF(Loan_Not_Paid*Values_Entered,Interest,""), "")</f>
        <v>567907.55851451424</v>
      </c>
      <c r="H142" s="298">
        <f>IFERROR(IF(Loan_Not_Paid*Values_Entered,Ending_Balance,""), "")</f>
        <v>159914634.26134405</v>
      </c>
    </row>
    <row r="143" spans="2:8">
      <c r="B143" s="300">
        <f>IFERROR(IF(Loan_Not_Paid*Values_Entered,Payment_Number,""), "")</f>
        <v>126</v>
      </c>
      <c r="C143" s="299"/>
      <c r="D143" s="298">
        <f>IFERROR(IF(Loan_Not_Paid*Values_Entered,Beginning_Balance,""), "")</f>
        <v>159914634.26134405</v>
      </c>
      <c r="E143" s="298">
        <f>IFERROR(IF(Loan_Not_Paid*Values_Entered,Monthly_Payment,""), "")</f>
        <v>1003642.7600902505</v>
      </c>
      <c r="F143" s="298">
        <f>IFERROR(IF(Loan_Not_Paid*Values_Entered,Principal,""), "")</f>
        <v>437278.43041465036</v>
      </c>
      <c r="G143" s="298">
        <f>IFERROR(IF(Loan_Not_Paid*Values_Entered,Interest,""), "")</f>
        <v>566364.32967560005</v>
      </c>
      <c r="H143" s="298">
        <f>IFERROR(IF(Loan_Not_Paid*Values_Entered,Ending_Balance,""), "")</f>
        <v>159477355.83092934</v>
      </c>
    </row>
    <row r="144" spans="2:8">
      <c r="B144" s="300">
        <f>IFERROR(IF(Loan_Not_Paid*Values_Entered,Payment_Number,""), "")</f>
        <v>127</v>
      </c>
      <c r="C144" s="299"/>
      <c r="D144" s="298">
        <f>IFERROR(IF(Loan_Not_Paid*Values_Entered,Beginning_Balance,""), "")</f>
        <v>159477355.83092934</v>
      </c>
      <c r="E144" s="298">
        <f>IFERROR(IF(Loan_Not_Paid*Values_Entered,Monthly_Payment,""), "")</f>
        <v>1003642.7600902505</v>
      </c>
      <c r="F144" s="298">
        <f>IFERROR(IF(Loan_Not_Paid*Values_Entered,Principal,""), "")</f>
        <v>438827.12485570228</v>
      </c>
      <c r="G144" s="298">
        <f>IFERROR(IF(Loan_Not_Paid*Values_Entered,Interest,""), "")</f>
        <v>564815.63523454824</v>
      </c>
      <c r="H144" s="298">
        <f>IFERROR(IF(Loan_Not_Paid*Values_Entered,Ending_Balance,""), "")</f>
        <v>159038528.70607358</v>
      </c>
    </row>
    <row r="145" spans="2:8">
      <c r="B145" s="300">
        <f>IFERROR(IF(Loan_Not_Paid*Values_Entered,Payment_Number,""), "")</f>
        <v>128</v>
      </c>
      <c r="C145" s="299"/>
      <c r="D145" s="298">
        <f>IFERROR(IF(Loan_Not_Paid*Values_Entered,Beginning_Balance,""), "")</f>
        <v>159038528.70607358</v>
      </c>
      <c r="E145" s="298">
        <f>IFERROR(IF(Loan_Not_Paid*Values_Entered,Monthly_Payment,""), "")</f>
        <v>1003642.7600902505</v>
      </c>
      <c r="F145" s="298">
        <f>IFERROR(IF(Loan_Not_Paid*Values_Entered,Principal,""), "")</f>
        <v>440381.30425623286</v>
      </c>
      <c r="G145" s="298">
        <f>IFERROR(IF(Loan_Not_Paid*Values_Entered,Interest,""), "")</f>
        <v>563261.45583401783</v>
      </c>
      <c r="H145" s="298">
        <f>IFERROR(IF(Loan_Not_Paid*Values_Entered,Ending_Balance,""), "")</f>
        <v>158598147.40181735</v>
      </c>
    </row>
    <row r="146" spans="2:8">
      <c r="B146" s="300">
        <f>IFERROR(IF(Loan_Not_Paid*Values_Entered,Payment_Number,""), "")</f>
        <v>129</v>
      </c>
      <c r="C146" s="299"/>
      <c r="D146" s="298">
        <f>IFERROR(IF(Loan_Not_Paid*Values_Entered,Beginning_Balance,""), "")</f>
        <v>158598147.40181735</v>
      </c>
      <c r="E146" s="298">
        <f>IFERROR(IF(Loan_Not_Paid*Values_Entered,Monthly_Payment,""), "")</f>
        <v>1003642.7600902505</v>
      </c>
      <c r="F146" s="298">
        <f>IFERROR(IF(Loan_Not_Paid*Values_Entered,Principal,""), "")</f>
        <v>441940.98804214032</v>
      </c>
      <c r="G146" s="298">
        <f>IFERROR(IF(Loan_Not_Paid*Values_Entered,Interest,""), "")</f>
        <v>561701.77204811003</v>
      </c>
      <c r="H146" s="298">
        <f>IFERROR(IF(Loan_Not_Paid*Values_Entered,Ending_Balance,""), "")</f>
        <v>158156206.41377524</v>
      </c>
    </row>
    <row r="147" spans="2:8">
      <c r="B147" s="300">
        <f>IFERROR(IF(Loan_Not_Paid*Values_Entered,Payment_Number,""), "")</f>
        <v>130</v>
      </c>
      <c r="C147" s="299"/>
      <c r="D147" s="298">
        <f>IFERROR(IF(Loan_Not_Paid*Values_Entered,Beginning_Balance,""), "")</f>
        <v>158156206.41377524</v>
      </c>
      <c r="E147" s="298">
        <f>IFERROR(IF(Loan_Not_Paid*Values_Entered,Monthly_Payment,""), "")</f>
        <v>1003642.7600902505</v>
      </c>
      <c r="F147" s="298">
        <f>IFERROR(IF(Loan_Not_Paid*Values_Entered,Principal,""), "")</f>
        <v>443506.19570812292</v>
      </c>
      <c r="G147" s="298">
        <f>IFERROR(IF(Loan_Not_Paid*Values_Entered,Interest,""), "")</f>
        <v>560136.56438212749</v>
      </c>
      <c r="H147" s="298">
        <f>IFERROR(IF(Loan_Not_Paid*Values_Entered,Ending_Balance,""), "")</f>
        <v>157712700.21806711</v>
      </c>
    </row>
    <row r="148" spans="2:8">
      <c r="B148" s="300">
        <f>IFERROR(IF(Loan_Not_Paid*Values_Entered,Payment_Number,""), "")</f>
        <v>131</v>
      </c>
      <c r="C148" s="299"/>
      <c r="D148" s="298">
        <f>IFERROR(IF(Loan_Not_Paid*Values_Entered,Beginning_Balance,""), "")</f>
        <v>157712700.21806711</v>
      </c>
      <c r="E148" s="298">
        <f>IFERROR(IF(Loan_Not_Paid*Values_Entered,Monthly_Payment,""), "")</f>
        <v>1003642.7600902505</v>
      </c>
      <c r="F148" s="298">
        <f>IFERROR(IF(Loan_Not_Paid*Values_Entered,Principal,""), "")</f>
        <v>445076.94681792252</v>
      </c>
      <c r="G148" s="298">
        <f>IFERROR(IF(Loan_Not_Paid*Values_Entered,Interest,""), "")</f>
        <v>558565.813272328</v>
      </c>
      <c r="H148" s="298">
        <f>IFERROR(IF(Loan_Not_Paid*Values_Entered,Ending_Balance,""), "")</f>
        <v>157267623.27124915</v>
      </c>
    </row>
    <row r="149" spans="2:8">
      <c r="B149" s="300">
        <f>IFERROR(IF(Loan_Not_Paid*Values_Entered,Payment_Number,""), "")</f>
        <v>132</v>
      </c>
      <c r="C149" s="299"/>
      <c r="D149" s="298">
        <f>IFERROR(IF(Loan_Not_Paid*Values_Entered,Beginning_Balance,""), "")</f>
        <v>157267623.27124915</v>
      </c>
      <c r="E149" s="298">
        <f>IFERROR(IF(Loan_Not_Paid*Values_Entered,Monthly_Payment,""), "")</f>
        <v>1003642.7600902505</v>
      </c>
      <c r="F149" s="298">
        <f>IFERROR(IF(Loan_Not_Paid*Values_Entered,Principal,""), "")</f>
        <v>446653.26100456936</v>
      </c>
      <c r="G149" s="298">
        <f>IFERROR(IF(Loan_Not_Paid*Values_Entered,Interest,""), "")</f>
        <v>556989.49908568105</v>
      </c>
      <c r="H149" s="298">
        <f>IFERROR(IF(Loan_Not_Paid*Values_Entered,Ending_Balance,""), "")</f>
        <v>156820970.01024455</v>
      </c>
    </row>
    <row r="150" spans="2:8">
      <c r="B150" s="300">
        <f>IFERROR(IF(Loan_Not_Paid*Values_Entered,Payment_Number,""), "")</f>
        <v>133</v>
      </c>
      <c r="C150" s="299"/>
      <c r="D150" s="298">
        <f>IFERROR(IF(Loan_Not_Paid*Values_Entered,Beginning_Balance,""), "")</f>
        <v>156820970.01024455</v>
      </c>
      <c r="E150" s="298">
        <f>IFERROR(IF(Loan_Not_Paid*Values_Entered,Monthly_Payment,""), "")</f>
        <v>1003642.7600902505</v>
      </c>
      <c r="F150" s="298">
        <f>IFERROR(IF(Loan_Not_Paid*Values_Entered,Principal,""), "")</f>
        <v>448235.15797062719</v>
      </c>
      <c r="G150" s="298">
        <f>IFERROR(IF(Loan_Not_Paid*Values_Entered,Interest,""), "")</f>
        <v>555407.60211962333</v>
      </c>
      <c r="H150" s="298">
        <f>IFERROR(IF(Loan_Not_Paid*Values_Entered,Ending_Balance,""), "")</f>
        <v>156372734.85227388</v>
      </c>
    </row>
    <row r="151" spans="2:8">
      <c r="B151" s="300">
        <f>IFERROR(IF(Loan_Not_Paid*Values_Entered,Payment_Number,""), "")</f>
        <v>134</v>
      </c>
      <c r="C151" s="299"/>
      <c r="D151" s="298">
        <f>IFERROR(IF(Loan_Not_Paid*Values_Entered,Beginning_Balance,""), "")</f>
        <v>156372734.85227388</v>
      </c>
      <c r="E151" s="298">
        <f>IFERROR(IF(Loan_Not_Paid*Values_Entered,Monthly_Payment,""), "")</f>
        <v>1003642.7600902505</v>
      </c>
      <c r="F151" s="298">
        <f>IFERROR(IF(Loan_Not_Paid*Values_Entered,Principal,""), "")</f>
        <v>449822.65748843981</v>
      </c>
      <c r="G151" s="298">
        <f>IFERROR(IF(Loan_Not_Paid*Values_Entered,Interest,""), "")</f>
        <v>553820.10260181071</v>
      </c>
      <c r="H151" s="298">
        <f>IFERROR(IF(Loan_Not_Paid*Values_Entered,Ending_Balance,""), "")</f>
        <v>155922912.19478539</v>
      </c>
    </row>
    <row r="152" spans="2:8">
      <c r="B152" s="300">
        <f>IFERROR(IF(Loan_Not_Paid*Values_Entered,Payment_Number,""), "")</f>
        <v>135</v>
      </c>
      <c r="C152" s="299"/>
      <c r="D152" s="298">
        <f>IFERROR(IF(Loan_Not_Paid*Values_Entered,Beginning_Balance,""), "")</f>
        <v>155922912.19478539</v>
      </c>
      <c r="E152" s="298">
        <f>IFERROR(IF(Loan_Not_Paid*Values_Entered,Monthly_Payment,""), "")</f>
        <v>1003642.7600902505</v>
      </c>
      <c r="F152" s="298">
        <f>IFERROR(IF(Loan_Not_Paid*Values_Entered,Principal,""), "")</f>
        <v>451415.779400378</v>
      </c>
      <c r="G152" s="298">
        <f>IFERROR(IF(Loan_Not_Paid*Values_Entered,Interest,""), "")</f>
        <v>552226.98068987241</v>
      </c>
      <c r="H152" s="298">
        <f>IFERROR(IF(Loan_Not_Paid*Values_Entered,Ending_Balance,""), "")</f>
        <v>155471496.41538504</v>
      </c>
    </row>
    <row r="153" spans="2:8">
      <c r="B153" s="300">
        <f>IFERROR(IF(Loan_Not_Paid*Values_Entered,Payment_Number,""), "")</f>
        <v>136</v>
      </c>
      <c r="C153" s="299"/>
      <c r="D153" s="298">
        <f>IFERROR(IF(Loan_Not_Paid*Values_Entered,Beginning_Balance,""), "")</f>
        <v>155471496.41538504</v>
      </c>
      <c r="E153" s="298">
        <f>IFERROR(IF(Loan_Not_Paid*Values_Entered,Monthly_Payment,""), "")</f>
        <v>1003642.7600902505</v>
      </c>
      <c r="F153" s="298">
        <f>IFERROR(IF(Loan_Not_Paid*Values_Entered,Principal,""), "")</f>
        <v>453014.54361908772</v>
      </c>
      <c r="G153" s="298">
        <f>IFERROR(IF(Loan_Not_Paid*Values_Entered,Interest,""), "")</f>
        <v>550628.21647116274</v>
      </c>
      <c r="H153" s="298">
        <f>IFERROR(IF(Loan_Not_Paid*Values_Entered,Ending_Balance,""), "")</f>
        <v>155018481.87176591</v>
      </c>
    </row>
    <row r="154" spans="2:8">
      <c r="B154" s="300">
        <f>IFERROR(IF(Loan_Not_Paid*Values_Entered,Payment_Number,""), "")</f>
        <v>137</v>
      </c>
      <c r="C154" s="299"/>
      <c r="D154" s="298">
        <f>IFERROR(IF(Loan_Not_Paid*Values_Entered,Beginning_Balance,""), "")</f>
        <v>155018481.87176591</v>
      </c>
      <c r="E154" s="298">
        <f>IFERROR(IF(Loan_Not_Paid*Values_Entered,Monthly_Payment,""), "")</f>
        <v>1003642.7600902505</v>
      </c>
      <c r="F154" s="298">
        <f>IFERROR(IF(Loan_Not_Paid*Values_Entered,Principal,""), "")</f>
        <v>454618.97012773866</v>
      </c>
      <c r="G154" s="298">
        <f>IFERROR(IF(Loan_Not_Paid*Values_Entered,Interest,""), "")</f>
        <v>549023.78996251186</v>
      </c>
      <c r="H154" s="298">
        <f>IFERROR(IF(Loan_Not_Paid*Values_Entered,Ending_Balance,""), "")</f>
        <v>154563862.90163818</v>
      </c>
    </row>
    <row r="155" spans="2:8">
      <c r="B155" s="300">
        <f>IFERROR(IF(Loan_Not_Paid*Values_Entered,Payment_Number,""), "")</f>
        <v>138</v>
      </c>
      <c r="C155" s="299"/>
      <c r="D155" s="298">
        <f>IFERROR(IF(Loan_Not_Paid*Values_Entered,Beginning_Balance,""), "")</f>
        <v>154563862.90163818</v>
      </c>
      <c r="E155" s="298">
        <f>IFERROR(IF(Loan_Not_Paid*Values_Entered,Monthly_Payment,""), "")</f>
        <v>1003642.7600902505</v>
      </c>
      <c r="F155" s="298">
        <f>IFERROR(IF(Loan_Not_Paid*Values_Entered,Principal,""), "")</f>
        <v>456229.07898027432</v>
      </c>
      <c r="G155" s="298">
        <f>IFERROR(IF(Loan_Not_Paid*Values_Entered,Interest,""), "")</f>
        <v>547413.68110997614</v>
      </c>
      <c r="H155" s="298">
        <f>IFERROR(IF(Loan_Not_Paid*Values_Entered,Ending_Balance,""), "")</f>
        <v>154107633.82265782</v>
      </c>
    </row>
    <row r="156" spans="2:8">
      <c r="B156" s="300">
        <f>IFERROR(IF(Loan_Not_Paid*Values_Entered,Payment_Number,""), "")</f>
        <v>139</v>
      </c>
      <c r="C156" s="299"/>
      <c r="D156" s="298">
        <f>IFERROR(IF(Loan_Not_Paid*Values_Entered,Beginning_Balance,""), "")</f>
        <v>154107633.82265782</v>
      </c>
      <c r="E156" s="298">
        <f>IFERROR(IF(Loan_Not_Paid*Values_Entered,Monthly_Payment,""), "")</f>
        <v>1003642.7600902505</v>
      </c>
      <c r="F156" s="298">
        <f>IFERROR(IF(Loan_Not_Paid*Values_Entered,Principal,""), "")</f>
        <v>457844.89030166285</v>
      </c>
      <c r="G156" s="298">
        <f>IFERROR(IF(Loan_Not_Paid*Values_Entered,Interest,""), "")</f>
        <v>545797.86978858756</v>
      </c>
      <c r="H156" s="298">
        <f>IFERROR(IF(Loan_Not_Paid*Values_Entered,Ending_Balance,""), "")</f>
        <v>153649788.93235618</v>
      </c>
    </row>
    <row r="157" spans="2:8">
      <c r="B157" s="300">
        <f>IFERROR(IF(Loan_Not_Paid*Values_Entered,Payment_Number,""), "")</f>
        <v>140</v>
      </c>
      <c r="C157" s="299"/>
      <c r="D157" s="298">
        <f>IFERROR(IF(Loan_Not_Paid*Values_Entered,Beginning_Balance,""), "")</f>
        <v>153649788.93235618</v>
      </c>
      <c r="E157" s="298">
        <f>IFERROR(IF(Loan_Not_Paid*Values_Entered,Monthly_Payment,""), "")</f>
        <v>1003642.7600902505</v>
      </c>
      <c r="F157" s="298">
        <f>IFERROR(IF(Loan_Not_Paid*Values_Entered,Principal,""), "")</f>
        <v>459466.42428814789</v>
      </c>
      <c r="G157" s="298">
        <f>IFERROR(IF(Loan_Not_Paid*Values_Entered,Interest,""), "")</f>
        <v>544176.33580210258</v>
      </c>
      <c r="H157" s="298">
        <f>IFERROR(IF(Loan_Not_Paid*Values_Entered,Ending_Balance,""), "")</f>
        <v>153190322.50806797</v>
      </c>
    </row>
    <row r="158" spans="2:8">
      <c r="B158" s="300">
        <f>IFERROR(IF(Loan_Not_Paid*Values_Entered,Payment_Number,""), "")</f>
        <v>141</v>
      </c>
      <c r="C158" s="299"/>
      <c r="D158" s="298">
        <f>IFERROR(IF(Loan_Not_Paid*Values_Entered,Beginning_Balance,""), "")</f>
        <v>153190322.50806797</v>
      </c>
      <c r="E158" s="298">
        <f>IFERROR(IF(Loan_Not_Paid*Values_Entered,Monthly_Payment,""), "")</f>
        <v>1003642.7600902505</v>
      </c>
      <c r="F158" s="298">
        <f>IFERROR(IF(Loan_Not_Paid*Values_Entered,Principal,""), "")</f>
        <v>461093.70120750181</v>
      </c>
      <c r="G158" s="298">
        <f>IFERROR(IF(Loan_Not_Paid*Values_Entered,Interest,""), "")</f>
        <v>542549.05888274871</v>
      </c>
      <c r="H158" s="298">
        <f>IFERROR(IF(Loan_Not_Paid*Values_Entered,Ending_Balance,""), "")</f>
        <v>152729228.80686045</v>
      </c>
    </row>
    <row r="159" spans="2:8">
      <c r="B159" s="300">
        <f>IFERROR(IF(Loan_Not_Paid*Values_Entered,Payment_Number,""), "")</f>
        <v>142</v>
      </c>
      <c r="C159" s="299"/>
      <c r="D159" s="298">
        <f>IFERROR(IF(Loan_Not_Paid*Values_Entered,Beginning_Balance,""), "")</f>
        <v>152729228.80686045</v>
      </c>
      <c r="E159" s="298">
        <f>IFERROR(IF(Loan_Not_Paid*Values_Entered,Monthly_Payment,""), "")</f>
        <v>1003642.7600902505</v>
      </c>
      <c r="F159" s="298">
        <f>IFERROR(IF(Loan_Not_Paid*Values_Entered,Principal,""), "")</f>
        <v>462726.74139927834</v>
      </c>
      <c r="G159" s="298">
        <f>IFERROR(IF(Loan_Not_Paid*Values_Entered,Interest,""), "")</f>
        <v>540916.01869097212</v>
      </c>
      <c r="H159" s="298">
        <f>IFERROR(IF(Loan_Not_Paid*Values_Entered,Ending_Balance,""), "")</f>
        <v>152266502.06546119</v>
      </c>
    </row>
    <row r="160" spans="2:8">
      <c r="B160" s="300">
        <f>IFERROR(IF(Loan_Not_Paid*Values_Entered,Payment_Number,""), "")</f>
        <v>143</v>
      </c>
      <c r="C160" s="299"/>
      <c r="D160" s="298">
        <f>IFERROR(IF(Loan_Not_Paid*Values_Entered,Beginning_Balance,""), "")</f>
        <v>152266502.06546119</v>
      </c>
      <c r="E160" s="298">
        <f>IFERROR(IF(Loan_Not_Paid*Values_Entered,Monthly_Payment,""), "")</f>
        <v>1003642.7600902505</v>
      </c>
      <c r="F160" s="298">
        <f>IFERROR(IF(Loan_Not_Paid*Values_Entered,Principal,""), "")</f>
        <v>464365.56527506741</v>
      </c>
      <c r="G160" s="298">
        <f>IFERROR(IF(Loan_Not_Paid*Values_Entered,Interest,""), "")</f>
        <v>539277.19481518306</v>
      </c>
      <c r="H160" s="298">
        <f>IFERROR(IF(Loan_Not_Paid*Values_Entered,Ending_Balance,""), "")</f>
        <v>151802136.50018603</v>
      </c>
    </row>
    <row r="161" spans="2:8">
      <c r="B161" s="300">
        <f>IFERROR(IF(Loan_Not_Paid*Values_Entered,Payment_Number,""), "")</f>
        <v>144</v>
      </c>
      <c r="C161" s="299"/>
      <c r="D161" s="298">
        <f>IFERROR(IF(Loan_Not_Paid*Values_Entered,Beginning_Balance,""), "")</f>
        <v>151802136.50018603</v>
      </c>
      <c r="E161" s="298">
        <f>IFERROR(IF(Loan_Not_Paid*Values_Entered,Monthly_Payment,""), "")</f>
        <v>1003642.7600902505</v>
      </c>
      <c r="F161" s="298">
        <f>IFERROR(IF(Loan_Not_Paid*Values_Entered,Principal,""), "")</f>
        <v>466010.19331874995</v>
      </c>
      <c r="G161" s="298">
        <f>IFERROR(IF(Loan_Not_Paid*Values_Entered,Interest,""), "")</f>
        <v>537632.56677150039</v>
      </c>
      <c r="H161" s="298">
        <f>IFERROR(IF(Loan_Not_Paid*Values_Entered,Ending_Balance,""), "")</f>
        <v>151336126.3068673</v>
      </c>
    </row>
    <row r="162" spans="2:8">
      <c r="B162" s="300">
        <f>IFERROR(IF(Loan_Not_Paid*Values_Entered,Payment_Number,""), "")</f>
        <v>145</v>
      </c>
      <c r="C162" s="299"/>
      <c r="D162" s="298">
        <f>IFERROR(IF(Loan_Not_Paid*Values_Entered,Beginning_Balance,""), "")</f>
        <v>151336126.3068673</v>
      </c>
      <c r="E162" s="298">
        <f>IFERROR(IF(Loan_Not_Paid*Values_Entered,Monthly_Payment,""), "")</f>
        <v>1003642.7600902505</v>
      </c>
      <c r="F162" s="298">
        <f>IFERROR(IF(Loan_Not_Paid*Values_Entered,Principal,""), "")</f>
        <v>467660.64608675387</v>
      </c>
      <c r="G162" s="298">
        <f>IFERROR(IF(Loan_Not_Paid*Values_Entered,Interest,""), "")</f>
        <v>535982.11400349648</v>
      </c>
      <c r="H162" s="298">
        <f>IFERROR(IF(Loan_Not_Paid*Values_Entered,Ending_Balance,""), "")</f>
        <v>150868465.66078058</v>
      </c>
    </row>
    <row r="163" spans="2:8">
      <c r="B163" s="300">
        <f>IFERROR(IF(Loan_Not_Paid*Values_Entered,Payment_Number,""), "")</f>
        <v>146</v>
      </c>
      <c r="C163" s="299"/>
      <c r="D163" s="298">
        <f>IFERROR(IF(Loan_Not_Paid*Values_Entered,Beginning_Balance,""), "")</f>
        <v>150868465.66078058</v>
      </c>
      <c r="E163" s="298">
        <f>IFERROR(IF(Loan_Not_Paid*Values_Entered,Monthly_Payment,""), "")</f>
        <v>1003642.7600902505</v>
      </c>
      <c r="F163" s="298">
        <f>IFERROR(IF(Loan_Not_Paid*Values_Entered,Principal,""), "")</f>
        <v>469316.94420831115</v>
      </c>
      <c r="G163" s="298">
        <f>IFERROR(IF(Loan_Not_Paid*Values_Entered,Interest,""), "")</f>
        <v>534325.81588193937</v>
      </c>
      <c r="H163" s="298">
        <f>IFERROR(IF(Loan_Not_Paid*Values_Entered,Ending_Balance,""), "")</f>
        <v>150399148.71657217</v>
      </c>
    </row>
    <row r="164" spans="2:8">
      <c r="B164" s="300">
        <f>IFERROR(IF(Loan_Not_Paid*Values_Entered,Payment_Number,""), "")</f>
        <v>147</v>
      </c>
      <c r="C164" s="299"/>
      <c r="D164" s="298">
        <f>IFERROR(IF(Loan_Not_Paid*Values_Entered,Beginning_Balance,""), "")</f>
        <v>150399148.71657217</v>
      </c>
      <c r="E164" s="298">
        <f>IFERROR(IF(Loan_Not_Paid*Values_Entered,Monthly_Payment,""), "")</f>
        <v>1003642.7600902505</v>
      </c>
      <c r="F164" s="298">
        <f>IFERROR(IF(Loan_Not_Paid*Values_Entered,Principal,""), "")</f>
        <v>470979.10838571558</v>
      </c>
      <c r="G164" s="298">
        <f>IFERROR(IF(Loan_Not_Paid*Values_Entered,Interest,""), "")</f>
        <v>532663.651704535</v>
      </c>
      <c r="H164" s="298">
        <f>IFERROR(IF(Loan_Not_Paid*Values_Entered,Ending_Balance,""), "")</f>
        <v>149928169.60818645</v>
      </c>
    </row>
    <row r="165" spans="2:8">
      <c r="B165" s="300">
        <f>IFERROR(IF(Loan_Not_Paid*Values_Entered,Payment_Number,""), "")</f>
        <v>148</v>
      </c>
      <c r="C165" s="299"/>
      <c r="D165" s="298">
        <f>IFERROR(IF(Loan_Not_Paid*Values_Entered,Beginning_Balance,""), "")</f>
        <v>149928169.60818645</v>
      </c>
      <c r="E165" s="298">
        <f>IFERROR(IF(Loan_Not_Paid*Values_Entered,Monthly_Payment,""), "")</f>
        <v>1003642.7600902505</v>
      </c>
      <c r="F165" s="298">
        <f>IFERROR(IF(Loan_Not_Paid*Values_Entered,Principal,""), "")</f>
        <v>472647.15939458169</v>
      </c>
      <c r="G165" s="298">
        <f>IFERROR(IF(Loan_Not_Paid*Values_Entered,Interest,""), "")</f>
        <v>530995.60069566872</v>
      </c>
      <c r="H165" s="298">
        <f>IFERROR(IF(Loan_Not_Paid*Values_Entered,Ending_Balance,""), "")</f>
        <v>149455522.44879183</v>
      </c>
    </row>
    <row r="166" spans="2:8">
      <c r="B166" s="300">
        <f>IFERROR(IF(Loan_Not_Paid*Values_Entered,Payment_Number,""), "")</f>
        <v>149</v>
      </c>
      <c r="C166" s="299"/>
      <c r="D166" s="298">
        <f>IFERROR(IF(Loan_Not_Paid*Values_Entered,Beginning_Balance,""), "")</f>
        <v>149455522.44879183</v>
      </c>
      <c r="E166" s="298">
        <f>IFERROR(IF(Loan_Not_Paid*Values_Entered,Monthly_Payment,""), "")</f>
        <v>1003642.7600902505</v>
      </c>
      <c r="F166" s="298">
        <f>IFERROR(IF(Loan_Not_Paid*Values_Entered,Principal,""), "")</f>
        <v>474321.11808410415</v>
      </c>
      <c r="G166" s="298">
        <f>IFERROR(IF(Loan_Not_Paid*Values_Entered,Interest,""), "")</f>
        <v>529321.64200614637</v>
      </c>
      <c r="H166" s="298">
        <f>IFERROR(IF(Loan_Not_Paid*Values_Entered,Ending_Balance,""), "")</f>
        <v>148981201.3307077</v>
      </c>
    </row>
    <row r="167" spans="2:8">
      <c r="B167" s="300">
        <f>IFERROR(IF(Loan_Not_Paid*Values_Entered,Payment_Number,""), "")</f>
        <v>150</v>
      </c>
      <c r="C167" s="299"/>
      <c r="D167" s="298">
        <f>IFERROR(IF(Loan_Not_Paid*Values_Entered,Beginning_Balance,""), "")</f>
        <v>148981201.3307077</v>
      </c>
      <c r="E167" s="298">
        <f>IFERROR(IF(Loan_Not_Paid*Values_Entered,Monthly_Payment,""), "")</f>
        <v>1003642.7600902505</v>
      </c>
      <c r="F167" s="298">
        <f>IFERROR(IF(Loan_Not_Paid*Values_Entered,Principal,""), "")</f>
        <v>476001.00537731865</v>
      </c>
      <c r="G167" s="298">
        <f>IFERROR(IF(Loan_Not_Paid*Values_Entered,Interest,""), "")</f>
        <v>527641.7547129317</v>
      </c>
      <c r="H167" s="298">
        <f>IFERROR(IF(Loan_Not_Paid*Values_Entered,Ending_Balance,""), "")</f>
        <v>148505200.32533035</v>
      </c>
    </row>
    <row r="168" spans="2:8">
      <c r="B168" s="300">
        <f>IFERROR(IF(Loan_Not_Paid*Values_Entered,Payment_Number,""), "")</f>
        <v>151</v>
      </c>
      <c r="C168" s="299"/>
      <c r="D168" s="298">
        <f>IFERROR(IF(Loan_Not_Paid*Values_Entered,Beginning_Balance,""), "")</f>
        <v>148505200.32533035</v>
      </c>
      <c r="E168" s="298">
        <f>IFERROR(IF(Loan_Not_Paid*Values_Entered,Monthly_Payment,""), "")</f>
        <v>1003642.7600902505</v>
      </c>
      <c r="F168" s="298">
        <f>IFERROR(IF(Loan_Not_Paid*Values_Entered,Principal,""), "")</f>
        <v>477686.84227136336</v>
      </c>
      <c r="G168" s="298">
        <f>IFERROR(IF(Loan_Not_Paid*Values_Entered,Interest,""), "")</f>
        <v>525955.91781888716</v>
      </c>
      <c r="H168" s="298">
        <f>IFERROR(IF(Loan_Not_Paid*Values_Entered,Ending_Balance,""), "")</f>
        <v>148027513.48305896</v>
      </c>
    </row>
    <row r="169" spans="2:8">
      <c r="B169" s="300">
        <f>IFERROR(IF(Loan_Not_Paid*Values_Entered,Payment_Number,""), "")</f>
        <v>152</v>
      </c>
      <c r="C169" s="299"/>
      <c r="D169" s="298">
        <f>IFERROR(IF(Loan_Not_Paid*Values_Entered,Beginning_Balance,""), "")</f>
        <v>148027513.48305896</v>
      </c>
      <c r="E169" s="298">
        <f>IFERROR(IF(Loan_Not_Paid*Values_Entered,Monthly_Payment,""), "")</f>
        <v>1003642.7600902505</v>
      </c>
      <c r="F169" s="298">
        <f>IFERROR(IF(Loan_Not_Paid*Values_Entered,Principal,""), "")</f>
        <v>479378.6498377411</v>
      </c>
      <c r="G169" s="298">
        <f>IFERROR(IF(Loan_Not_Paid*Values_Entered,Interest,""), "")</f>
        <v>524264.11025250936</v>
      </c>
      <c r="H169" s="298">
        <f>IFERROR(IF(Loan_Not_Paid*Values_Entered,Ending_Balance,""), "")</f>
        <v>147548134.83322123</v>
      </c>
    </row>
    <row r="170" spans="2:8">
      <c r="B170" s="300">
        <f>IFERROR(IF(Loan_Not_Paid*Values_Entered,Payment_Number,""), "")</f>
        <v>153</v>
      </c>
      <c r="C170" s="299"/>
      <c r="D170" s="298">
        <f>IFERROR(IF(Loan_Not_Paid*Values_Entered,Beginning_Balance,""), "")</f>
        <v>147548134.83322123</v>
      </c>
      <c r="E170" s="298">
        <f>IFERROR(IF(Loan_Not_Paid*Values_Entered,Monthly_Payment,""), "")</f>
        <v>1003642.7600902505</v>
      </c>
      <c r="F170" s="298">
        <f>IFERROR(IF(Loan_Not_Paid*Values_Entered,Principal,""), "")</f>
        <v>481076.44922258303</v>
      </c>
      <c r="G170" s="298">
        <f>IFERROR(IF(Loan_Not_Paid*Values_Entered,Interest,""), "")</f>
        <v>522566.31086766743</v>
      </c>
      <c r="H170" s="298">
        <f>IFERROR(IF(Loan_Not_Paid*Values_Entered,Ending_Balance,""), "")</f>
        <v>147067058.3839986</v>
      </c>
    </row>
    <row r="171" spans="2:8">
      <c r="B171" s="300">
        <f>IFERROR(IF(Loan_Not_Paid*Values_Entered,Payment_Number,""), "")</f>
        <v>154</v>
      </c>
      <c r="C171" s="299"/>
      <c r="D171" s="298">
        <f>IFERROR(IF(Loan_Not_Paid*Values_Entered,Beginning_Balance,""), "")</f>
        <v>147067058.3839986</v>
      </c>
      <c r="E171" s="298">
        <f>IFERROR(IF(Loan_Not_Paid*Values_Entered,Monthly_Payment,""), "")</f>
        <v>1003642.7600902505</v>
      </c>
      <c r="F171" s="298">
        <f>IFERROR(IF(Loan_Not_Paid*Values_Entered,Principal,""), "")</f>
        <v>482780.26164691307</v>
      </c>
      <c r="G171" s="298">
        <f>IFERROR(IF(Loan_Not_Paid*Values_Entered,Interest,""), "")</f>
        <v>520862.49844333739</v>
      </c>
      <c r="H171" s="298">
        <f>IFERROR(IF(Loan_Not_Paid*Values_Entered,Ending_Balance,""), "")</f>
        <v>146584278.12235165</v>
      </c>
    </row>
    <row r="172" spans="2:8">
      <c r="B172" s="300">
        <f>IFERROR(IF(Loan_Not_Paid*Values_Entered,Payment_Number,""), "")</f>
        <v>155</v>
      </c>
      <c r="C172" s="299"/>
      <c r="D172" s="298">
        <f>IFERROR(IF(Loan_Not_Paid*Values_Entered,Beginning_Balance,""), "")</f>
        <v>146584278.12235165</v>
      </c>
      <c r="E172" s="298">
        <f>IFERROR(IF(Loan_Not_Paid*Values_Entered,Monthly_Payment,""), "")</f>
        <v>1003642.7600902505</v>
      </c>
      <c r="F172" s="298">
        <f>IFERROR(IF(Loan_Not_Paid*Values_Entered,Principal,""), "")</f>
        <v>484490.10840691259</v>
      </c>
      <c r="G172" s="298">
        <f>IFERROR(IF(Loan_Not_Paid*Values_Entered,Interest,""), "")</f>
        <v>519152.65168333787</v>
      </c>
      <c r="H172" s="298">
        <f>IFERROR(IF(Loan_Not_Paid*Values_Entered,Ending_Balance,""), "")</f>
        <v>146099788.01394469</v>
      </c>
    </row>
    <row r="173" spans="2:8">
      <c r="B173" s="300">
        <f>IFERROR(IF(Loan_Not_Paid*Values_Entered,Payment_Number,""), "")</f>
        <v>156</v>
      </c>
      <c r="C173" s="299"/>
      <c r="D173" s="298">
        <f>IFERROR(IF(Loan_Not_Paid*Values_Entered,Beginning_Balance,""), "")</f>
        <v>146099788.01394469</v>
      </c>
      <c r="E173" s="298">
        <f>IFERROR(IF(Loan_Not_Paid*Values_Entered,Monthly_Payment,""), "")</f>
        <v>1003642.7600902505</v>
      </c>
      <c r="F173" s="298">
        <f>IFERROR(IF(Loan_Not_Paid*Values_Entered,Principal,""), "")</f>
        <v>486206.01087418705</v>
      </c>
      <c r="G173" s="298">
        <f>IFERROR(IF(Loan_Not_Paid*Values_Entered,Interest,""), "")</f>
        <v>517436.7492160633</v>
      </c>
      <c r="H173" s="298">
        <f>IFERROR(IF(Loan_Not_Paid*Values_Entered,Ending_Balance,""), "")</f>
        <v>145613582.0030705</v>
      </c>
    </row>
    <row r="174" spans="2:8">
      <c r="B174" s="300">
        <f>IFERROR(IF(Loan_Not_Paid*Values_Entered,Payment_Number,""), "")</f>
        <v>157</v>
      </c>
      <c r="C174" s="299"/>
      <c r="D174" s="298">
        <f>IFERROR(IF(Loan_Not_Paid*Values_Entered,Beginning_Balance,""), "")</f>
        <v>145613582.0030705</v>
      </c>
      <c r="E174" s="298">
        <f>IFERROR(IF(Loan_Not_Paid*Values_Entered,Monthly_Payment,""), "")</f>
        <v>1003642.7600902505</v>
      </c>
      <c r="F174" s="298">
        <f>IFERROR(IF(Loan_Not_Paid*Values_Entered,Principal,""), "")</f>
        <v>487927.9904960331</v>
      </c>
      <c r="G174" s="298">
        <f>IFERROR(IF(Loan_Not_Paid*Values_Entered,Interest,""), "")</f>
        <v>515714.76959421736</v>
      </c>
      <c r="H174" s="298">
        <f>IFERROR(IF(Loan_Not_Paid*Values_Entered,Ending_Balance,""), "")</f>
        <v>145125654.01257443</v>
      </c>
    </row>
    <row r="175" spans="2:8">
      <c r="B175" s="300">
        <f>IFERROR(IF(Loan_Not_Paid*Values_Entered,Payment_Number,""), "")</f>
        <v>158</v>
      </c>
      <c r="C175" s="299"/>
      <c r="D175" s="298">
        <f>IFERROR(IF(Loan_Not_Paid*Values_Entered,Beginning_Balance,""), "")</f>
        <v>145125654.01257443</v>
      </c>
      <c r="E175" s="298">
        <f>IFERROR(IF(Loan_Not_Paid*Values_Entered,Monthly_Payment,""), "")</f>
        <v>1003642.7600902505</v>
      </c>
      <c r="F175" s="298">
        <f>IFERROR(IF(Loan_Not_Paid*Values_Entered,Principal,""), "")</f>
        <v>489656.06879570661</v>
      </c>
      <c r="G175" s="298">
        <f>IFERROR(IF(Loan_Not_Paid*Values_Entered,Interest,""), "")</f>
        <v>513986.69129454391</v>
      </c>
      <c r="H175" s="298">
        <f>IFERROR(IF(Loan_Not_Paid*Values_Entered,Ending_Balance,""), "")</f>
        <v>144635997.94377872</v>
      </c>
    </row>
    <row r="176" spans="2:8">
      <c r="B176" s="300">
        <f>IFERROR(IF(Loan_Not_Paid*Values_Entered,Payment_Number,""), "")</f>
        <v>159</v>
      </c>
      <c r="C176" s="299"/>
      <c r="D176" s="298">
        <f>IFERROR(IF(Loan_Not_Paid*Values_Entered,Beginning_Balance,""), "")</f>
        <v>144635997.94377872</v>
      </c>
      <c r="E176" s="298">
        <f>IFERROR(IF(Loan_Not_Paid*Values_Entered,Monthly_Payment,""), "")</f>
        <v>1003642.7600902505</v>
      </c>
      <c r="F176" s="298">
        <f>IFERROR(IF(Loan_Not_Paid*Values_Entered,Principal,""), "")</f>
        <v>491390.26737269142</v>
      </c>
      <c r="G176" s="298">
        <f>IFERROR(IF(Loan_Not_Paid*Values_Entered,Interest,""), "")</f>
        <v>512252.4927175591</v>
      </c>
      <c r="H176" s="298">
        <f>IFERROR(IF(Loan_Not_Paid*Values_Entered,Ending_Balance,""), "")</f>
        <v>144144607.67640597</v>
      </c>
    </row>
    <row r="177" spans="2:8">
      <c r="B177" s="300">
        <f>IFERROR(IF(Loan_Not_Paid*Values_Entered,Payment_Number,""), "")</f>
        <v>160</v>
      </c>
      <c r="C177" s="299"/>
      <c r="D177" s="298">
        <f>IFERROR(IF(Loan_Not_Paid*Values_Entered,Beginning_Balance,""), "")</f>
        <v>144144607.67640597</v>
      </c>
      <c r="E177" s="298">
        <f>IFERROR(IF(Loan_Not_Paid*Values_Entered,Monthly_Payment,""), "")</f>
        <v>1003642.7600902505</v>
      </c>
      <c r="F177" s="298">
        <f>IFERROR(IF(Loan_Not_Paid*Values_Entered,Principal,""), "")</f>
        <v>493130.6079029697</v>
      </c>
      <c r="G177" s="298">
        <f>IFERROR(IF(Loan_Not_Paid*Values_Entered,Interest,""), "")</f>
        <v>510512.15218728076</v>
      </c>
      <c r="H177" s="298">
        <f>IFERROR(IF(Loan_Not_Paid*Values_Entered,Ending_Balance,""), "")</f>
        <v>143651477.06850302</v>
      </c>
    </row>
    <row r="178" spans="2:8">
      <c r="B178" s="300">
        <f>IFERROR(IF(Loan_Not_Paid*Values_Entered,Payment_Number,""), "")</f>
        <v>161</v>
      </c>
      <c r="C178" s="299"/>
      <c r="D178" s="298">
        <f>IFERROR(IF(Loan_Not_Paid*Values_Entered,Beginning_Balance,""), "")</f>
        <v>143651477.06850302</v>
      </c>
      <c r="E178" s="298">
        <f>IFERROR(IF(Loan_Not_Paid*Values_Entered,Monthly_Payment,""), "")</f>
        <v>1003642.7600902505</v>
      </c>
      <c r="F178" s="298">
        <f>IFERROR(IF(Loan_Not_Paid*Values_Entered,Principal,""), "")</f>
        <v>494877.1121392927</v>
      </c>
      <c r="G178" s="298">
        <f>IFERROR(IF(Loan_Not_Paid*Values_Entered,Interest,""), "")</f>
        <v>508765.64795095782</v>
      </c>
      <c r="H178" s="298">
        <f>IFERROR(IF(Loan_Not_Paid*Values_Entered,Ending_Balance,""), "")</f>
        <v>143156599.95636371</v>
      </c>
    </row>
    <row r="179" spans="2:8">
      <c r="B179" s="300">
        <f>IFERROR(IF(Loan_Not_Paid*Values_Entered,Payment_Number,""), "")</f>
        <v>162</v>
      </c>
      <c r="C179" s="299"/>
      <c r="D179" s="298">
        <f>IFERROR(IF(Loan_Not_Paid*Values_Entered,Beginning_Balance,""), "")</f>
        <v>143156599.95636371</v>
      </c>
      <c r="E179" s="298">
        <f>IFERROR(IF(Loan_Not_Paid*Values_Entered,Monthly_Payment,""), "")</f>
        <v>1003642.7600902505</v>
      </c>
      <c r="F179" s="298">
        <f>IFERROR(IF(Loan_Not_Paid*Values_Entered,Principal,""), "")</f>
        <v>496629.80191145267</v>
      </c>
      <c r="G179" s="298">
        <f>IFERROR(IF(Loan_Not_Paid*Values_Entered,Interest,""), "")</f>
        <v>507012.95817879779</v>
      </c>
      <c r="H179" s="298">
        <f>IFERROR(IF(Loan_Not_Paid*Values_Entered,Ending_Balance,""), "")</f>
        <v>142659970.15445217</v>
      </c>
    </row>
    <row r="180" spans="2:8">
      <c r="B180" s="300">
        <f>IFERROR(IF(Loan_Not_Paid*Values_Entered,Payment_Number,""), "")</f>
        <v>163</v>
      </c>
      <c r="C180" s="299"/>
      <c r="D180" s="298">
        <f>IFERROR(IF(Loan_Not_Paid*Values_Entered,Beginning_Balance,""), "")</f>
        <v>142659970.15445217</v>
      </c>
      <c r="E180" s="298">
        <f>IFERROR(IF(Loan_Not_Paid*Values_Entered,Monthly_Payment,""), "")</f>
        <v>1003642.7600902505</v>
      </c>
      <c r="F180" s="298">
        <f>IFERROR(IF(Loan_Not_Paid*Values_Entered,Principal,""), "")</f>
        <v>498388.6991265557</v>
      </c>
      <c r="G180" s="298">
        <f>IFERROR(IF(Loan_Not_Paid*Values_Entered,Interest,""), "")</f>
        <v>505254.06096369476</v>
      </c>
      <c r="H180" s="298">
        <f>IFERROR(IF(Loan_Not_Paid*Values_Entered,Ending_Balance,""), "")</f>
        <v>142161581.4553256</v>
      </c>
    </row>
    <row r="181" spans="2:8">
      <c r="B181" s="300">
        <f>IFERROR(IF(Loan_Not_Paid*Values_Entered,Payment_Number,""), "")</f>
        <v>164</v>
      </c>
      <c r="C181" s="299"/>
      <c r="D181" s="298">
        <f>IFERROR(IF(Loan_Not_Paid*Values_Entered,Beginning_Balance,""), "")</f>
        <v>142161581.4553256</v>
      </c>
      <c r="E181" s="298">
        <f>IFERROR(IF(Loan_Not_Paid*Values_Entered,Monthly_Payment,""), "")</f>
        <v>1003642.7600902505</v>
      </c>
      <c r="F181" s="298">
        <f>IFERROR(IF(Loan_Not_Paid*Values_Entered,Principal,""), "")</f>
        <v>500153.82576929568</v>
      </c>
      <c r="G181" s="298">
        <f>IFERROR(IF(Loan_Not_Paid*Values_Entered,Interest,""), "")</f>
        <v>503488.93432095478</v>
      </c>
      <c r="H181" s="298">
        <f>IFERROR(IF(Loan_Not_Paid*Values_Entered,Ending_Balance,""), "")</f>
        <v>141661427.62955633</v>
      </c>
    </row>
    <row r="182" spans="2:8">
      <c r="B182" s="300">
        <f>IFERROR(IF(Loan_Not_Paid*Values_Entered,Payment_Number,""), "")</f>
        <v>165</v>
      </c>
      <c r="C182" s="299"/>
      <c r="D182" s="298">
        <f>IFERROR(IF(Loan_Not_Paid*Values_Entered,Beginning_Balance,""), "")</f>
        <v>141661427.62955633</v>
      </c>
      <c r="E182" s="298">
        <f>IFERROR(IF(Loan_Not_Paid*Values_Entered,Monthly_Payment,""), "")</f>
        <v>1003642.7600902505</v>
      </c>
      <c r="F182" s="298">
        <f>IFERROR(IF(Loan_Not_Paid*Values_Entered,Principal,""), "")</f>
        <v>501925.2039022285</v>
      </c>
      <c r="G182" s="298">
        <f>IFERROR(IF(Loan_Not_Paid*Values_Entered,Interest,""), "")</f>
        <v>501717.55618802196</v>
      </c>
      <c r="H182" s="298">
        <f>IFERROR(IF(Loan_Not_Paid*Values_Entered,Ending_Balance,""), "")</f>
        <v>141159502.42565405</v>
      </c>
    </row>
    <row r="183" spans="2:8">
      <c r="B183" s="300">
        <f>IFERROR(IF(Loan_Not_Paid*Values_Entered,Payment_Number,""), "")</f>
        <v>166</v>
      </c>
      <c r="C183" s="299"/>
      <c r="D183" s="298">
        <f>IFERROR(IF(Loan_Not_Paid*Values_Entered,Beginning_Balance,""), "")</f>
        <v>141159502.42565405</v>
      </c>
      <c r="E183" s="298">
        <f>IFERROR(IF(Loan_Not_Paid*Values_Entered,Monthly_Payment,""), "")</f>
        <v>1003642.7600902505</v>
      </c>
      <c r="F183" s="298">
        <f>IFERROR(IF(Loan_Not_Paid*Values_Entered,Principal,""), "")</f>
        <v>503702.85566604894</v>
      </c>
      <c r="G183" s="298">
        <f>IFERROR(IF(Loan_Not_Paid*Values_Entered,Interest,""), "")</f>
        <v>499939.90442420152</v>
      </c>
      <c r="H183" s="298">
        <f>IFERROR(IF(Loan_Not_Paid*Values_Entered,Ending_Balance,""), "")</f>
        <v>140655799.56998795</v>
      </c>
    </row>
    <row r="184" spans="2:8">
      <c r="B184" s="300">
        <f>IFERROR(IF(Loan_Not_Paid*Values_Entered,Payment_Number,""), "")</f>
        <v>167</v>
      </c>
      <c r="C184" s="299"/>
      <c r="D184" s="298">
        <f>IFERROR(IF(Loan_Not_Paid*Values_Entered,Beginning_Balance,""), "")</f>
        <v>140655799.56998795</v>
      </c>
      <c r="E184" s="298">
        <f>IFERROR(IF(Loan_Not_Paid*Values_Entered,Monthly_Payment,""), "")</f>
        <v>1003642.7600902505</v>
      </c>
      <c r="F184" s="298">
        <f>IFERROR(IF(Loan_Not_Paid*Values_Entered,Principal,""), "")</f>
        <v>505486.80327986617</v>
      </c>
      <c r="G184" s="298">
        <f>IFERROR(IF(Loan_Not_Paid*Values_Entered,Interest,""), "")</f>
        <v>498155.95681038429</v>
      </c>
      <c r="H184" s="298">
        <f>IFERROR(IF(Loan_Not_Paid*Values_Entered,Ending_Balance,""), "")</f>
        <v>140150312.76670805</v>
      </c>
    </row>
    <row r="185" spans="2:8">
      <c r="B185" s="300">
        <f>IFERROR(IF(Loan_Not_Paid*Values_Entered,Payment_Number,""), "")</f>
        <v>168</v>
      </c>
      <c r="C185" s="299"/>
      <c r="D185" s="298">
        <f>IFERROR(IF(Loan_Not_Paid*Values_Entered,Beginning_Balance,""), "")</f>
        <v>140150312.76670805</v>
      </c>
      <c r="E185" s="298">
        <f>IFERROR(IF(Loan_Not_Paid*Values_Entered,Monthly_Payment,""), "")</f>
        <v>1003642.7600902505</v>
      </c>
      <c r="F185" s="298">
        <f>IFERROR(IF(Loan_Not_Paid*Values_Entered,Principal,""), "")</f>
        <v>507277.06904148235</v>
      </c>
      <c r="G185" s="298">
        <f>IFERROR(IF(Loan_Not_Paid*Values_Entered,Interest,""), "")</f>
        <v>496365.69104876806</v>
      </c>
      <c r="H185" s="298">
        <f>IFERROR(IF(Loan_Not_Paid*Values_Entered,Ending_Balance,""), "")</f>
        <v>139643035.69766659</v>
      </c>
    </row>
    <row r="186" spans="2:8">
      <c r="B186" s="300">
        <f>IFERROR(IF(Loan_Not_Paid*Values_Entered,Payment_Number,""), "")</f>
        <v>169</v>
      </c>
      <c r="C186" s="299"/>
      <c r="D186" s="298">
        <f>IFERROR(IF(Loan_Not_Paid*Values_Entered,Beginning_Balance,""), "")</f>
        <v>139643035.69766659</v>
      </c>
      <c r="E186" s="298">
        <f>IFERROR(IF(Loan_Not_Paid*Values_Entered,Monthly_Payment,""), "")</f>
        <v>1003642.7600902505</v>
      </c>
      <c r="F186" s="298">
        <f>IFERROR(IF(Loan_Not_Paid*Values_Entered,Principal,""), "")</f>
        <v>509073.67532767105</v>
      </c>
      <c r="G186" s="298">
        <f>IFERROR(IF(Loan_Not_Paid*Values_Entered,Interest,""), "")</f>
        <v>494569.08476257953</v>
      </c>
      <c r="H186" s="298">
        <f>IFERROR(IF(Loan_Not_Paid*Values_Entered,Ending_Balance,""), "")</f>
        <v>139133962.02233881</v>
      </c>
    </row>
    <row r="187" spans="2:8">
      <c r="B187" s="300">
        <f>IFERROR(IF(Loan_Not_Paid*Values_Entered,Payment_Number,""), "")</f>
        <v>170</v>
      </c>
      <c r="C187" s="299"/>
      <c r="D187" s="298">
        <f>IFERROR(IF(Loan_Not_Paid*Values_Entered,Beginning_Balance,""), "")</f>
        <v>139133962.02233881</v>
      </c>
      <c r="E187" s="298">
        <f>IFERROR(IF(Loan_Not_Paid*Values_Entered,Monthly_Payment,""), "")</f>
        <v>1003642.7600902505</v>
      </c>
      <c r="F187" s="298">
        <f>IFERROR(IF(Loan_Not_Paid*Values_Entered,Principal,""), "")</f>
        <v>510876.64459445642</v>
      </c>
      <c r="G187" s="298">
        <f>IFERROR(IF(Loan_Not_Paid*Values_Entered,Interest,""), "")</f>
        <v>492766.11549579399</v>
      </c>
      <c r="H187" s="298">
        <f>IFERROR(IF(Loan_Not_Paid*Values_Entered,Ending_Balance,""), "")</f>
        <v>138623085.37774438</v>
      </c>
    </row>
    <row r="188" spans="2:8">
      <c r="B188" s="300">
        <f>IFERROR(IF(Loan_Not_Paid*Values_Entered,Payment_Number,""), "")</f>
        <v>171</v>
      </c>
      <c r="C188" s="299"/>
      <c r="D188" s="298">
        <f>IFERROR(IF(Loan_Not_Paid*Values_Entered,Beginning_Balance,""), "")</f>
        <v>138623085.37774438</v>
      </c>
      <c r="E188" s="298">
        <f>IFERROR(IF(Loan_Not_Paid*Values_Entered,Monthly_Payment,""), "")</f>
        <v>1003642.7600902505</v>
      </c>
      <c r="F188" s="298">
        <f>IFERROR(IF(Loan_Not_Paid*Values_Entered,Principal,""), "")</f>
        <v>512685.99937739508</v>
      </c>
      <c r="G188" s="298">
        <f>IFERROR(IF(Loan_Not_Paid*Values_Entered,Interest,""), "")</f>
        <v>490956.76071285526</v>
      </c>
      <c r="H188" s="298">
        <f>IFERROR(IF(Loan_Not_Paid*Values_Entered,Ending_Balance,""), "")</f>
        <v>138110399.37836695</v>
      </c>
    </row>
    <row r="189" spans="2:8">
      <c r="B189" s="300">
        <f>IFERROR(IF(Loan_Not_Paid*Values_Entered,Payment_Number,""), "")</f>
        <v>172</v>
      </c>
      <c r="C189" s="299"/>
      <c r="D189" s="298">
        <f>IFERROR(IF(Loan_Not_Paid*Values_Entered,Beginning_Balance,""), "")</f>
        <v>138110399.37836695</v>
      </c>
      <c r="E189" s="298">
        <f>IFERROR(IF(Loan_Not_Paid*Values_Entered,Monthly_Payment,""), "")</f>
        <v>1003642.7600902505</v>
      </c>
      <c r="F189" s="298">
        <f>IFERROR(IF(Loan_Not_Paid*Values_Entered,Principal,""), "")</f>
        <v>514501.76229185675</v>
      </c>
      <c r="G189" s="298">
        <f>IFERROR(IF(Loan_Not_Paid*Values_Entered,Interest,""), "")</f>
        <v>489140.99779839371</v>
      </c>
      <c r="H189" s="298">
        <f>IFERROR(IF(Loan_Not_Paid*Values_Entered,Ending_Balance,""), "")</f>
        <v>137595897.6160751</v>
      </c>
    </row>
    <row r="190" spans="2:8">
      <c r="B190" s="300">
        <f>IFERROR(IF(Loan_Not_Paid*Values_Entered,Payment_Number,""), "")</f>
        <v>173</v>
      </c>
      <c r="C190" s="299"/>
      <c r="D190" s="298">
        <f>IFERROR(IF(Loan_Not_Paid*Values_Entered,Beginning_Balance,""), "")</f>
        <v>137595897.6160751</v>
      </c>
      <c r="E190" s="298">
        <f>IFERROR(IF(Loan_Not_Paid*Values_Entered,Monthly_Payment,""), "")</f>
        <v>1003642.7600902505</v>
      </c>
      <c r="F190" s="298">
        <f>IFERROR(IF(Loan_Not_Paid*Values_Entered,Principal,""), "")</f>
        <v>516323.95603330701</v>
      </c>
      <c r="G190" s="298">
        <f>IFERROR(IF(Loan_Not_Paid*Values_Entered,Interest,""), "")</f>
        <v>487318.80405694345</v>
      </c>
      <c r="H190" s="298">
        <f>IFERROR(IF(Loan_Not_Paid*Values_Entered,Ending_Balance,""), "")</f>
        <v>137079573.66004175</v>
      </c>
    </row>
    <row r="191" spans="2:8">
      <c r="B191" s="300">
        <f>IFERROR(IF(Loan_Not_Paid*Values_Entered,Payment_Number,""), "")</f>
        <v>174</v>
      </c>
      <c r="C191" s="299"/>
      <c r="D191" s="298">
        <f>IFERROR(IF(Loan_Not_Paid*Values_Entered,Beginning_Balance,""), "")</f>
        <v>137079573.66004175</v>
      </c>
      <c r="E191" s="298">
        <f>IFERROR(IF(Loan_Not_Paid*Values_Entered,Monthly_Payment,""), "")</f>
        <v>1003642.7600902505</v>
      </c>
      <c r="F191" s="298">
        <f>IFERROR(IF(Loan_Not_Paid*Values_Entered,Principal,""), "")</f>
        <v>518152.6033775917</v>
      </c>
      <c r="G191" s="298">
        <f>IFERROR(IF(Loan_Not_Paid*Values_Entered,Interest,""), "")</f>
        <v>485490.15671265876</v>
      </c>
      <c r="H191" s="298">
        <f>IFERROR(IF(Loan_Not_Paid*Values_Entered,Ending_Balance,""), "")</f>
        <v>136561421.05666411</v>
      </c>
    </row>
    <row r="192" spans="2:8">
      <c r="B192" s="300">
        <f>IFERROR(IF(Loan_Not_Paid*Values_Entered,Payment_Number,""), "")</f>
        <v>175</v>
      </c>
      <c r="C192" s="299"/>
      <c r="D192" s="298">
        <f>IFERROR(IF(Loan_Not_Paid*Values_Entered,Beginning_Balance,""), "")</f>
        <v>136561421.05666411</v>
      </c>
      <c r="E192" s="298">
        <f>IFERROR(IF(Loan_Not_Paid*Values_Entered,Monthly_Payment,""), "")</f>
        <v>1003642.7600902505</v>
      </c>
      <c r="F192" s="298">
        <f>IFERROR(IF(Loan_Not_Paid*Values_Entered,Principal,""), "")</f>
        <v>519987.72718122072</v>
      </c>
      <c r="G192" s="298">
        <f>IFERROR(IF(Loan_Not_Paid*Values_Entered,Interest,""), "")</f>
        <v>483655.03290902986</v>
      </c>
      <c r="H192" s="298">
        <f>IFERROR(IF(Loan_Not_Paid*Values_Entered,Ending_Balance,""), "")</f>
        <v>136041433.32948282</v>
      </c>
    </row>
    <row r="193" spans="2:8">
      <c r="B193" s="300">
        <f>IFERROR(IF(Loan_Not_Paid*Values_Entered,Payment_Number,""), "")</f>
        <v>176</v>
      </c>
      <c r="C193" s="299"/>
      <c r="D193" s="298">
        <f>IFERROR(IF(Loan_Not_Paid*Values_Entered,Beginning_Balance,""), "")</f>
        <v>136041433.32948282</v>
      </c>
      <c r="E193" s="298">
        <f>IFERROR(IF(Loan_Not_Paid*Values_Entered,Monthly_Payment,""), "")</f>
        <v>1003642.7600902505</v>
      </c>
      <c r="F193" s="298">
        <f>IFERROR(IF(Loan_Not_Paid*Values_Entered,Principal,""), "")</f>
        <v>521829.35038165422</v>
      </c>
      <c r="G193" s="298">
        <f>IFERROR(IF(Loan_Not_Paid*Values_Entered,Interest,""), "")</f>
        <v>481813.40970859624</v>
      </c>
      <c r="H193" s="298">
        <f>IFERROR(IF(Loan_Not_Paid*Values_Entered,Ending_Balance,""), "")</f>
        <v>135519603.97910118</v>
      </c>
    </row>
    <row r="194" spans="2:8">
      <c r="B194" s="300">
        <f>IFERROR(IF(Loan_Not_Paid*Values_Entered,Payment_Number,""), "")</f>
        <v>177</v>
      </c>
      <c r="C194" s="299"/>
      <c r="D194" s="298">
        <f>IFERROR(IF(Loan_Not_Paid*Values_Entered,Beginning_Balance,""), "")</f>
        <v>135519603.97910118</v>
      </c>
      <c r="E194" s="298">
        <f>IFERROR(IF(Loan_Not_Paid*Values_Entered,Monthly_Payment,""), "")</f>
        <v>1003642.7600902505</v>
      </c>
      <c r="F194" s="298">
        <f>IFERROR(IF(Loan_Not_Paid*Values_Entered,Principal,""), "")</f>
        <v>523677.49599758914</v>
      </c>
      <c r="G194" s="298">
        <f>IFERROR(IF(Loan_Not_Paid*Values_Entered,Interest,""), "")</f>
        <v>479965.26409266127</v>
      </c>
      <c r="H194" s="298">
        <f>IFERROR(IF(Loan_Not_Paid*Values_Entered,Ending_Balance,""), "")</f>
        <v>134995926.48310357</v>
      </c>
    </row>
    <row r="195" spans="2:8">
      <c r="B195" s="300">
        <f>IFERROR(IF(Loan_Not_Paid*Values_Entered,Payment_Number,""), "")</f>
        <v>178</v>
      </c>
      <c r="C195" s="299"/>
      <c r="D195" s="298">
        <f>IFERROR(IF(Loan_Not_Paid*Values_Entered,Beginning_Balance,""), "")</f>
        <v>134995926.48310357</v>
      </c>
      <c r="E195" s="298">
        <f>IFERROR(IF(Loan_Not_Paid*Values_Entered,Monthly_Payment,""), "")</f>
        <v>1003642.7600902505</v>
      </c>
      <c r="F195" s="298">
        <f>IFERROR(IF(Loan_Not_Paid*Values_Entered,Principal,""), "")</f>
        <v>525532.18712924735</v>
      </c>
      <c r="G195" s="298">
        <f>IFERROR(IF(Loan_Not_Paid*Values_Entered,Interest,""), "")</f>
        <v>478110.57296100317</v>
      </c>
      <c r="H195" s="298">
        <f>IFERROR(IF(Loan_Not_Paid*Values_Entered,Ending_Balance,""), "")</f>
        <v>134470394.29597428</v>
      </c>
    </row>
    <row r="196" spans="2:8">
      <c r="B196" s="300">
        <f>IFERROR(IF(Loan_Not_Paid*Values_Entered,Payment_Number,""), "")</f>
        <v>179</v>
      </c>
      <c r="C196" s="299"/>
      <c r="D196" s="298">
        <f>IFERROR(IF(Loan_Not_Paid*Values_Entered,Beginning_Balance,""), "")</f>
        <v>134470394.29597428</v>
      </c>
      <c r="E196" s="298">
        <f>IFERROR(IF(Loan_Not_Paid*Values_Entered,Monthly_Payment,""), "")</f>
        <v>1003642.7600902505</v>
      </c>
      <c r="F196" s="298">
        <f>IFERROR(IF(Loan_Not_Paid*Values_Entered,Principal,""), "")</f>
        <v>527393.44695866341</v>
      </c>
      <c r="G196" s="298">
        <f>IFERROR(IF(Loan_Not_Paid*Values_Entered,Interest,""), "")</f>
        <v>476249.313131587</v>
      </c>
      <c r="H196" s="298">
        <f>IFERROR(IF(Loan_Not_Paid*Values_Entered,Ending_Balance,""), "")</f>
        <v>133943000.84901562</v>
      </c>
    </row>
    <row r="197" spans="2:8">
      <c r="B197" s="300">
        <f>IFERROR(IF(Loan_Not_Paid*Values_Entered,Payment_Number,""), "")</f>
        <v>180</v>
      </c>
      <c r="C197" s="299"/>
      <c r="D197" s="298">
        <f>IFERROR(IF(Loan_Not_Paid*Values_Entered,Beginning_Balance,""), "")</f>
        <v>133943000.84901562</v>
      </c>
      <c r="E197" s="298">
        <f>IFERROR(IF(Loan_Not_Paid*Values_Entered,Monthly_Payment,""), "")</f>
        <v>1003642.7600902505</v>
      </c>
      <c r="F197" s="298">
        <f>IFERROR(IF(Loan_Not_Paid*Values_Entered,Principal,""), "")</f>
        <v>529261.29874997539</v>
      </c>
      <c r="G197" s="298">
        <f>IFERROR(IF(Loan_Not_Paid*Values_Entered,Interest,""), "")</f>
        <v>474381.46134027519</v>
      </c>
      <c r="H197" s="298">
        <f>IFERROR(IF(Loan_Not_Paid*Values_Entered,Ending_Balance,""), "")</f>
        <v>133413739.55026558</v>
      </c>
    </row>
    <row r="198" spans="2:8">
      <c r="B198" s="300">
        <f>IFERROR(IF(Loan_Not_Paid*Values_Entered,Payment_Number,""), "")</f>
        <v>181</v>
      </c>
      <c r="C198" s="299"/>
      <c r="D198" s="298">
        <f>IFERROR(IF(Loan_Not_Paid*Values_Entered,Beginning_Balance,""), "")</f>
        <v>133413739.55026558</v>
      </c>
      <c r="E198" s="298">
        <f>IFERROR(IF(Loan_Not_Paid*Values_Entered,Monthly_Payment,""), "")</f>
        <v>1003642.7600902505</v>
      </c>
      <c r="F198" s="298">
        <f>IFERROR(IF(Loan_Not_Paid*Values_Entered,Principal,""), "")</f>
        <v>531135.76584971487</v>
      </c>
      <c r="G198" s="298">
        <f>IFERROR(IF(Loan_Not_Paid*Values_Entered,Interest,""), "")</f>
        <v>472506.99424053566</v>
      </c>
      <c r="H198" s="298">
        <f>IFERROR(IF(Loan_Not_Paid*Values_Entered,Ending_Balance,""), "")</f>
        <v>132882603.78441584</v>
      </c>
    </row>
    <row r="199" spans="2:8">
      <c r="B199" s="300">
        <f>IFERROR(IF(Loan_Not_Paid*Values_Entered,Payment_Number,""), "")</f>
        <v>182</v>
      </c>
      <c r="C199" s="299"/>
      <c r="D199" s="298">
        <f>IFERROR(IF(Loan_Not_Paid*Values_Entered,Beginning_Balance,""), "")</f>
        <v>132882603.78441584</v>
      </c>
      <c r="E199" s="298">
        <f>IFERROR(IF(Loan_Not_Paid*Values_Entered,Monthly_Payment,""), "")</f>
        <v>1003642.7600902505</v>
      </c>
      <c r="F199" s="298">
        <f>IFERROR(IF(Loan_Not_Paid*Values_Entered,Principal,""), "")</f>
        <v>533016.87168709922</v>
      </c>
      <c r="G199" s="298">
        <f>IFERROR(IF(Loan_Not_Paid*Values_Entered,Interest,""), "")</f>
        <v>470625.88840315113</v>
      </c>
      <c r="H199" s="298">
        <f>IFERROR(IF(Loan_Not_Paid*Values_Entered,Ending_Balance,""), "")</f>
        <v>132349586.9127287</v>
      </c>
    </row>
    <row r="200" spans="2:8">
      <c r="B200" s="300">
        <f>IFERROR(IF(Loan_Not_Paid*Values_Entered,Payment_Number,""), "")</f>
        <v>183</v>
      </c>
      <c r="C200" s="299"/>
      <c r="D200" s="298">
        <f>IFERROR(IF(Loan_Not_Paid*Values_Entered,Beginning_Balance,""), "")</f>
        <v>132349586.9127287</v>
      </c>
      <c r="E200" s="298">
        <f>IFERROR(IF(Loan_Not_Paid*Values_Entered,Monthly_Payment,""), "")</f>
        <v>1003642.7600902505</v>
      </c>
      <c r="F200" s="298">
        <f>IFERROR(IF(Loan_Not_Paid*Values_Entered,Principal,""), "")</f>
        <v>534904.63977432449</v>
      </c>
      <c r="G200" s="298">
        <f>IFERROR(IF(Loan_Not_Paid*Values_Entered,Interest,""), "")</f>
        <v>468738.12031592609</v>
      </c>
      <c r="H200" s="298">
        <f>IFERROR(IF(Loan_Not_Paid*Values_Entered,Ending_Balance,""), "")</f>
        <v>131814682.27295434</v>
      </c>
    </row>
    <row r="201" spans="2:8">
      <c r="B201" s="300">
        <f>IFERROR(IF(Loan_Not_Paid*Values_Entered,Payment_Number,""), "")</f>
        <v>184</v>
      </c>
      <c r="C201" s="299"/>
      <c r="D201" s="298">
        <f>IFERROR(IF(Loan_Not_Paid*Values_Entered,Beginning_Balance,""), "")</f>
        <v>131814682.27295434</v>
      </c>
      <c r="E201" s="298">
        <f>IFERROR(IF(Loan_Not_Paid*Values_Entered,Monthly_Payment,""), "")</f>
        <v>1003642.7600902505</v>
      </c>
      <c r="F201" s="298">
        <f>IFERROR(IF(Loan_Not_Paid*Values_Entered,Principal,""), "")</f>
        <v>536799.09370685846</v>
      </c>
      <c r="G201" s="298">
        <f>IFERROR(IF(Loan_Not_Paid*Values_Entered,Interest,""), "")</f>
        <v>466843.66638339194</v>
      </c>
      <c r="H201" s="298">
        <f>IFERROR(IF(Loan_Not_Paid*Values_Entered,Ending_Balance,""), "")</f>
        <v>131277883.1792475</v>
      </c>
    </row>
    <row r="202" spans="2:8">
      <c r="B202" s="300">
        <f>IFERROR(IF(Loan_Not_Paid*Values_Entered,Payment_Number,""), "")</f>
        <v>185</v>
      </c>
      <c r="C202" s="299"/>
      <c r="D202" s="298">
        <f>IFERROR(IF(Loan_Not_Paid*Values_Entered,Beginning_Balance,""), "")</f>
        <v>131277883.1792475</v>
      </c>
      <c r="E202" s="298">
        <f>IFERROR(IF(Loan_Not_Paid*Values_Entered,Monthly_Payment,""), "")</f>
        <v>1003642.7600902505</v>
      </c>
      <c r="F202" s="298">
        <f>IFERROR(IF(Loan_Not_Paid*Values_Entered,Principal,""), "")</f>
        <v>538700.25716373697</v>
      </c>
      <c r="G202" s="298">
        <f>IFERROR(IF(Loan_Not_Paid*Values_Entered,Interest,""), "")</f>
        <v>464942.50292651355</v>
      </c>
      <c r="H202" s="298">
        <f>IFERROR(IF(Loan_Not_Paid*Values_Entered,Ending_Balance,""), "")</f>
        <v>130739182.92208368</v>
      </c>
    </row>
    <row r="203" spans="2:8">
      <c r="B203" s="300">
        <f>IFERROR(IF(Loan_Not_Paid*Values_Entered,Payment_Number,""), "")</f>
        <v>186</v>
      </c>
      <c r="C203" s="299"/>
      <c r="D203" s="298">
        <f>IFERROR(IF(Loan_Not_Paid*Values_Entered,Beginning_Balance,""), "")</f>
        <v>130739182.92208368</v>
      </c>
      <c r="E203" s="298">
        <f>IFERROR(IF(Loan_Not_Paid*Values_Entered,Monthly_Payment,""), "")</f>
        <v>1003642.7600902505</v>
      </c>
      <c r="F203" s="298">
        <f>IFERROR(IF(Loan_Not_Paid*Values_Entered,Principal,""), "")</f>
        <v>540608.15390785853</v>
      </c>
      <c r="G203" s="298">
        <f>IFERROR(IF(Loan_Not_Paid*Values_Entered,Interest,""), "")</f>
        <v>463034.60618239205</v>
      </c>
      <c r="H203" s="298">
        <f>IFERROR(IF(Loan_Not_Paid*Values_Entered,Ending_Balance,""), "")</f>
        <v>130198574.76817581</v>
      </c>
    </row>
    <row r="204" spans="2:8">
      <c r="B204" s="300">
        <f>IFERROR(IF(Loan_Not_Paid*Values_Entered,Payment_Number,""), "")</f>
        <v>187</v>
      </c>
      <c r="C204" s="299"/>
      <c r="D204" s="298">
        <f>IFERROR(IF(Loan_Not_Paid*Values_Entered,Beginning_Balance,""), "")</f>
        <v>130198574.76817581</v>
      </c>
      <c r="E204" s="298">
        <f>IFERROR(IF(Loan_Not_Paid*Values_Entered,Monthly_Payment,""), "")</f>
        <v>1003642.7600902505</v>
      </c>
      <c r="F204" s="298">
        <f>IFERROR(IF(Loan_Not_Paid*Values_Entered,Principal,""), "")</f>
        <v>542522.80778628215</v>
      </c>
      <c r="G204" s="298">
        <f>IFERROR(IF(Loan_Not_Paid*Values_Entered,Interest,""), "")</f>
        <v>461119.9523039682</v>
      </c>
      <c r="H204" s="298">
        <f>IFERROR(IF(Loan_Not_Paid*Values_Entered,Ending_Balance,""), "")</f>
        <v>129656051.96038952</v>
      </c>
    </row>
    <row r="205" spans="2:8">
      <c r="B205" s="300">
        <f>IFERROR(IF(Loan_Not_Paid*Values_Entered,Payment_Number,""), "")</f>
        <v>188</v>
      </c>
      <c r="C205" s="299"/>
      <c r="D205" s="298">
        <f>IFERROR(IF(Loan_Not_Paid*Values_Entered,Beginning_Balance,""), "")</f>
        <v>129656051.96038952</v>
      </c>
      <c r="E205" s="298">
        <f>IFERROR(IF(Loan_Not_Paid*Values_Entered,Monthly_Payment,""), "")</f>
        <v>1003642.7600902505</v>
      </c>
      <c r="F205" s="298">
        <f>IFERROR(IF(Loan_Not_Paid*Values_Entered,Principal,""), "")</f>
        <v>544444.24273052521</v>
      </c>
      <c r="G205" s="298">
        <f>IFERROR(IF(Loan_Not_Paid*Values_Entered,Interest,""), "")</f>
        <v>459198.51735972526</v>
      </c>
      <c r="H205" s="298">
        <f>IFERROR(IF(Loan_Not_Paid*Values_Entered,Ending_Balance,""), "")</f>
        <v>129111607.71765897</v>
      </c>
    </row>
    <row r="206" spans="2:8">
      <c r="B206" s="300">
        <f>IFERROR(IF(Loan_Not_Paid*Values_Entered,Payment_Number,""), "")</f>
        <v>189</v>
      </c>
      <c r="C206" s="299"/>
      <c r="D206" s="298">
        <f>IFERROR(IF(Loan_Not_Paid*Values_Entered,Beginning_Balance,""), "")</f>
        <v>129111607.71765897</v>
      </c>
      <c r="E206" s="298">
        <f>IFERROR(IF(Loan_Not_Paid*Values_Entered,Monthly_Payment,""), "")</f>
        <v>1003642.7600902505</v>
      </c>
      <c r="F206" s="298">
        <f>IFERROR(IF(Loan_Not_Paid*Values_Entered,Principal,""), "")</f>
        <v>546372.48275686253</v>
      </c>
      <c r="G206" s="298">
        <f>IFERROR(IF(Loan_Not_Paid*Values_Entered,Interest,""), "")</f>
        <v>457270.27733338793</v>
      </c>
      <c r="H206" s="298">
        <f>IFERROR(IF(Loan_Not_Paid*Values_Entered,Ending_Balance,""), "")</f>
        <v>128565235.23490208</v>
      </c>
    </row>
    <row r="207" spans="2:8">
      <c r="B207" s="300">
        <f>IFERROR(IF(Loan_Not_Paid*Values_Entered,Payment_Number,""), "")</f>
        <v>190</v>
      </c>
      <c r="C207" s="299"/>
      <c r="D207" s="298">
        <f>IFERROR(IF(Loan_Not_Paid*Values_Entered,Beginning_Balance,""), "")</f>
        <v>128565235.23490208</v>
      </c>
      <c r="E207" s="298">
        <f>IFERROR(IF(Loan_Not_Paid*Values_Entered,Monthly_Payment,""), "")</f>
        <v>1003642.7600902505</v>
      </c>
      <c r="F207" s="298">
        <f>IFERROR(IF(Loan_Not_Paid*Values_Entered,Principal,""), "")</f>
        <v>548307.55196662643</v>
      </c>
      <c r="G207" s="298">
        <f>IFERROR(IF(Loan_Not_Paid*Values_Entered,Interest,""), "")</f>
        <v>455335.20812362409</v>
      </c>
      <c r="H207" s="298">
        <f>IFERROR(IF(Loan_Not_Paid*Values_Entered,Ending_Balance,""), "")</f>
        <v>128016927.68293548</v>
      </c>
    </row>
    <row r="208" spans="2:8">
      <c r="B208" s="300">
        <f>IFERROR(IF(Loan_Not_Paid*Values_Entered,Payment_Number,""), "")</f>
        <v>191</v>
      </c>
      <c r="C208" s="299"/>
      <c r="D208" s="298">
        <f>IFERROR(IF(Loan_Not_Paid*Values_Entered,Beginning_Balance,""), "")</f>
        <v>128016927.68293548</v>
      </c>
      <c r="E208" s="298">
        <f>IFERROR(IF(Loan_Not_Paid*Values_Entered,Monthly_Payment,""), "")</f>
        <v>1003642.7600902505</v>
      </c>
      <c r="F208" s="298">
        <f>IFERROR(IF(Loan_Not_Paid*Values_Entered,Principal,""), "")</f>
        <v>550249.47454650817</v>
      </c>
      <c r="G208" s="298">
        <f>IFERROR(IF(Loan_Not_Paid*Values_Entered,Interest,""), "")</f>
        <v>453393.28554374224</v>
      </c>
      <c r="H208" s="298">
        <f>IFERROR(IF(Loan_Not_Paid*Values_Entered,Ending_Balance,""), "")</f>
        <v>127466678.20838881</v>
      </c>
    </row>
    <row r="209" spans="2:8">
      <c r="B209" s="300">
        <f>IFERROR(IF(Loan_Not_Paid*Values_Entered,Payment_Number,""), "")</f>
        <v>192</v>
      </c>
      <c r="C209" s="299"/>
      <c r="D209" s="298">
        <f>IFERROR(IF(Loan_Not_Paid*Values_Entered,Beginning_Balance,""), "")</f>
        <v>127466678.20838881</v>
      </c>
      <c r="E209" s="298">
        <f>IFERROR(IF(Loan_Not_Paid*Values_Entered,Monthly_Payment,""), "")</f>
        <v>1003642.7600902505</v>
      </c>
      <c r="F209" s="298">
        <f>IFERROR(IF(Loan_Not_Paid*Values_Entered,Principal,""), "")</f>
        <v>552198.27476886043</v>
      </c>
      <c r="G209" s="298">
        <f>IFERROR(IF(Loan_Not_Paid*Values_Entered,Interest,""), "")</f>
        <v>451444.48532139009</v>
      </c>
      <c r="H209" s="298">
        <f>IFERROR(IF(Loan_Not_Paid*Values_Entered,Ending_Balance,""), "")</f>
        <v>126914479.93361998</v>
      </c>
    </row>
    <row r="210" spans="2:8">
      <c r="B210" s="300">
        <f>IFERROR(IF(Loan_Not_Paid*Values_Entered,Payment_Number,""), "")</f>
        <v>193</v>
      </c>
      <c r="C210" s="299"/>
      <c r="D210" s="298">
        <f>IFERROR(IF(Loan_Not_Paid*Values_Entered,Beginning_Balance,""), "")</f>
        <v>126914479.93361998</v>
      </c>
      <c r="E210" s="298">
        <f>IFERROR(IF(Loan_Not_Paid*Values_Entered,Monthly_Payment,""), "")</f>
        <v>1003642.7600902505</v>
      </c>
      <c r="F210" s="298">
        <f>IFERROR(IF(Loan_Not_Paid*Values_Entered,Principal,""), "")</f>
        <v>554153.97699200013</v>
      </c>
      <c r="G210" s="298">
        <f>IFERROR(IF(Loan_Not_Paid*Values_Entered,Interest,""), "")</f>
        <v>449488.78309825028</v>
      </c>
      <c r="H210" s="298">
        <f>IFERROR(IF(Loan_Not_Paid*Values_Entered,Ending_Balance,""), "")</f>
        <v>126360325.95662791</v>
      </c>
    </row>
    <row r="211" spans="2:8">
      <c r="B211" s="300">
        <f>IFERROR(IF(Loan_Not_Paid*Values_Entered,Payment_Number,""), "")</f>
        <v>194</v>
      </c>
      <c r="C211" s="299"/>
      <c r="D211" s="298">
        <f>IFERROR(IF(Loan_Not_Paid*Values_Entered,Beginning_Balance,""), "")</f>
        <v>126360325.95662791</v>
      </c>
      <c r="E211" s="298">
        <f>IFERROR(IF(Loan_Not_Paid*Values_Entered,Monthly_Payment,""), "")</f>
        <v>1003642.7600902505</v>
      </c>
      <c r="F211" s="298">
        <f>IFERROR(IF(Loan_Not_Paid*Values_Entered,Principal,""), "")</f>
        <v>556116.60566051351</v>
      </c>
      <c r="G211" s="298">
        <f>IFERROR(IF(Loan_Not_Paid*Values_Entered,Interest,""), "")</f>
        <v>447526.15442973707</v>
      </c>
      <c r="H211" s="298">
        <f>IFERROR(IF(Loan_Not_Paid*Values_Entered,Ending_Balance,""), "")</f>
        <v>125804209.35096735</v>
      </c>
    </row>
    <row r="212" spans="2:8">
      <c r="B212" s="300">
        <f>IFERROR(IF(Loan_Not_Paid*Values_Entered,Payment_Number,""), "")</f>
        <v>195</v>
      </c>
      <c r="C212" s="299"/>
      <c r="D212" s="298">
        <f>IFERROR(IF(Loan_Not_Paid*Values_Entered,Beginning_Balance,""), "")</f>
        <v>125804209.35096735</v>
      </c>
      <c r="E212" s="298">
        <f>IFERROR(IF(Loan_Not_Paid*Values_Entered,Monthly_Payment,""), "")</f>
        <v>1003642.7600902505</v>
      </c>
      <c r="F212" s="298">
        <f>IFERROR(IF(Loan_Not_Paid*Values_Entered,Principal,""), "")</f>
        <v>558086.18530556117</v>
      </c>
      <c r="G212" s="298">
        <f>IFERROR(IF(Loan_Not_Paid*Values_Entered,Interest,""), "")</f>
        <v>445556.57478468929</v>
      </c>
      <c r="H212" s="298">
        <f>IFERROR(IF(Loan_Not_Paid*Values_Entered,Ending_Balance,""), "")</f>
        <v>125246123.16566181</v>
      </c>
    </row>
    <row r="213" spans="2:8">
      <c r="B213" s="300">
        <f>IFERROR(IF(Loan_Not_Paid*Values_Entered,Payment_Number,""), "")</f>
        <v>196</v>
      </c>
      <c r="C213" s="299"/>
      <c r="D213" s="298">
        <f>IFERROR(IF(Loan_Not_Paid*Values_Entered,Beginning_Balance,""), "")</f>
        <v>125246123.16566181</v>
      </c>
      <c r="E213" s="298">
        <f>IFERROR(IF(Loan_Not_Paid*Values_Entered,Monthly_Payment,""), "")</f>
        <v>1003642.7600902505</v>
      </c>
      <c r="F213" s="298">
        <f>IFERROR(IF(Loan_Not_Paid*Values_Entered,Principal,""), "")</f>
        <v>560062.74054518505</v>
      </c>
      <c r="G213" s="298">
        <f>IFERROR(IF(Loan_Not_Paid*Values_Entered,Interest,""), "")</f>
        <v>443580.01954506553</v>
      </c>
      <c r="H213" s="298">
        <f>IFERROR(IF(Loan_Not_Paid*Values_Entered,Ending_Balance,""), "")</f>
        <v>124686060.4251166</v>
      </c>
    </row>
    <row r="214" spans="2:8">
      <c r="B214" s="300">
        <f>IFERROR(IF(Loan_Not_Paid*Values_Entered,Payment_Number,""), "")</f>
        <v>197</v>
      </c>
      <c r="C214" s="299"/>
      <c r="D214" s="298">
        <f>IFERROR(IF(Loan_Not_Paid*Values_Entered,Beginning_Balance,""), "")</f>
        <v>124686060.4251166</v>
      </c>
      <c r="E214" s="298">
        <f>IFERROR(IF(Loan_Not_Paid*Values_Entered,Monthly_Payment,""), "")</f>
        <v>1003642.7600902505</v>
      </c>
      <c r="F214" s="298">
        <f>IFERROR(IF(Loan_Not_Paid*Values_Entered,Principal,""), "")</f>
        <v>562046.29608461587</v>
      </c>
      <c r="G214" s="298">
        <f>IFERROR(IF(Loan_Not_Paid*Values_Entered,Interest,""), "")</f>
        <v>441596.4640056346</v>
      </c>
      <c r="H214" s="298">
        <f>IFERROR(IF(Loan_Not_Paid*Values_Entered,Ending_Balance,""), "")</f>
        <v>124124014.12903196</v>
      </c>
    </row>
    <row r="215" spans="2:8">
      <c r="B215" s="300">
        <f>IFERROR(IF(Loan_Not_Paid*Values_Entered,Payment_Number,""), "")</f>
        <v>198</v>
      </c>
      <c r="C215" s="299"/>
      <c r="D215" s="298">
        <f>IFERROR(IF(Loan_Not_Paid*Values_Entered,Beginning_Balance,""), "")</f>
        <v>124124014.12903196</v>
      </c>
      <c r="E215" s="298">
        <f>IFERROR(IF(Loan_Not_Paid*Values_Entered,Monthly_Payment,""), "")</f>
        <v>1003642.7600902505</v>
      </c>
      <c r="F215" s="298">
        <f>IFERROR(IF(Loan_Not_Paid*Values_Entered,Principal,""), "")</f>
        <v>564036.87671658222</v>
      </c>
      <c r="G215" s="298">
        <f>IFERROR(IF(Loan_Not_Paid*Values_Entered,Interest,""), "")</f>
        <v>439605.8833736683</v>
      </c>
      <c r="H215" s="298">
        <f>IFERROR(IF(Loan_Not_Paid*Values_Entered,Ending_Balance,""), "")</f>
        <v>123559977.25231528</v>
      </c>
    </row>
    <row r="216" spans="2:8">
      <c r="B216" s="300">
        <f>IFERROR(IF(Loan_Not_Paid*Values_Entered,Payment_Number,""), "")</f>
        <v>199</v>
      </c>
      <c r="C216" s="299"/>
      <c r="D216" s="298">
        <f>IFERROR(IF(Loan_Not_Paid*Values_Entered,Beginning_Balance,""), "")</f>
        <v>123559977.25231528</v>
      </c>
      <c r="E216" s="298">
        <f>IFERROR(IF(Loan_Not_Paid*Values_Entered,Monthly_Payment,""), "")</f>
        <v>1003642.7600902505</v>
      </c>
      <c r="F216" s="298">
        <f>IFERROR(IF(Loan_Not_Paid*Values_Entered,Principal,""), "")</f>
        <v>566034.50732162013</v>
      </c>
      <c r="G216" s="298">
        <f>IFERROR(IF(Loan_Not_Paid*Values_Entered,Interest,""), "")</f>
        <v>437608.25276863034</v>
      </c>
      <c r="H216" s="298">
        <f>IFERROR(IF(Loan_Not_Paid*Values_Entered,Ending_Balance,""), "")</f>
        <v>122993942.74499369</v>
      </c>
    </row>
    <row r="217" spans="2:8">
      <c r="B217" s="300">
        <f>IFERROR(IF(Loan_Not_Paid*Values_Entered,Payment_Number,""), "")</f>
        <v>200</v>
      </c>
      <c r="C217" s="299"/>
      <c r="D217" s="298">
        <f>IFERROR(IF(Loan_Not_Paid*Values_Entered,Beginning_Balance,""), "")</f>
        <v>122993942.74499369</v>
      </c>
      <c r="E217" s="298">
        <f>IFERROR(IF(Loan_Not_Paid*Values_Entered,Monthly_Payment,""), "")</f>
        <v>1003642.7600902505</v>
      </c>
      <c r="F217" s="298">
        <f>IFERROR(IF(Loan_Not_Paid*Values_Entered,Principal,""), "")</f>
        <v>568039.2128683842</v>
      </c>
      <c r="G217" s="298">
        <f>IFERROR(IF(Loan_Not_Paid*Values_Entered,Interest,""), "")</f>
        <v>435603.54722186632</v>
      </c>
      <c r="H217" s="298">
        <f>IFERROR(IF(Loan_Not_Paid*Values_Entered,Ending_Balance,""), "")</f>
        <v>122425903.53212529</v>
      </c>
    </row>
    <row r="218" spans="2:8">
      <c r="B218" s="300">
        <f>IFERROR(IF(Loan_Not_Paid*Values_Entered,Payment_Number,""), "")</f>
        <v>201</v>
      </c>
      <c r="C218" s="299"/>
      <c r="D218" s="298">
        <f>IFERROR(IF(Loan_Not_Paid*Values_Entered,Beginning_Balance,""), "")</f>
        <v>122425903.53212529</v>
      </c>
      <c r="E218" s="298">
        <f>IFERROR(IF(Loan_Not_Paid*Values_Entered,Monthly_Payment,""), "")</f>
        <v>1003642.7600902505</v>
      </c>
      <c r="F218" s="298">
        <f>IFERROR(IF(Loan_Not_Paid*Values_Entered,Principal,""), "")</f>
        <v>570051.01841395977</v>
      </c>
      <c r="G218" s="298">
        <f>IFERROR(IF(Loan_Not_Paid*Values_Entered,Interest,""), "")</f>
        <v>433591.74167629081</v>
      </c>
      <c r="H218" s="298">
        <f>IFERROR(IF(Loan_Not_Paid*Values_Entered,Ending_Balance,""), "")</f>
        <v>121855852.51371121</v>
      </c>
    </row>
    <row r="219" spans="2:8">
      <c r="B219" s="300">
        <f>IFERROR(IF(Loan_Not_Paid*Values_Entered,Payment_Number,""), "")</f>
        <v>202</v>
      </c>
      <c r="C219" s="299"/>
      <c r="D219" s="298">
        <f>IFERROR(IF(Loan_Not_Paid*Values_Entered,Beginning_Balance,""), "")</f>
        <v>121855852.51371121</v>
      </c>
      <c r="E219" s="298">
        <f>IFERROR(IF(Loan_Not_Paid*Values_Entered,Monthly_Payment,""), "")</f>
        <v>1003642.7600902505</v>
      </c>
      <c r="F219" s="298">
        <f>IFERROR(IF(Loan_Not_Paid*Values_Entered,Principal,""), "")</f>
        <v>572069.94910417579</v>
      </c>
      <c r="G219" s="298">
        <f>IFERROR(IF(Loan_Not_Paid*Values_Entered,Interest,""), "")</f>
        <v>431572.81098607468</v>
      </c>
      <c r="H219" s="298">
        <f>IFERROR(IF(Loan_Not_Paid*Values_Entered,Ending_Balance,""), "")</f>
        <v>121283782.56460708</v>
      </c>
    </row>
    <row r="220" spans="2:8">
      <c r="B220" s="300">
        <f>IFERROR(IF(Loan_Not_Paid*Values_Entered,Payment_Number,""), "")</f>
        <v>203</v>
      </c>
      <c r="C220" s="299"/>
      <c r="D220" s="298">
        <f>IFERROR(IF(Loan_Not_Paid*Values_Entered,Beginning_Balance,""), "")</f>
        <v>121283782.56460708</v>
      </c>
      <c r="E220" s="298">
        <f>IFERROR(IF(Loan_Not_Paid*Values_Entered,Monthly_Payment,""), "")</f>
        <v>1003642.7600902505</v>
      </c>
      <c r="F220" s="298">
        <f>IFERROR(IF(Loan_Not_Paid*Values_Entered,Principal,""), "")</f>
        <v>574096.03017391975</v>
      </c>
      <c r="G220" s="298">
        <f>IFERROR(IF(Loan_Not_Paid*Values_Entered,Interest,""), "")</f>
        <v>429546.72991633072</v>
      </c>
      <c r="H220" s="298">
        <f>IFERROR(IF(Loan_Not_Paid*Values_Entered,Ending_Balance,""), "")</f>
        <v>120709686.53443307</v>
      </c>
    </row>
    <row r="221" spans="2:8">
      <c r="B221" s="300">
        <f>IFERROR(IF(Loan_Not_Paid*Values_Entered,Payment_Number,""), "")</f>
        <v>204</v>
      </c>
      <c r="C221" s="299"/>
      <c r="D221" s="298">
        <f>IFERROR(IF(Loan_Not_Paid*Values_Entered,Beginning_Balance,""), "")</f>
        <v>120709686.53443307</v>
      </c>
      <c r="E221" s="298">
        <f>IFERROR(IF(Loan_Not_Paid*Values_Entered,Monthly_Payment,""), "")</f>
        <v>1003642.7600902505</v>
      </c>
      <c r="F221" s="298">
        <f>IFERROR(IF(Loan_Not_Paid*Values_Entered,Principal,""), "")</f>
        <v>576129.28694745246</v>
      </c>
      <c r="G221" s="298">
        <f>IFERROR(IF(Loan_Not_Paid*Values_Entered,Interest,""), "")</f>
        <v>427513.47314279812</v>
      </c>
      <c r="H221" s="298">
        <f>IFERROR(IF(Loan_Not_Paid*Values_Entered,Ending_Balance,""), "")</f>
        <v>120133557.24748558</v>
      </c>
    </row>
    <row r="222" spans="2:8">
      <c r="B222" s="300">
        <f>IFERROR(IF(Loan_Not_Paid*Values_Entered,Payment_Number,""), "")</f>
        <v>205</v>
      </c>
      <c r="C222" s="299"/>
      <c r="D222" s="298">
        <f>IFERROR(IF(Loan_Not_Paid*Values_Entered,Beginning_Balance,""), "")</f>
        <v>120133557.24748558</v>
      </c>
      <c r="E222" s="298">
        <f>IFERROR(IF(Loan_Not_Paid*Values_Entered,Monthly_Payment,""), "")</f>
        <v>1003642.7600902505</v>
      </c>
      <c r="F222" s="298">
        <f>IFERROR(IF(Loan_Not_Paid*Values_Entered,Principal,""), "")</f>
        <v>578169.74483872461</v>
      </c>
      <c r="G222" s="298">
        <f>IFERROR(IF(Loan_Not_Paid*Values_Entered,Interest,""), "")</f>
        <v>425473.01525152585</v>
      </c>
      <c r="H222" s="298">
        <f>IFERROR(IF(Loan_Not_Paid*Values_Entered,Ending_Balance,""), "")</f>
        <v>119555387.50264686</v>
      </c>
    </row>
    <row r="223" spans="2:8">
      <c r="B223" s="300">
        <f>IFERROR(IF(Loan_Not_Paid*Values_Entered,Payment_Number,""), "")</f>
        <v>206</v>
      </c>
      <c r="C223" s="299"/>
      <c r="D223" s="298">
        <f>IFERROR(IF(Loan_Not_Paid*Values_Entered,Beginning_Balance,""), "")</f>
        <v>119555387.50264686</v>
      </c>
      <c r="E223" s="298">
        <f>IFERROR(IF(Loan_Not_Paid*Values_Entered,Monthly_Payment,""), "")</f>
        <v>1003642.7600902505</v>
      </c>
      <c r="F223" s="298">
        <f>IFERROR(IF(Loan_Not_Paid*Values_Entered,Principal,""), "")</f>
        <v>580217.42935169511</v>
      </c>
      <c r="G223" s="298">
        <f>IFERROR(IF(Loan_Not_Paid*Values_Entered,Interest,""), "")</f>
        <v>423425.33073855535</v>
      </c>
      <c r="H223" s="298">
        <f>IFERROR(IF(Loan_Not_Paid*Values_Entered,Ending_Balance,""), "")</f>
        <v>118975170.07329518</v>
      </c>
    </row>
    <row r="224" spans="2:8">
      <c r="B224" s="300">
        <f>IFERROR(IF(Loan_Not_Paid*Values_Entered,Payment_Number,""), "")</f>
        <v>207</v>
      </c>
      <c r="C224" s="299"/>
      <c r="D224" s="298">
        <f>IFERROR(IF(Loan_Not_Paid*Values_Entered,Beginning_Balance,""), "")</f>
        <v>118975170.07329518</v>
      </c>
      <c r="E224" s="298">
        <f>IFERROR(IF(Loan_Not_Paid*Values_Entered,Monthly_Payment,""), "")</f>
        <v>1003642.7600902505</v>
      </c>
      <c r="F224" s="298">
        <f>IFERROR(IF(Loan_Not_Paid*Values_Entered,Principal,""), "")</f>
        <v>582272.36608064896</v>
      </c>
      <c r="G224" s="298">
        <f>IFERROR(IF(Loan_Not_Paid*Values_Entered,Interest,""), "")</f>
        <v>421370.39400960144</v>
      </c>
      <c r="H224" s="298">
        <f>IFERROR(IF(Loan_Not_Paid*Values_Entered,Ending_Balance,""), "")</f>
        <v>118392897.70721436</v>
      </c>
    </row>
    <row r="225" spans="2:8">
      <c r="B225" s="300">
        <f>IFERROR(IF(Loan_Not_Paid*Values_Entered,Payment_Number,""), "")</f>
        <v>208</v>
      </c>
      <c r="C225" s="299"/>
      <c r="D225" s="298">
        <f>IFERROR(IF(Loan_Not_Paid*Values_Entered,Beginning_Balance,""), "")</f>
        <v>118392897.70721436</v>
      </c>
      <c r="E225" s="298">
        <f>IFERROR(IF(Loan_Not_Paid*Values_Entered,Monthly_Payment,""), "")</f>
        <v>1003642.7600902505</v>
      </c>
      <c r="F225" s="298">
        <f>IFERROR(IF(Loan_Not_Paid*Values_Entered,Principal,""), "")</f>
        <v>584334.58071051794</v>
      </c>
      <c r="G225" s="298">
        <f>IFERROR(IF(Loan_Not_Paid*Values_Entered,Interest,""), "")</f>
        <v>419308.17937973252</v>
      </c>
      <c r="H225" s="298">
        <f>IFERROR(IF(Loan_Not_Paid*Values_Entered,Ending_Balance,""), "")</f>
        <v>117808563.12650394</v>
      </c>
    </row>
    <row r="226" spans="2:8">
      <c r="B226" s="300">
        <f>IFERROR(IF(Loan_Not_Paid*Values_Entered,Payment_Number,""), "")</f>
        <v>209</v>
      </c>
      <c r="C226" s="299"/>
      <c r="D226" s="298">
        <f>IFERROR(IF(Loan_Not_Paid*Values_Entered,Beginning_Balance,""), "")</f>
        <v>117808563.12650394</v>
      </c>
      <c r="E226" s="298">
        <f>IFERROR(IF(Loan_Not_Paid*Values_Entered,Monthly_Payment,""), "")</f>
        <v>1003642.7600902505</v>
      </c>
      <c r="F226" s="298">
        <f>IFERROR(IF(Loan_Not_Paid*Values_Entered,Principal,""), "")</f>
        <v>586404.09901720099</v>
      </c>
      <c r="G226" s="298">
        <f>IFERROR(IF(Loan_Not_Paid*Values_Entered,Interest,""), "")</f>
        <v>417238.66107304941</v>
      </c>
      <c r="H226" s="298">
        <f>IFERROR(IF(Loan_Not_Paid*Values_Entered,Ending_Balance,""), "")</f>
        <v>117222159.02748668</v>
      </c>
    </row>
    <row r="227" spans="2:8">
      <c r="B227" s="300">
        <f>IFERROR(IF(Loan_Not_Paid*Values_Entered,Payment_Number,""), "")</f>
        <v>210</v>
      </c>
      <c r="C227" s="299"/>
      <c r="D227" s="298">
        <f>IFERROR(IF(Loan_Not_Paid*Values_Entered,Beginning_Balance,""), "")</f>
        <v>117222159.02748668</v>
      </c>
      <c r="E227" s="298">
        <f>IFERROR(IF(Loan_Not_Paid*Values_Entered,Monthly_Payment,""), "")</f>
        <v>1003642.7600902505</v>
      </c>
      <c r="F227" s="298">
        <f>IFERROR(IF(Loan_Not_Paid*Values_Entered,Principal,""), "")</f>
        <v>588480.94686788705</v>
      </c>
      <c r="G227" s="298">
        <f>IFERROR(IF(Loan_Not_Paid*Values_Entered,Interest,""), "")</f>
        <v>415161.81322236347</v>
      </c>
      <c r="H227" s="298">
        <f>IFERROR(IF(Loan_Not_Paid*Values_Entered,Ending_Balance,""), "")</f>
        <v>116633678.08061868</v>
      </c>
    </row>
    <row r="228" spans="2:8">
      <c r="B228" s="300">
        <f>IFERROR(IF(Loan_Not_Paid*Values_Entered,Payment_Number,""), "")</f>
        <v>211</v>
      </c>
      <c r="C228" s="299"/>
      <c r="D228" s="298">
        <f>IFERROR(IF(Loan_Not_Paid*Values_Entered,Beginning_Balance,""), "")</f>
        <v>116633678.08061868</v>
      </c>
      <c r="E228" s="298">
        <f>IFERROR(IF(Loan_Not_Paid*Values_Entered,Monthly_Payment,""), "")</f>
        <v>1003642.7600902505</v>
      </c>
      <c r="F228" s="298">
        <f>IFERROR(IF(Loan_Not_Paid*Values_Entered,Principal,""), "")</f>
        <v>590565.15022137726</v>
      </c>
      <c r="G228" s="298">
        <f>IFERROR(IF(Loan_Not_Paid*Values_Entered,Interest,""), "")</f>
        <v>413077.60986887303</v>
      </c>
      <c r="H228" s="298">
        <f>IFERROR(IF(Loan_Not_Paid*Values_Entered,Ending_Balance,""), "")</f>
        <v>116043112.93039727</v>
      </c>
    </row>
    <row r="229" spans="2:8">
      <c r="B229" s="300">
        <f>IFERROR(IF(Loan_Not_Paid*Values_Entered,Payment_Number,""), "")</f>
        <v>212</v>
      </c>
      <c r="C229" s="299"/>
      <c r="D229" s="298">
        <f>IFERROR(IF(Loan_Not_Paid*Values_Entered,Beginning_Balance,""), "")</f>
        <v>116043112.93039727</v>
      </c>
      <c r="E229" s="298">
        <f>IFERROR(IF(Loan_Not_Paid*Values_Entered,Monthly_Payment,""), "")</f>
        <v>1003642.7600902505</v>
      </c>
      <c r="F229" s="298">
        <f>IFERROR(IF(Loan_Not_Paid*Values_Entered,Principal,""), "")</f>
        <v>592656.73512841144</v>
      </c>
      <c r="G229" s="298">
        <f>IFERROR(IF(Loan_Not_Paid*Values_Entered,Interest,""), "")</f>
        <v>410986.02496183914</v>
      </c>
      <c r="H229" s="298">
        <f>IFERROR(IF(Loan_Not_Paid*Values_Entered,Ending_Balance,""), "")</f>
        <v>115450456.19526887</v>
      </c>
    </row>
    <row r="230" spans="2:8">
      <c r="B230" s="300">
        <f>IFERROR(IF(Loan_Not_Paid*Values_Entered,Payment_Number,""), "")</f>
        <v>213</v>
      </c>
      <c r="C230" s="299"/>
      <c r="D230" s="298">
        <f>IFERROR(IF(Loan_Not_Paid*Values_Entered,Beginning_Balance,""), "")</f>
        <v>115450456.19526887</v>
      </c>
      <c r="E230" s="298">
        <f>IFERROR(IF(Loan_Not_Paid*Values_Entered,Monthly_Payment,""), "")</f>
        <v>1003642.7600902505</v>
      </c>
      <c r="F230" s="298">
        <f>IFERROR(IF(Loan_Not_Paid*Values_Entered,Principal,""), "")</f>
        <v>594755.72773199121</v>
      </c>
      <c r="G230" s="298">
        <f>IFERROR(IF(Loan_Not_Paid*Values_Entered,Interest,""), "")</f>
        <v>408887.03235825914</v>
      </c>
      <c r="H230" s="298">
        <f>IFERROR(IF(Loan_Not_Paid*Values_Entered,Ending_Balance,""), "")</f>
        <v>114855700.46753681</v>
      </c>
    </row>
    <row r="231" spans="2:8">
      <c r="B231" s="300">
        <f>IFERROR(IF(Loan_Not_Paid*Values_Entered,Payment_Number,""), "")</f>
        <v>214</v>
      </c>
      <c r="C231" s="299"/>
      <c r="D231" s="298">
        <f>IFERROR(IF(Loan_Not_Paid*Values_Entered,Beginning_Balance,""), "")</f>
        <v>114855700.46753681</v>
      </c>
      <c r="E231" s="298">
        <f>IFERROR(IF(Loan_Not_Paid*Values_Entered,Monthly_Payment,""), "")</f>
        <v>1003642.7600902505</v>
      </c>
      <c r="F231" s="298">
        <f>IFERROR(IF(Loan_Not_Paid*Values_Entered,Principal,""), "")</f>
        <v>596862.15426770865</v>
      </c>
      <c r="G231" s="298">
        <f>IFERROR(IF(Loan_Not_Paid*Values_Entered,Interest,""), "")</f>
        <v>406780.60582254169</v>
      </c>
      <c r="H231" s="298">
        <f>IFERROR(IF(Loan_Not_Paid*Values_Entered,Ending_Balance,""), "")</f>
        <v>114258838.31326908</v>
      </c>
    </row>
    <row r="232" spans="2:8">
      <c r="B232" s="300">
        <f>IFERROR(IF(Loan_Not_Paid*Values_Entered,Payment_Number,""), "")</f>
        <v>215</v>
      </c>
      <c r="C232" s="299"/>
      <c r="D232" s="298">
        <f>IFERROR(IF(Loan_Not_Paid*Values_Entered,Beginning_Balance,""), "")</f>
        <v>114258838.31326908</v>
      </c>
      <c r="E232" s="298">
        <f>IFERROR(IF(Loan_Not_Paid*Values_Entered,Monthly_Payment,""), "")</f>
        <v>1003642.7600902505</v>
      </c>
      <c r="F232" s="298">
        <f>IFERROR(IF(Loan_Not_Paid*Values_Entered,Principal,""), "")</f>
        <v>598976.04106407345</v>
      </c>
      <c r="G232" s="298">
        <f>IFERROR(IF(Loan_Not_Paid*Values_Entered,Interest,""), "")</f>
        <v>404666.71902617696</v>
      </c>
      <c r="H232" s="298">
        <f>IFERROR(IF(Loan_Not_Paid*Values_Entered,Ending_Balance,""), "")</f>
        <v>113659862.27220494</v>
      </c>
    </row>
    <row r="233" spans="2:8">
      <c r="B233" s="300">
        <f>IFERROR(IF(Loan_Not_Paid*Values_Entered,Payment_Number,""), "")</f>
        <v>216</v>
      </c>
      <c r="C233" s="299"/>
      <c r="D233" s="298">
        <f>IFERROR(IF(Loan_Not_Paid*Values_Entered,Beginning_Balance,""), "")</f>
        <v>113659862.27220494</v>
      </c>
      <c r="E233" s="298">
        <f>IFERROR(IF(Loan_Not_Paid*Values_Entered,Monthly_Payment,""), "")</f>
        <v>1003642.7600902505</v>
      </c>
      <c r="F233" s="298">
        <f>IFERROR(IF(Loan_Not_Paid*Values_Entered,Principal,""), "")</f>
        <v>601097.41454284207</v>
      </c>
      <c r="G233" s="298">
        <f>IFERROR(IF(Loan_Not_Paid*Values_Entered,Interest,""), "")</f>
        <v>402545.34554740839</v>
      </c>
      <c r="H233" s="298">
        <f>IFERROR(IF(Loan_Not_Paid*Values_Entered,Ending_Balance,""), "")</f>
        <v>113058764.85766214</v>
      </c>
    </row>
    <row r="234" spans="2:8">
      <c r="B234" s="300">
        <f>IFERROR(IF(Loan_Not_Paid*Values_Entered,Payment_Number,""), "")</f>
        <v>217</v>
      </c>
      <c r="C234" s="299"/>
      <c r="D234" s="298">
        <f>IFERROR(IF(Loan_Not_Paid*Values_Entered,Beginning_Balance,""), "")</f>
        <v>113058764.85766214</v>
      </c>
      <c r="E234" s="298">
        <f>IFERROR(IF(Loan_Not_Paid*Values_Entered,Monthly_Payment,""), "")</f>
        <v>1003642.7600902505</v>
      </c>
      <c r="F234" s="298">
        <f>IFERROR(IF(Loan_Not_Paid*Values_Entered,Principal,""), "")</f>
        <v>603226.30121934798</v>
      </c>
      <c r="G234" s="298">
        <f>IFERROR(IF(Loan_Not_Paid*Values_Entered,Interest,""), "")</f>
        <v>400416.45887090242</v>
      </c>
      <c r="H234" s="298">
        <f>IFERROR(IF(Loan_Not_Paid*Values_Entered,Ending_Balance,""), "")</f>
        <v>112455538.55644274</v>
      </c>
    </row>
    <row r="235" spans="2:8">
      <c r="B235" s="300">
        <f>IFERROR(IF(Loan_Not_Paid*Values_Entered,Payment_Number,""), "")</f>
        <v>218</v>
      </c>
      <c r="C235" s="299"/>
      <c r="D235" s="298">
        <f>IFERROR(IF(Loan_Not_Paid*Values_Entered,Beginning_Balance,""), "")</f>
        <v>112455538.55644274</v>
      </c>
      <c r="E235" s="298">
        <f>IFERROR(IF(Loan_Not_Paid*Values_Entered,Monthly_Payment,""), "")</f>
        <v>1003642.7600902505</v>
      </c>
      <c r="F235" s="298">
        <f>IFERROR(IF(Loan_Not_Paid*Values_Entered,Principal,""), "")</f>
        <v>605362.72770283313</v>
      </c>
      <c r="G235" s="298">
        <f>IFERROR(IF(Loan_Not_Paid*Values_Entered,Interest,""), "")</f>
        <v>398280.03238741716</v>
      </c>
      <c r="H235" s="298">
        <f>IFERROR(IF(Loan_Not_Paid*Values_Entered,Ending_Balance,""), "")</f>
        <v>111850175.82873982</v>
      </c>
    </row>
    <row r="236" spans="2:8">
      <c r="B236" s="300">
        <f>IFERROR(IF(Loan_Not_Paid*Values_Entered,Payment_Number,""), "")</f>
        <v>219</v>
      </c>
      <c r="C236" s="299"/>
      <c r="D236" s="298">
        <f>IFERROR(IF(Loan_Not_Paid*Values_Entered,Beginning_Balance,""), "")</f>
        <v>111850175.82873982</v>
      </c>
      <c r="E236" s="298">
        <f>IFERROR(IF(Loan_Not_Paid*Values_Entered,Monthly_Payment,""), "")</f>
        <v>1003642.7600902505</v>
      </c>
      <c r="F236" s="298">
        <f>IFERROR(IF(Loan_Not_Paid*Values_Entered,Principal,""), "")</f>
        <v>607506.72069678071</v>
      </c>
      <c r="G236" s="298">
        <f>IFERROR(IF(Loan_Not_Paid*Values_Entered,Interest,""), "")</f>
        <v>396136.03939346975</v>
      </c>
      <c r="H236" s="298">
        <f>IFERROR(IF(Loan_Not_Paid*Values_Entered,Ending_Balance,""), "")</f>
        <v>111242669.10804302</v>
      </c>
    </row>
    <row r="237" spans="2:8">
      <c r="B237" s="300">
        <f>IFERROR(IF(Loan_Not_Paid*Values_Entered,Payment_Number,""), "")</f>
        <v>220</v>
      </c>
      <c r="C237" s="299"/>
      <c r="D237" s="298">
        <f>IFERROR(IF(Loan_Not_Paid*Values_Entered,Beginning_Balance,""), "")</f>
        <v>111242669.10804302</v>
      </c>
      <c r="E237" s="298">
        <f>IFERROR(IF(Loan_Not_Paid*Values_Entered,Monthly_Payment,""), "")</f>
        <v>1003642.7600902505</v>
      </c>
      <c r="F237" s="298">
        <f>IFERROR(IF(Loan_Not_Paid*Values_Entered,Principal,""), "")</f>
        <v>609658.30699924857</v>
      </c>
      <c r="G237" s="298">
        <f>IFERROR(IF(Loan_Not_Paid*Values_Entered,Interest,""), "")</f>
        <v>393984.45309100195</v>
      </c>
      <c r="H237" s="298">
        <f>IFERROR(IF(Loan_Not_Paid*Values_Entered,Ending_Balance,""), "")</f>
        <v>110633010.80104375</v>
      </c>
    </row>
    <row r="238" spans="2:8">
      <c r="B238" s="300">
        <f>IFERROR(IF(Loan_Not_Paid*Values_Entered,Payment_Number,""), "")</f>
        <v>221</v>
      </c>
      <c r="C238" s="299"/>
      <c r="D238" s="298">
        <f>IFERROR(IF(Loan_Not_Paid*Values_Entered,Beginning_Balance,""), "")</f>
        <v>110633010.80104375</v>
      </c>
      <c r="E238" s="298">
        <f>IFERROR(IF(Loan_Not_Paid*Values_Entered,Monthly_Payment,""), "")</f>
        <v>1003642.7600902505</v>
      </c>
      <c r="F238" s="298">
        <f>IFERROR(IF(Loan_Not_Paid*Values_Entered,Principal,""), "")</f>
        <v>611817.5135032041</v>
      </c>
      <c r="G238" s="298">
        <f>IFERROR(IF(Loan_Not_Paid*Values_Entered,Interest,""), "")</f>
        <v>391825.24658704631</v>
      </c>
      <c r="H238" s="298">
        <f>IFERROR(IF(Loan_Not_Paid*Values_Entered,Ending_Balance,""), "")</f>
        <v>110021193.2875405</v>
      </c>
    </row>
    <row r="239" spans="2:8">
      <c r="B239" s="300">
        <f>IFERROR(IF(Loan_Not_Paid*Values_Entered,Payment_Number,""), "")</f>
        <v>222</v>
      </c>
      <c r="C239" s="299"/>
      <c r="D239" s="298">
        <f>IFERROR(IF(Loan_Not_Paid*Values_Entered,Beginning_Balance,""), "")</f>
        <v>110021193.2875405</v>
      </c>
      <c r="E239" s="298">
        <f>IFERROR(IF(Loan_Not_Paid*Values_Entered,Monthly_Payment,""), "")</f>
        <v>1003642.7600902505</v>
      </c>
      <c r="F239" s="298">
        <f>IFERROR(IF(Loan_Not_Paid*Values_Entered,Principal,""), "")</f>
        <v>613984.36719686142</v>
      </c>
      <c r="G239" s="298">
        <f>IFERROR(IF(Loan_Not_Paid*Values_Entered,Interest,""), "")</f>
        <v>389658.3928933891</v>
      </c>
      <c r="H239" s="298">
        <f>IFERROR(IF(Loan_Not_Paid*Values_Entered,Ending_Balance,""), "")</f>
        <v>109407208.92034364</v>
      </c>
    </row>
    <row r="240" spans="2:8">
      <c r="B240" s="300">
        <f>IFERROR(IF(Loan_Not_Paid*Values_Entered,Payment_Number,""), "")</f>
        <v>223</v>
      </c>
      <c r="C240" s="299"/>
      <c r="D240" s="298">
        <f>IFERROR(IF(Loan_Not_Paid*Values_Entered,Beginning_Balance,""), "")</f>
        <v>109407208.92034364</v>
      </c>
      <c r="E240" s="298">
        <f>IFERROR(IF(Loan_Not_Paid*Values_Entered,Monthly_Payment,""), "")</f>
        <v>1003642.7600902505</v>
      </c>
      <c r="F240" s="298">
        <f>IFERROR(IF(Loan_Not_Paid*Values_Entered,Principal,""), "")</f>
        <v>616158.89516401698</v>
      </c>
      <c r="G240" s="298">
        <f>IFERROR(IF(Loan_Not_Paid*Values_Entered,Interest,""), "")</f>
        <v>387483.86492623354</v>
      </c>
      <c r="H240" s="298">
        <f>IFERROR(IF(Loan_Not_Paid*Values_Entered,Ending_Balance,""), "")</f>
        <v>108791050.02517956</v>
      </c>
    </row>
    <row r="241" spans="2:8">
      <c r="B241" s="300">
        <f>IFERROR(IF(Loan_Not_Paid*Values_Entered,Payment_Number,""), "")</f>
        <v>224</v>
      </c>
      <c r="C241" s="299"/>
      <c r="D241" s="298">
        <f>IFERROR(IF(Loan_Not_Paid*Values_Entered,Beginning_Balance,""), "")</f>
        <v>108791050.02517956</v>
      </c>
      <c r="E241" s="298">
        <f>IFERROR(IF(Loan_Not_Paid*Values_Entered,Monthly_Payment,""), "")</f>
        <v>1003642.7600902505</v>
      </c>
      <c r="F241" s="298">
        <f>IFERROR(IF(Loan_Not_Paid*Values_Entered,Principal,""), "")</f>
        <v>618341.1245843895</v>
      </c>
      <c r="G241" s="298">
        <f>IFERROR(IF(Loan_Not_Paid*Values_Entered,Interest,""), "")</f>
        <v>385301.63550586102</v>
      </c>
      <c r="H241" s="298">
        <f>IFERROR(IF(Loan_Not_Paid*Values_Entered,Ending_Balance,""), "")</f>
        <v>108172708.90059513</v>
      </c>
    </row>
    <row r="242" spans="2:8">
      <c r="B242" s="300">
        <f>IFERROR(IF(Loan_Not_Paid*Values_Entered,Payment_Number,""), "")</f>
        <v>225</v>
      </c>
      <c r="C242" s="299"/>
      <c r="D242" s="298">
        <f>IFERROR(IF(Loan_Not_Paid*Values_Entered,Beginning_Balance,""), "")</f>
        <v>108172708.90059513</v>
      </c>
      <c r="E242" s="298">
        <f>IFERROR(IF(Loan_Not_Paid*Values_Entered,Monthly_Payment,""), "")</f>
        <v>1003642.7600902505</v>
      </c>
      <c r="F242" s="298">
        <f>IFERROR(IF(Loan_Not_Paid*Values_Entered,Principal,""), "")</f>
        <v>620531.08273395919</v>
      </c>
      <c r="G242" s="298">
        <f>IFERROR(IF(Loan_Not_Paid*Values_Entered,Interest,""), "")</f>
        <v>383111.67735629127</v>
      </c>
      <c r="H242" s="298">
        <f>IFERROR(IF(Loan_Not_Paid*Values_Entered,Ending_Balance,""), "")</f>
        <v>107552177.81786114</v>
      </c>
    </row>
    <row r="243" spans="2:8">
      <c r="B243" s="300">
        <f>IFERROR(IF(Loan_Not_Paid*Values_Entered,Payment_Number,""), "")</f>
        <v>226</v>
      </c>
      <c r="C243" s="299"/>
      <c r="D243" s="298">
        <f>IFERROR(IF(Loan_Not_Paid*Values_Entered,Beginning_Balance,""), "")</f>
        <v>107552177.81786114</v>
      </c>
      <c r="E243" s="298">
        <f>IFERROR(IF(Loan_Not_Paid*Values_Entered,Monthly_Payment,""), "")</f>
        <v>1003642.7600902505</v>
      </c>
      <c r="F243" s="298">
        <f>IFERROR(IF(Loan_Not_Paid*Values_Entered,Principal,""), "")</f>
        <v>622728.79698530864</v>
      </c>
      <c r="G243" s="298">
        <f>IFERROR(IF(Loan_Not_Paid*Values_Entered,Interest,""), "")</f>
        <v>380913.96310494182</v>
      </c>
      <c r="H243" s="298">
        <f>IFERROR(IF(Loan_Not_Paid*Values_Entered,Ending_Balance,""), "")</f>
        <v>106929449.02087581</v>
      </c>
    </row>
    <row r="244" spans="2:8">
      <c r="B244" s="300">
        <f>IFERROR(IF(Loan_Not_Paid*Values_Entered,Payment_Number,""), "")</f>
        <v>227</v>
      </c>
      <c r="C244" s="299"/>
      <c r="D244" s="298">
        <f>IFERROR(IF(Loan_Not_Paid*Values_Entered,Beginning_Balance,""), "")</f>
        <v>106929449.02087581</v>
      </c>
      <c r="E244" s="298">
        <f>IFERROR(IF(Loan_Not_Paid*Values_Entered,Monthly_Payment,""), "")</f>
        <v>1003642.7600902505</v>
      </c>
      <c r="F244" s="298">
        <f>IFERROR(IF(Loan_Not_Paid*Values_Entered,Principal,""), "")</f>
        <v>624934.29480796494</v>
      </c>
      <c r="G244" s="298">
        <f>IFERROR(IF(Loan_Not_Paid*Values_Entered,Interest,""), "")</f>
        <v>378708.46528228553</v>
      </c>
      <c r="H244" s="298">
        <f>IFERROR(IF(Loan_Not_Paid*Values_Entered,Ending_Balance,""), "")</f>
        <v>106304514.72606772</v>
      </c>
    </row>
    <row r="245" spans="2:8">
      <c r="B245" s="300">
        <f>IFERROR(IF(Loan_Not_Paid*Values_Entered,Payment_Number,""), "")</f>
        <v>228</v>
      </c>
      <c r="C245" s="299"/>
      <c r="D245" s="298">
        <f>IFERROR(IF(Loan_Not_Paid*Values_Entered,Beginning_Balance,""), "")</f>
        <v>106304514.72606772</v>
      </c>
      <c r="E245" s="298">
        <f>IFERROR(IF(Loan_Not_Paid*Values_Entered,Monthly_Payment,""), "")</f>
        <v>1003642.7600902505</v>
      </c>
      <c r="F245" s="298">
        <f>IFERROR(IF(Loan_Not_Paid*Values_Entered,Principal,""), "")</f>
        <v>627147.60376874323</v>
      </c>
      <c r="G245" s="298">
        <f>IFERROR(IF(Loan_Not_Paid*Values_Entered,Interest,""), "")</f>
        <v>376495.15632150735</v>
      </c>
      <c r="H245" s="298">
        <f>IFERROR(IF(Loan_Not_Paid*Values_Entered,Ending_Balance,""), "")</f>
        <v>105677367.12229902</v>
      </c>
    </row>
    <row r="246" spans="2:8">
      <c r="B246" s="300">
        <f>IFERROR(IF(Loan_Not_Paid*Values_Entered,Payment_Number,""), "")</f>
        <v>229</v>
      </c>
      <c r="C246" s="299"/>
      <c r="D246" s="298">
        <f>IFERROR(IF(Loan_Not_Paid*Values_Entered,Beginning_Balance,""), "")</f>
        <v>105677367.12229902</v>
      </c>
      <c r="E246" s="298">
        <f>IFERROR(IF(Loan_Not_Paid*Values_Entered,Monthly_Payment,""), "")</f>
        <v>1003642.7600902505</v>
      </c>
      <c r="F246" s="298">
        <f>IFERROR(IF(Loan_Not_Paid*Values_Entered,Principal,""), "")</f>
        <v>629368.75153209083</v>
      </c>
      <c r="G246" s="298">
        <f>IFERROR(IF(Loan_Not_Paid*Values_Entered,Interest,""), "")</f>
        <v>374274.00855815969</v>
      </c>
      <c r="H246" s="298">
        <f>IFERROR(IF(Loan_Not_Paid*Values_Entered,Ending_Balance,""), "")</f>
        <v>105047998.37076688</v>
      </c>
    </row>
    <row r="247" spans="2:8">
      <c r="B247" s="300">
        <f>IFERROR(IF(Loan_Not_Paid*Values_Entered,Payment_Number,""), "")</f>
        <v>230</v>
      </c>
      <c r="C247" s="299"/>
      <c r="D247" s="298">
        <f>IFERROR(IF(Loan_Not_Paid*Values_Entered,Beginning_Balance,""), "")</f>
        <v>105047998.37076688</v>
      </c>
      <c r="E247" s="298">
        <f>IFERROR(IF(Loan_Not_Paid*Values_Entered,Monthly_Payment,""), "")</f>
        <v>1003642.7600902505</v>
      </c>
      <c r="F247" s="298">
        <f>IFERROR(IF(Loan_Not_Paid*Values_Entered,Principal,""), "")</f>
        <v>631597.76586043369</v>
      </c>
      <c r="G247" s="298">
        <f>IFERROR(IF(Loan_Not_Paid*Values_Entered,Interest,""), "")</f>
        <v>372044.99422981677</v>
      </c>
      <c r="H247" s="298">
        <f>IFERROR(IF(Loan_Not_Paid*Values_Entered,Ending_Balance,""), "")</f>
        <v>104416400.60490632</v>
      </c>
    </row>
    <row r="248" spans="2:8">
      <c r="B248" s="300">
        <f>IFERROR(IF(Loan_Not_Paid*Values_Entered,Payment_Number,""), "")</f>
        <v>231</v>
      </c>
      <c r="C248" s="299"/>
      <c r="D248" s="298">
        <f>IFERROR(IF(Loan_Not_Paid*Values_Entered,Beginning_Balance,""), "")</f>
        <v>104416400.60490632</v>
      </c>
      <c r="E248" s="298">
        <f>IFERROR(IF(Loan_Not_Paid*Values_Entered,Monthly_Payment,""), "")</f>
        <v>1003642.7600902505</v>
      </c>
      <c r="F248" s="298">
        <f>IFERROR(IF(Loan_Not_Paid*Values_Entered,Principal,""), "")</f>
        <v>633834.67461452272</v>
      </c>
      <c r="G248" s="298">
        <f>IFERROR(IF(Loan_Not_Paid*Values_Entered,Interest,""), "")</f>
        <v>369808.0854757278</v>
      </c>
      <c r="H248" s="298">
        <f>IFERROR(IF(Loan_Not_Paid*Values_Entered,Ending_Balance,""), "")</f>
        <v>103782565.93029183</v>
      </c>
    </row>
    <row r="249" spans="2:8">
      <c r="B249" s="300">
        <f>IFERROR(IF(Loan_Not_Paid*Values_Entered,Payment_Number,""), "")</f>
        <v>232</v>
      </c>
      <c r="C249" s="299"/>
      <c r="D249" s="298">
        <f>IFERROR(IF(Loan_Not_Paid*Values_Entered,Beginning_Balance,""), "")</f>
        <v>103782565.93029183</v>
      </c>
      <c r="E249" s="298">
        <f>IFERROR(IF(Loan_Not_Paid*Values_Entered,Monthly_Payment,""), "")</f>
        <v>1003642.7600902505</v>
      </c>
      <c r="F249" s="298">
        <f>IFERROR(IF(Loan_Not_Paid*Values_Entered,Principal,""), "")</f>
        <v>636079.50575378234</v>
      </c>
      <c r="G249" s="298">
        <f>IFERROR(IF(Loan_Not_Paid*Values_Entered,Interest,""), "")</f>
        <v>367563.25433646806</v>
      </c>
      <c r="H249" s="298">
        <f>IFERROR(IF(Loan_Not_Paid*Values_Entered,Ending_Balance,""), "")</f>
        <v>103146486.42453802</v>
      </c>
    </row>
    <row r="250" spans="2:8">
      <c r="B250" s="300">
        <f>IFERROR(IF(Loan_Not_Paid*Values_Entered,Payment_Number,""), "")</f>
        <v>233</v>
      </c>
      <c r="C250" s="299"/>
      <c r="D250" s="298">
        <f>IFERROR(IF(Loan_Not_Paid*Values_Entered,Beginning_Balance,""), "")</f>
        <v>103146486.42453802</v>
      </c>
      <c r="E250" s="298">
        <f>IFERROR(IF(Loan_Not_Paid*Values_Entered,Monthly_Payment,""), "")</f>
        <v>1003642.7600902505</v>
      </c>
      <c r="F250" s="298">
        <f>IFERROR(IF(Loan_Not_Paid*Values_Entered,Principal,""), "")</f>
        <v>638332.28733666043</v>
      </c>
      <c r="G250" s="298">
        <f>IFERROR(IF(Loan_Not_Paid*Values_Entered,Interest,""), "")</f>
        <v>365310.47275359009</v>
      </c>
      <c r="H250" s="298">
        <f>IFERROR(IF(Loan_Not_Paid*Values_Entered,Ending_Balance,""), "")</f>
        <v>102508154.13720131</v>
      </c>
    </row>
    <row r="251" spans="2:8">
      <c r="B251" s="300">
        <f>IFERROR(IF(Loan_Not_Paid*Values_Entered,Payment_Number,""), "")</f>
        <v>234</v>
      </c>
      <c r="C251" s="299"/>
      <c r="D251" s="298">
        <f>IFERROR(IF(Loan_Not_Paid*Values_Entered,Beginning_Balance,""), "")</f>
        <v>102508154.13720131</v>
      </c>
      <c r="E251" s="298">
        <f>IFERROR(IF(Loan_Not_Paid*Values_Entered,Monthly_Payment,""), "")</f>
        <v>1003642.7600902505</v>
      </c>
      <c r="F251" s="298">
        <f>IFERROR(IF(Loan_Not_Paid*Values_Entered,Principal,""), "")</f>
        <v>640593.04752097779</v>
      </c>
      <c r="G251" s="298">
        <f>IFERROR(IF(Loan_Not_Paid*Values_Entered,Interest,""), "")</f>
        <v>363049.71256927279</v>
      </c>
      <c r="H251" s="298">
        <f>IFERROR(IF(Loan_Not_Paid*Values_Entered,Ending_Balance,""), "")</f>
        <v>101867561.08968025</v>
      </c>
    </row>
    <row r="252" spans="2:8">
      <c r="B252" s="300">
        <f>IFERROR(IF(Loan_Not_Paid*Values_Entered,Payment_Number,""), "")</f>
        <v>235</v>
      </c>
      <c r="C252" s="299"/>
      <c r="D252" s="298">
        <f>IFERROR(IF(Loan_Not_Paid*Values_Entered,Beginning_Balance,""), "")</f>
        <v>101867561.08968025</v>
      </c>
      <c r="E252" s="298">
        <f>IFERROR(IF(Loan_Not_Paid*Values_Entered,Monthly_Payment,""), "")</f>
        <v>1003642.7600902505</v>
      </c>
      <c r="F252" s="298">
        <f>IFERROR(IF(Loan_Not_Paid*Values_Entered,Principal,""), "")</f>
        <v>642861.81456428114</v>
      </c>
      <c r="G252" s="298">
        <f>IFERROR(IF(Loan_Not_Paid*Values_Entered,Interest,""), "")</f>
        <v>360780.94552596932</v>
      </c>
      <c r="H252" s="298">
        <f>IFERROR(IF(Loan_Not_Paid*Values_Entered,Ending_Balance,""), "")</f>
        <v>101224699.27511597</v>
      </c>
    </row>
    <row r="253" spans="2:8">
      <c r="B253" s="300">
        <f>IFERROR(IF(Loan_Not_Paid*Values_Entered,Payment_Number,""), "")</f>
        <v>236</v>
      </c>
      <c r="C253" s="299"/>
      <c r="D253" s="298">
        <f>IFERROR(IF(Loan_Not_Paid*Values_Entered,Beginning_Balance,""), "")</f>
        <v>101224699.27511597</v>
      </c>
      <c r="E253" s="298">
        <f>IFERROR(IF(Loan_Not_Paid*Values_Entered,Monthly_Payment,""), "")</f>
        <v>1003642.7600902505</v>
      </c>
      <c r="F253" s="298">
        <f>IFERROR(IF(Loan_Not_Paid*Values_Entered,Principal,""), "")</f>
        <v>645138.61682419642</v>
      </c>
      <c r="G253" s="298">
        <f>IFERROR(IF(Loan_Not_Paid*Values_Entered,Interest,""), "")</f>
        <v>358504.1432660541</v>
      </c>
      <c r="H253" s="298">
        <f>IFERROR(IF(Loan_Not_Paid*Values_Entered,Ending_Balance,""), "")</f>
        <v>100579560.65829176</v>
      </c>
    </row>
    <row r="254" spans="2:8">
      <c r="B254" s="300">
        <f>IFERROR(IF(Loan_Not_Paid*Values_Entered,Payment_Number,""), "")</f>
        <v>237</v>
      </c>
      <c r="C254" s="299"/>
      <c r="D254" s="298">
        <f>IFERROR(IF(Loan_Not_Paid*Values_Entered,Beginning_Balance,""), "")</f>
        <v>100579560.65829176</v>
      </c>
      <c r="E254" s="298">
        <f>IFERROR(IF(Loan_Not_Paid*Values_Entered,Monthly_Payment,""), "")</f>
        <v>1003642.7600902505</v>
      </c>
      <c r="F254" s="298">
        <f>IFERROR(IF(Loan_Not_Paid*Values_Entered,Principal,""), "")</f>
        <v>647423.48275878199</v>
      </c>
      <c r="G254" s="298">
        <f>IFERROR(IF(Loan_Not_Paid*Values_Entered,Interest,""), "")</f>
        <v>356219.27733146842</v>
      </c>
      <c r="H254" s="298">
        <f>IFERROR(IF(Loan_Not_Paid*Values_Entered,Ending_Balance,""), "")</f>
        <v>99932137.175532937</v>
      </c>
    </row>
    <row r="255" spans="2:8">
      <c r="B255" s="300">
        <f>IFERROR(IF(Loan_Not_Paid*Values_Entered,Payment_Number,""), "")</f>
        <v>238</v>
      </c>
      <c r="C255" s="299"/>
      <c r="D255" s="298">
        <f>IFERROR(IF(Loan_Not_Paid*Values_Entered,Beginning_Balance,""), "")</f>
        <v>99932137.175532937</v>
      </c>
      <c r="E255" s="298">
        <f>IFERROR(IF(Loan_Not_Paid*Values_Entered,Monthly_Payment,""), "")</f>
        <v>1003642.7600902505</v>
      </c>
      <c r="F255" s="298">
        <f>IFERROR(IF(Loan_Not_Paid*Values_Entered,Principal,""), "")</f>
        <v>649716.44092688605</v>
      </c>
      <c r="G255" s="298">
        <f>IFERROR(IF(Loan_Not_Paid*Values_Entered,Interest,""), "")</f>
        <v>353926.31916336436</v>
      </c>
      <c r="H255" s="298">
        <f>IFERROR(IF(Loan_Not_Paid*Values_Entered,Ending_Balance,""), "")</f>
        <v>99282420.734605908</v>
      </c>
    </row>
    <row r="256" spans="2:8">
      <c r="B256" s="300">
        <f>IFERROR(IF(Loan_Not_Paid*Values_Entered,Payment_Number,""), "")</f>
        <v>239</v>
      </c>
      <c r="C256" s="299"/>
      <c r="D256" s="298">
        <f>IFERROR(IF(Loan_Not_Paid*Values_Entered,Beginning_Balance,""), "")</f>
        <v>99282420.734605908</v>
      </c>
      <c r="E256" s="298">
        <f>IFERROR(IF(Loan_Not_Paid*Values_Entered,Monthly_Payment,""), "")</f>
        <v>1003642.7600902505</v>
      </c>
      <c r="F256" s="298">
        <f>IFERROR(IF(Loan_Not_Paid*Values_Entered,Principal,""), "")</f>
        <v>652017.51998850203</v>
      </c>
      <c r="G256" s="298">
        <f>IFERROR(IF(Loan_Not_Paid*Values_Entered,Interest,""), "")</f>
        <v>351625.24010174838</v>
      </c>
      <c r="H256" s="298">
        <f>IFERROR(IF(Loan_Not_Paid*Values_Entered,Ending_Balance,""), "")</f>
        <v>98630403.214617372</v>
      </c>
    </row>
    <row r="257" spans="2:8">
      <c r="B257" s="300">
        <f>IFERROR(IF(Loan_Not_Paid*Values_Entered,Payment_Number,""), "")</f>
        <v>240</v>
      </c>
      <c r="C257" s="299"/>
      <c r="D257" s="298">
        <f>IFERROR(IF(Loan_Not_Paid*Values_Entered,Beginning_Balance,""), "")</f>
        <v>98630403.214617372</v>
      </c>
      <c r="E257" s="298">
        <f>IFERROR(IF(Loan_Not_Paid*Values_Entered,Monthly_Payment,""), "")</f>
        <v>1003642.7600902505</v>
      </c>
      <c r="F257" s="298">
        <f>IFERROR(IF(Loan_Not_Paid*Values_Entered,Principal,""), "")</f>
        <v>654326.74870512809</v>
      </c>
      <c r="G257" s="298">
        <f>IFERROR(IF(Loan_Not_Paid*Values_Entered,Interest,""), "")</f>
        <v>349316.01138512237</v>
      </c>
      <c r="H257" s="298">
        <f>IFERROR(IF(Loan_Not_Paid*Values_Entered,Ending_Balance,""), "")</f>
        <v>97976076.465912282</v>
      </c>
    </row>
    <row r="258" spans="2:8">
      <c r="B258" s="300">
        <f>IFERROR(IF(Loan_Not_Paid*Values_Entered,Payment_Number,""), "")</f>
        <v>241</v>
      </c>
      <c r="C258" s="299"/>
      <c r="D258" s="298">
        <f>IFERROR(IF(Loan_Not_Paid*Values_Entered,Beginning_Balance,""), "")</f>
        <v>97976076.465912282</v>
      </c>
      <c r="E258" s="298">
        <f>IFERROR(IF(Loan_Not_Paid*Values_Entered,Monthly_Payment,""), "")</f>
        <v>1003642.7600902505</v>
      </c>
      <c r="F258" s="298">
        <f>IFERROR(IF(Loan_Not_Paid*Values_Entered,Principal,""), "")</f>
        <v>656644.15594012535</v>
      </c>
      <c r="G258" s="298">
        <f>IFERROR(IF(Loan_Not_Paid*Values_Entered,Interest,""), "")</f>
        <v>346998.60415012506</v>
      </c>
      <c r="H258" s="298">
        <f>IFERROR(IF(Loan_Not_Paid*Values_Entered,Ending_Balance,""), "")</f>
        <v>97319432.309972167</v>
      </c>
    </row>
    <row r="259" spans="2:8">
      <c r="B259" s="300">
        <f>IFERROR(IF(Loan_Not_Paid*Values_Entered,Payment_Number,""), "")</f>
        <v>242</v>
      </c>
      <c r="C259" s="299"/>
      <c r="D259" s="298">
        <f>IFERROR(IF(Loan_Not_Paid*Values_Entered,Beginning_Balance,""), "")</f>
        <v>97319432.309972167</v>
      </c>
      <c r="E259" s="298">
        <f>IFERROR(IF(Loan_Not_Paid*Values_Entered,Monthly_Payment,""), "")</f>
        <v>1003642.7600902505</v>
      </c>
      <c r="F259" s="298">
        <f>IFERROR(IF(Loan_Not_Paid*Values_Entered,Principal,""), "")</f>
        <v>658969.77065908001</v>
      </c>
      <c r="G259" s="298">
        <f>IFERROR(IF(Loan_Not_Paid*Values_Entered,Interest,""), "")</f>
        <v>344672.98943117051</v>
      </c>
      <c r="H259" s="298">
        <f>IFERROR(IF(Loan_Not_Paid*Values_Entered,Ending_Balance,""), "")</f>
        <v>96660462.539312959</v>
      </c>
    </row>
    <row r="260" spans="2:8">
      <c r="B260" s="300">
        <f>IFERROR(IF(Loan_Not_Paid*Values_Entered,Payment_Number,""), "")</f>
        <v>243</v>
      </c>
      <c r="C260" s="299"/>
      <c r="D260" s="298">
        <f>IFERROR(IF(Loan_Not_Paid*Values_Entered,Beginning_Balance,""), "")</f>
        <v>96660462.539312959</v>
      </c>
      <c r="E260" s="298">
        <f>IFERROR(IF(Loan_Not_Paid*Values_Entered,Monthly_Payment,""), "")</f>
        <v>1003642.7600902505</v>
      </c>
      <c r="F260" s="298">
        <f>IFERROR(IF(Loan_Not_Paid*Values_Entered,Principal,""), "")</f>
        <v>661303.62193016417</v>
      </c>
      <c r="G260" s="298">
        <f>IFERROR(IF(Loan_Not_Paid*Values_Entered,Interest,""), "")</f>
        <v>342339.13816008624</v>
      </c>
      <c r="H260" s="298">
        <f>IFERROR(IF(Loan_Not_Paid*Values_Entered,Ending_Balance,""), "")</f>
        <v>95999158.917382836</v>
      </c>
    </row>
    <row r="261" spans="2:8">
      <c r="B261" s="300">
        <f>IFERROR(IF(Loan_Not_Paid*Values_Entered,Payment_Number,""), "")</f>
        <v>244</v>
      </c>
      <c r="C261" s="299"/>
      <c r="D261" s="298">
        <f>IFERROR(IF(Loan_Not_Paid*Values_Entered,Beginning_Balance,""), "")</f>
        <v>95999158.917382836</v>
      </c>
      <c r="E261" s="298">
        <f>IFERROR(IF(Loan_Not_Paid*Values_Entered,Monthly_Payment,""), "")</f>
        <v>1003642.7600902505</v>
      </c>
      <c r="F261" s="298">
        <f>IFERROR(IF(Loan_Not_Paid*Values_Entered,Principal,""), "")</f>
        <v>663645.7389245003</v>
      </c>
      <c r="G261" s="298">
        <f>IFERROR(IF(Loan_Not_Paid*Values_Entered,Interest,""), "")</f>
        <v>339997.02116575022</v>
      </c>
      <c r="H261" s="298">
        <f>IFERROR(IF(Loan_Not_Paid*Values_Entered,Ending_Balance,""), "")</f>
        <v>95335513.178458214</v>
      </c>
    </row>
    <row r="262" spans="2:8">
      <c r="B262" s="300">
        <f>IFERROR(IF(Loan_Not_Paid*Values_Entered,Payment_Number,""), "")</f>
        <v>245</v>
      </c>
      <c r="C262" s="299"/>
      <c r="D262" s="298">
        <f>IFERROR(IF(Loan_Not_Paid*Values_Entered,Beginning_Balance,""), "")</f>
        <v>95335513.178458214</v>
      </c>
      <c r="E262" s="298">
        <f>IFERROR(IF(Loan_Not_Paid*Values_Entered,Monthly_Payment,""), "")</f>
        <v>1003642.7600902505</v>
      </c>
      <c r="F262" s="298">
        <f>IFERROR(IF(Loan_Not_Paid*Values_Entered,Principal,""), "")</f>
        <v>665996.15091652458</v>
      </c>
      <c r="G262" s="298">
        <f>IFERROR(IF(Loan_Not_Paid*Values_Entered,Interest,""), "")</f>
        <v>337646.60917372594</v>
      </c>
      <c r="H262" s="298">
        <f>IFERROR(IF(Loan_Not_Paid*Values_Entered,Ending_Balance,""), "")</f>
        <v>94669517.027541578</v>
      </c>
    </row>
    <row r="263" spans="2:8">
      <c r="B263" s="300">
        <f>IFERROR(IF(Loan_Not_Paid*Values_Entered,Payment_Number,""), "")</f>
        <v>246</v>
      </c>
      <c r="C263" s="299"/>
      <c r="D263" s="298">
        <f>IFERROR(IF(Loan_Not_Paid*Values_Entered,Beginning_Balance,""), "")</f>
        <v>94669517.027541578</v>
      </c>
      <c r="E263" s="298">
        <f>IFERROR(IF(Loan_Not_Paid*Values_Entered,Monthly_Payment,""), "")</f>
        <v>1003642.7600902505</v>
      </c>
      <c r="F263" s="298">
        <f>IFERROR(IF(Loan_Not_Paid*Values_Entered,Principal,""), "")</f>
        <v>668354.88728435384</v>
      </c>
      <c r="G263" s="298">
        <f>IFERROR(IF(Loan_Not_Paid*Values_Entered,Interest,""), "")</f>
        <v>335287.87280589662</v>
      </c>
      <c r="H263" s="298">
        <f>IFERROR(IF(Loan_Not_Paid*Values_Entered,Ending_Balance,""), "")</f>
        <v>94001162.140257299</v>
      </c>
    </row>
    <row r="264" spans="2:8">
      <c r="B264" s="300">
        <f>IFERROR(IF(Loan_Not_Paid*Values_Entered,Payment_Number,""), "")</f>
        <v>247</v>
      </c>
      <c r="C264" s="299"/>
      <c r="D264" s="298">
        <f>IFERROR(IF(Loan_Not_Paid*Values_Entered,Beginning_Balance,""), "")</f>
        <v>94001162.140257299</v>
      </c>
      <c r="E264" s="298">
        <f>IFERROR(IF(Loan_Not_Paid*Values_Entered,Monthly_Payment,""), "")</f>
        <v>1003642.7600902505</v>
      </c>
      <c r="F264" s="298">
        <f>IFERROR(IF(Loan_Not_Paid*Values_Entered,Principal,""), "")</f>
        <v>670721.97751015262</v>
      </c>
      <c r="G264" s="298">
        <f>IFERROR(IF(Loan_Not_Paid*Values_Entered,Interest,""), "")</f>
        <v>332920.78258009785</v>
      </c>
      <c r="H264" s="298">
        <f>IFERROR(IF(Loan_Not_Paid*Values_Entered,Ending_Balance,""), "")</f>
        <v>93330440.162747025</v>
      </c>
    </row>
    <row r="265" spans="2:8">
      <c r="B265" s="300">
        <f>IFERROR(IF(Loan_Not_Paid*Values_Entered,Payment_Number,""), "")</f>
        <v>248</v>
      </c>
      <c r="C265" s="299"/>
      <c r="D265" s="298">
        <f>IFERROR(IF(Loan_Not_Paid*Values_Entered,Beginning_Balance,""), "")</f>
        <v>93330440.162747025</v>
      </c>
      <c r="E265" s="298">
        <f>IFERROR(IF(Loan_Not_Paid*Values_Entered,Monthly_Payment,""), "")</f>
        <v>1003642.7600902505</v>
      </c>
      <c r="F265" s="298">
        <f>IFERROR(IF(Loan_Not_Paid*Values_Entered,Principal,""), "")</f>
        <v>673097.45118050103</v>
      </c>
      <c r="G265" s="298">
        <f>IFERROR(IF(Loan_Not_Paid*Values_Entered,Interest,""), "")</f>
        <v>330545.30890974938</v>
      </c>
      <c r="H265" s="298">
        <f>IFERROR(IF(Loan_Not_Paid*Values_Entered,Ending_Balance,""), "")</f>
        <v>92657342.711566567</v>
      </c>
    </row>
    <row r="266" spans="2:8">
      <c r="B266" s="300">
        <f>IFERROR(IF(Loan_Not_Paid*Values_Entered,Payment_Number,""), "")</f>
        <v>249</v>
      </c>
      <c r="C266" s="299"/>
      <c r="D266" s="298">
        <f>IFERROR(IF(Loan_Not_Paid*Values_Entered,Beginning_Balance,""), "")</f>
        <v>92657342.711566567</v>
      </c>
      <c r="E266" s="298">
        <f>IFERROR(IF(Loan_Not_Paid*Values_Entered,Monthly_Payment,""), "")</f>
        <v>1003642.7600902505</v>
      </c>
      <c r="F266" s="298">
        <f>IFERROR(IF(Loan_Not_Paid*Values_Entered,Principal,""), "")</f>
        <v>675481.33798676531</v>
      </c>
      <c r="G266" s="298">
        <f>IFERROR(IF(Loan_Not_Paid*Values_Entered,Interest,""), "")</f>
        <v>328161.42210348509</v>
      </c>
      <c r="H266" s="298">
        <f>IFERROR(IF(Loan_Not_Paid*Values_Entered,Ending_Balance,""), "")</f>
        <v>91981861.373579741</v>
      </c>
    </row>
    <row r="267" spans="2:8">
      <c r="B267" s="300">
        <f>IFERROR(IF(Loan_Not_Paid*Values_Entered,Payment_Number,""), "")</f>
        <v>250</v>
      </c>
      <c r="C267" s="299"/>
      <c r="D267" s="298">
        <f>IFERROR(IF(Loan_Not_Paid*Values_Entered,Beginning_Balance,""), "")</f>
        <v>91981861.373579741</v>
      </c>
      <c r="E267" s="298">
        <f>IFERROR(IF(Loan_Not_Paid*Values_Entered,Monthly_Payment,""), "")</f>
        <v>1003642.7600902505</v>
      </c>
      <c r="F267" s="298">
        <f>IFERROR(IF(Loan_Not_Paid*Values_Entered,Principal,""), "")</f>
        <v>677873.66772546852</v>
      </c>
      <c r="G267" s="298">
        <f>IFERROR(IF(Loan_Not_Paid*Values_Entered,Interest,""), "")</f>
        <v>325769.092364782</v>
      </c>
      <c r="H267" s="298">
        <f>IFERROR(IF(Loan_Not_Paid*Values_Entered,Ending_Balance,""), "")</f>
        <v>91303987.705854177</v>
      </c>
    </row>
    <row r="268" spans="2:8">
      <c r="B268" s="300">
        <f>IFERROR(IF(Loan_Not_Paid*Values_Entered,Payment_Number,""), "")</f>
        <v>251</v>
      </c>
      <c r="C268" s="299"/>
      <c r="D268" s="298">
        <f>IFERROR(IF(Loan_Not_Paid*Values_Entered,Beginning_Balance,""), "")</f>
        <v>91303987.705854177</v>
      </c>
      <c r="E268" s="298">
        <f>IFERROR(IF(Loan_Not_Paid*Values_Entered,Monthly_Payment,""), "")</f>
        <v>1003642.7600902505</v>
      </c>
      <c r="F268" s="298">
        <f>IFERROR(IF(Loan_Not_Paid*Values_Entered,Principal,""), "")</f>
        <v>680274.4702986629</v>
      </c>
      <c r="G268" s="298">
        <f>IFERROR(IF(Loan_Not_Paid*Values_Entered,Interest,""), "")</f>
        <v>323368.28979158762</v>
      </c>
      <c r="H268" s="298">
        <f>IFERROR(IF(Loan_Not_Paid*Values_Entered,Ending_Balance,""), "")</f>
        <v>90623713.23555547</v>
      </c>
    </row>
    <row r="269" spans="2:8">
      <c r="B269" s="300">
        <f>IFERROR(IF(Loan_Not_Paid*Values_Entered,Payment_Number,""), "")</f>
        <v>252</v>
      </c>
      <c r="C269" s="299"/>
      <c r="D269" s="298">
        <f>IFERROR(IF(Loan_Not_Paid*Values_Entered,Beginning_Balance,""), "")</f>
        <v>90623713.23555547</v>
      </c>
      <c r="E269" s="298">
        <f>IFERROR(IF(Loan_Not_Paid*Values_Entered,Monthly_Payment,""), "")</f>
        <v>1003642.7600902505</v>
      </c>
      <c r="F269" s="298">
        <f>IFERROR(IF(Loan_Not_Paid*Values_Entered,Principal,""), "")</f>
        <v>682683.77571430395</v>
      </c>
      <c r="G269" s="298">
        <f>IFERROR(IF(Loan_Not_Paid*Values_Entered,Interest,""), "")</f>
        <v>320958.98437594651</v>
      </c>
      <c r="H269" s="298">
        <f>IFERROR(IF(Loan_Not_Paid*Values_Entered,Ending_Balance,""), "")</f>
        <v>89941029.459841192</v>
      </c>
    </row>
    <row r="270" spans="2:8">
      <c r="B270" s="300">
        <f>IFERROR(IF(Loan_Not_Paid*Values_Entered,Payment_Number,""), "")</f>
        <v>253</v>
      </c>
      <c r="C270" s="299"/>
      <c r="D270" s="298">
        <f>IFERROR(IF(Loan_Not_Paid*Values_Entered,Beginning_Balance,""), "")</f>
        <v>89941029.459841192</v>
      </c>
      <c r="E270" s="298">
        <f>IFERROR(IF(Loan_Not_Paid*Values_Entered,Monthly_Payment,""), "")</f>
        <v>1003642.7600902505</v>
      </c>
      <c r="F270" s="298">
        <f>IFERROR(IF(Loan_Not_Paid*Values_Entered,Principal,""), "")</f>
        <v>685101.6140866254</v>
      </c>
      <c r="G270" s="298">
        <f>IFERROR(IF(Loan_Not_Paid*Values_Entered,Interest,""), "")</f>
        <v>318541.14600362506</v>
      </c>
      <c r="H270" s="298">
        <f>IFERROR(IF(Loan_Not_Paid*Values_Entered,Ending_Balance,""), "")</f>
        <v>89255927.845754445</v>
      </c>
    </row>
    <row r="271" spans="2:8">
      <c r="B271" s="300">
        <f>IFERROR(IF(Loan_Not_Paid*Values_Entered,Payment_Number,""), "")</f>
        <v>254</v>
      </c>
      <c r="C271" s="299"/>
      <c r="D271" s="298">
        <f>IFERROR(IF(Loan_Not_Paid*Values_Entered,Beginning_Balance,""), "")</f>
        <v>89255927.845754445</v>
      </c>
      <c r="E271" s="298">
        <f>IFERROR(IF(Loan_Not_Paid*Values_Entered,Monthly_Payment,""), "")</f>
        <v>1003642.7600902505</v>
      </c>
      <c r="F271" s="298">
        <f>IFERROR(IF(Loan_Not_Paid*Values_Entered,Principal,""), "")</f>
        <v>687528.01563651557</v>
      </c>
      <c r="G271" s="298">
        <f>IFERROR(IF(Loan_Not_Paid*Values_Entered,Interest,""), "")</f>
        <v>316114.74445373489</v>
      </c>
      <c r="H271" s="298">
        <f>IFERROR(IF(Loan_Not_Paid*Values_Entered,Ending_Balance,""), "")</f>
        <v>88568399.830117881</v>
      </c>
    </row>
    <row r="272" spans="2:8">
      <c r="B272" s="300">
        <f>IFERROR(IF(Loan_Not_Paid*Values_Entered,Payment_Number,""), "")</f>
        <v>255</v>
      </c>
      <c r="C272" s="299"/>
      <c r="D272" s="298">
        <f>IFERROR(IF(Loan_Not_Paid*Values_Entered,Beginning_Balance,""), "")</f>
        <v>88568399.830117881</v>
      </c>
      <c r="E272" s="298">
        <f>IFERROR(IF(Loan_Not_Paid*Values_Entered,Monthly_Payment,""), "")</f>
        <v>1003642.7600902505</v>
      </c>
      <c r="F272" s="298">
        <f>IFERROR(IF(Loan_Not_Paid*Values_Entered,Principal,""), "")</f>
        <v>689963.01069189492</v>
      </c>
      <c r="G272" s="298">
        <f>IFERROR(IF(Loan_Not_Paid*Values_Entered,Interest,""), "")</f>
        <v>313679.74939835555</v>
      </c>
      <c r="H272" s="298">
        <f>IFERROR(IF(Loan_Not_Paid*Values_Entered,Ending_Balance,""), "")</f>
        <v>87878436.819425881</v>
      </c>
    </row>
    <row r="273" spans="2:8">
      <c r="B273" s="300">
        <f>IFERROR(IF(Loan_Not_Paid*Values_Entered,Payment_Number,""), "")</f>
        <v>256</v>
      </c>
      <c r="C273" s="299"/>
      <c r="D273" s="298">
        <f>IFERROR(IF(Loan_Not_Paid*Values_Entered,Beginning_Balance,""), "")</f>
        <v>87878436.819425881</v>
      </c>
      <c r="E273" s="298">
        <f>IFERROR(IF(Loan_Not_Paid*Values_Entered,Monthly_Payment,""), "")</f>
        <v>1003642.7600902505</v>
      </c>
      <c r="F273" s="298">
        <f>IFERROR(IF(Loan_Not_Paid*Values_Entered,Principal,""), "")</f>
        <v>692406.62968809542</v>
      </c>
      <c r="G273" s="298">
        <f>IFERROR(IF(Loan_Not_Paid*Values_Entered,Interest,""), "")</f>
        <v>311236.1304021551</v>
      </c>
      <c r="H273" s="298">
        <f>IFERROR(IF(Loan_Not_Paid*Values_Entered,Ending_Balance,""), "")</f>
        <v>87186030.189737797</v>
      </c>
    </row>
    <row r="274" spans="2:8">
      <c r="B274" s="300">
        <f>IFERROR(IF(Loan_Not_Paid*Values_Entered,Payment_Number,""), "")</f>
        <v>257</v>
      </c>
      <c r="C274" s="299"/>
      <c r="D274" s="298">
        <f>IFERROR(IF(Loan_Not_Paid*Values_Entered,Beginning_Balance,""), "")</f>
        <v>87186030.189737797</v>
      </c>
      <c r="E274" s="298">
        <f>IFERROR(IF(Loan_Not_Paid*Values_Entered,Monthly_Payment,""), "")</f>
        <v>1003642.7600902505</v>
      </c>
      <c r="F274" s="298">
        <f>IFERROR(IF(Loan_Not_Paid*Values_Entered,Principal,""), "")</f>
        <v>694858.90316824079</v>
      </c>
      <c r="G274" s="298">
        <f>IFERROR(IF(Loan_Not_Paid*Values_Entered,Interest,""), "")</f>
        <v>308783.85692200973</v>
      </c>
      <c r="H274" s="298">
        <f>IFERROR(IF(Loan_Not_Paid*Values_Entered,Ending_Balance,""), "")</f>
        <v>86491171.286569536</v>
      </c>
    </row>
    <row r="275" spans="2:8">
      <c r="B275" s="300">
        <f>IFERROR(IF(Loan_Not_Paid*Values_Entered,Payment_Number,""), "")</f>
        <v>258</v>
      </c>
      <c r="C275" s="299"/>
      <c r="D275" s="298">
        <f>IFERROR(IF(Loan_Not_Paid*Values_Entered,Beginning_Balance,""), "")</f>
        <v>86491171.286569536</v>
      </c>
      <c r="E275" s="298">
        <f>IFERROR(IF(Loan_Not_Paid*Values_Entered,Monthly_Payment,""), "")</f>
        <v>1003642.7600902505</v>
      </c>
      <c r="F275" s="298">
        <f>IFERROR(IF(Loan_Not_Paid*Values_Entered,Principal,""), "")</f>
        <v>697319.86178362824</v>
      </c>
      <c r="G275" s="298">
        <f>IFERROR(IF(Loan_Not_Paid*Values_Entered,Interest,""), "")</f>
        <v>306322.89830662223</v>
      </c>
      <c r="H275" s="298">
        <f>IFERROR(IF(Loan_Not_Paid*Values_Entered,Ending_Balance,""), "")</f>
        <v>85793851.424785912</v>
      </c>
    </row>
    <row r="276" spans="2:8">
      <c r="B276" s="300">
        <f>IFERROR(IF(Loan_Not_Paid*Values_Entered,Payment_Number,""), "")</f>
        <v>259</v>
      </c>
      <c r="C276" s="299"/>
      <c r="D276" s="298">
        <f>IFERROR(IF(Loan_Not_Paid*Values_Entered,Beginning_Balance,""), "")</f>
        <v>85793851.424785912</v>
      </c>
      <c r="E276" s="298">
        <f>IFERROR(IF(Loan_Not_Paid*Values_Entered,Monthly_Payment,""), "")</f>
        <v>1003642.7600902505</v>
      </c>
      <c r="F276" s="298">
        <f>IFERROR(IF(Loan_Not_Paid*Values_Entered,Principal,""), "")</f>
        <v>699789.53629411198</v>
      </c>
      <c r="G276" s="298">
        <f>IFERROR(IF(Loan_Not_Paid*Values_Entered,Interest,""), "")</f>
        <v>303853.22379613854</v>
      </c>
      <c r="H276" s="298">
        <f>IFERROR(IF(Loan_Not_Paid*Values_Entered,Ending_Balance,""), "")</f>
        <v>85094061.88849169</v>
      </c>
    </row>
    <row r="277" spans="2:8">
      <c r="B277" s="300">
        <f>IFERROR(IF(Loan_Not_Paid*Values_Entered,Payment_Number,""), "")</f>
        <v>260</v>
      </c>
      <c r="C277" s="299"/>
      <c r="D277" s="298">
        <f>IFERROR(IF(Loan_Not_Paid*Values_Entered,Beginning_Balance,""), "")</f>
        <v>85094061.88849169</v>
      </c>
      <c r="E277" s="298">
        <f>IFERROR(IF(Loan_Not_Paid*Values_Entered,Monthly_Payment,""), "")</f>
        <v>1003642.7600902505</v>
      </c>
      <c r="F277" s="298">
        <f>IFERROR(IF(Loan_Not_Paid*Values_Entered,Principal,""), "")</f>
        <v>702267.95756848692</v>
      </c>
      <c r="G277" s="298">
        <f>IFERROR(IF(Loan_Not_Paid*Values_Entered,Interest,""), "")</f>
        <v>301374.80252176354</v>
      </c>
      <c r="H277" s="298">
        <f>IFERROR(IF(Loan_Not_Paid*Values_Entered,Ending_Balance,""), "")</f>
        <v>84391793.930923164</v>
      </c>
    </row>
    <row r="278" spans="2:8">
      <c r="B278" s="300">
        <f>IFERROR(IF(Loan_Not_Paid*Values_Entered,Payment_Number,""), "")</f>
        <v>261</v>
      </c>
      <c r="C278" s="299"/>
      <c r="D278" s="298">
        <f>IFERROR(IF(Loan_Not_Paid*Values_Entered,Beginning_Balance,""), "")</f>
        <v>84391793.930923164</v>
      </c>
      <c r="E278" s="298">
        <f>IFERROR(IF(Loan_Not_Paid*Values_Entered,Monthly_Payment,""), "")</f>
        <v>1003642.7600902505</v>
      </c>
      <c r="F278" s="298">
        <f>IFERROR(IF(Loan_Not_Paid*Values_Entered,Principal,""), "")</f>
        <v>704755.15658487531</v>
      </c>
      <c r="G278" s="298">
        <f>IFERROR(IF(Loan_Not_Paid*Values_Entered,Interest,""), "")</f>
        <v>298887.60350537515</v>
      </c>
      <c r="H278" s="298">
        <f>IFERROR(IF(Loan_Not_Paid*Values_Entered,Ending_Balance,""), "")</f>
        <v>83687038.774338186</v>
      </c>
    </row>
    <row r="279" spans="2:8">
      <c r="B279" s="300">
        <f>IFERROR(IF(Loan_Not_Paid*Values_Entered,Payment_Number,""), "")</f>
        <v>262</v>
      </c>
      <c r="C279" s="299"/>
      <c r="D279" s="298">
        <f>IFERROR(IF(Loan_Not_Paid*Values_Entered,Beginning_Balance,""), "")</f>
        <v>83687038.774338186</v>
      </c>
      <c r="E279" s="298">
        <f>IFERROR(IF(Loan_Not_Paid*Values_Entered,Monthly_Payment,""), "")</f>
        <v>1003642.7600902505</v>
      </c>
      <c r="F279" s="298">
        <f>IFERROR(IF(Loan_Not_Paid*Values_Entered,Principal,""), "")</f>
        <v>707251.1644311134</v>
      </c>
      <c r="G279" s="298">
        <f>IFERROR(IF(Loan_Not_Paid*Values_Entered,Interest,""), "")</f>
        <v>296391.59565913706</v>
      </c>
      <c r="H279" s="298">
        <f>IFERROR(IF(Loan_Not_Paid*Values_Entered,Ending_Balance,""), "")</f>
        <v>82979787.609907031</v>
      </c>
    </row>
    <row r="280" spans="2:8">
      <c r="B280" s="300">
        <f>IFERROR(IF(Loan_Not_Paid*Values_Entered,Payment_Number,""), "")</f>
        <v>263</v>
      </c>
      <c r="C280" s="299"/>
      <c r="D280" s="298">
        <f>IFERROR(IF(Loan_Not_Paid*Values_Entered,Beginning_Balance,""), "")</f>
        <v>82979787.609907031</v>
      </c>
      <c r="E280" s="298">
        <f>IFERROR(IF(Loan_Not_Paid*Values_Entered,Monthly_Payment,""), "")</f>
        <v>1003642.7600902505</v>
      </c>
      <c r="F280" s="298">
        <f>IFERROR(IF(Loan_Not_Paid*Values_Entered,Principal,""), "")</f>
        <v>709756.01230514026</v>
      </c>
      <c r="G280" s="298">
        <f>IFERROR(IF(Loan_Not_Paid*Values_Entered,Interest,""), "")</f>
        <v>293886.7477851102</v>
      </c>
      <c r="H280" s="298">
        <f>IFERROR(IF(Loan_Not_Paid*Values_Entered,Ending_Balance,""), "")</f>
        <v>82270031.597601891</v>
      </c>
    </row>
    <row r="281" spans="2:8">
      <c r="B281" s="300">
        <f>IFERROR(IF(Loan_Not_Paid*Values_Entered,Payment_Number,""), "")</f>
        <v>264</v>
      </c>
      <c r="C281" s="299"/>
      <c r="D281" s="298">
        <f>IFERROR(IF(Loan_Not_Paid*Values_Entered,Beginning_Balance,""), "")</f>
        <v>82270031.597601891</v>
      </c>
      <c r="E281" s="298">
        <f>IFERROR(IF(Loan_Not_Paid*Values_Entered,Monthly_Payment,""), "")</f>
        <v>1003642.7600902505</v>
      </c>
      <c r="F281" s="298">
        <f>IFERROR(IF(Loan_Not_Paid*Values_Entered,Principal,""), "")</f>
        <v>712269.73151538766</v>
      </c>
      <c r="G281" s="298">
        <f>IFERROR(IF(Loan_Not_Paid*Values_Entered,Interest,""), "")</f>
        <v>291373.02857486292</v>
      </c>
      <c r="H281" s="298">
        <f>IFERROR(IF(Loan_Not_Paid*Values_Entered,Ending_Balance,""), "")</f>
        <v>81557761.866086543</v>
      </c>
    </row>
    <row r="282" spans="2:8">
      <c r="B282" s="300">
        <f>IFERROR(IF(Loan_Not_Paid*Values_Entered,Payment_Number,""), "")</f>
        <v>265</v>
      </c>
      <c r="C282" s="299"/>
      <c r="D282" s="298">
        <f>IFERROR(IF(Loan_Not_Paid*Values_Entered,Beginning_Balance,""), "")</f>
        <v>81557761.866086543</v>
      </c>
      <c r="E282" s="298">
        <f>IFERROR(IF(Loan_Not_Paid*Values_Entered,Monthly_Payment,""), "")</f>
        <v>1003642.7600902505</v>
      </c>
      <c r="F282" s="298">
        <f>IFERROR(IF(Loan_Not_Paid*Values_Entered,Principal,""), "")</f>
        <v>714792.3534811713</v>
      </c>
      <c r="G282" s="298">
        <f>IFERROR(IF(Loan_Not_Paid*Values_Entered,Interest,""), "")</f>
        <v>288850.40660907916</v>
      </c>
      <c r="H282" s="298">
        <f>IFERROR(IF(Loan_Not_Paid*Values_Entered,Ending_Balance,""), "")</f>
        <v>80842969.51260525</v>
      </c>
    </row>
    <row r="283" spans="2:8">
      <c r="B283" s="300">
        <f>IFERROR(IF(Loan_Not_Paid*Values_Entered,Payment_Number,""), "")</f>
        <v>266</v>
      </c>
      <c r="C283" s="299"/>
      <c r="D283" s="298">
        <f>IFERROR(IF(Loan_Not_Paid*Values_Entered,Beginning_Balance,""), "")</f>
        <v>80842969.51260525</v>
      </c>
      <c r="E283" s="298">
        <f>IFERROR(IF(Loan_Not_Paid*Values_Entered,Monthly_Payment,""), "")</f>
        <v>1003642.7600902505</v>
      </c>
      <c r="F283" s="298">
        <f>IFERROR(IF(Loan_Not_Paid*Values_Entered,Principal,""), "")</f>
        <v>717323.9097330838</v>
      </c>
      <c r="G283" s="298">
        <f>IFERROR(IF(Loan_Not_Paid*Values_Entered,Interest,""), "")</f>
        <v>286318.85035716667</v>
      </c>
      <c r="H283" s="298">
        <f>IFERROR(IF(Loan_Not_Paid*Values_Entered,Ending_Balance,""), "")</f>
        <v>80125645.602872133</v>
      </c>
    </row>
    <row r="284" spans="2:8">
      <c r="B284" s="300">
        <f>IFERROR(IF(Loan_Not_Paid*Values_Entered,Payment_Number,""), "")</f>
        <v>267</v>
      </c>
      <c r="C284" s="299"/>
      <c r="D284" s="298">
        <f>IFERROR(IF(Loan_Not_Paid*Values_Entered,Beginning_Balance,""), "")</f>
        <v>80125645.602872133</v>
      </c>
      <c r="E284" s="298">
        <f>IFERROR(IF(Loan_Not_Paid*Values_Entered,Monthly_Payment,""), "")</f>
        <v>1003642.7600902505</v>
      </c>
      <c r="F284" s="298">
        <f>IFERROR(IF(Loan_Not_Paid*Values_Entered,Principal,""), "")</f>
        <v>719864.43191338843</v>
      </c>
      <c r="G284" s="298">
        <f>IFERROR(IF(Loan_Not_Paid*Values_Entered,Interest,""), "")</f>
        <v>283778.32817686198</v>
      </c>
      <c r="H284" s="298">
        <f>IFERROR(IF(Loan_Not_Paid*Values_Entered,Ending_Balance,""), "")</f>
        <v>79405781.170958638</v>
      </c>
    </row>
    <row r="285" spans="2:8">
      <c r="B285" s="300">
        <f>IFERROR(IF(Loan_Not_Paid*Values_Entered,Payment_Number,""), "")</f>
        <v>268</v>
      </c>
      <c r="C285" s="299"/>
      <c r="D285" s="298">
        <f>IFERROR(IF(Loan_Not_Paid*Values_Entered,Beginning_Balance,""), "")</f>
        <v>79405781.170958638</v>
      </c>
      <c r="E285" s="298">
        <f>IFERROR(IF(Loan_Not_Paid*Values_Entered,Monthly_Payment,""), "")</f>
        <v>1003642.7600902505</v>
      </c>
      <c r="F285" s="298">
        <f>IFERROR(IF(Loan_Not_Paid*Values_Entered,Principal,""), "")</f>
        <v>722413.95177641511</v>
      </c>
      <c r="G285" s="298">
        <f>IFERROR(IF(Loan_Not_Paid*Values_Entered,Interest,""), "")</f>
        <v>281228.80831383547</v>
      </c>
      <c r="H285" s="298">
        <f>IFERROR(IF(Loan_Not_Paid*Values_Entered,Ending_Balance,""), "")</f>
        <v>78683367.219182253</v>
      </c>
    </row>
    <row r="286" spans="2:8">
      <c r="B286" s="300">
        <f>IFERROR(IF(Loan_Not_Paid*Values_Entered,Payment_Number,""), "")</f>
        <v>269</v>
      </c>
      <c r="C286" s="299"/>
      <c r="D286" s="298">
        <f>IFERROR(IF(Loan_Not_Paid*Values_Entered,Beginning_Balance,""), "")</f>
        <v>78683367.219182253</v>
      </c>
      <c r="E286" s="298">
        <f>IFERROR(IF(Loan_Not_Paid*Values_Entered,Monthly_Payment,""), "")</f>
        <v>1003642.7600902505</v>
      </c>
      <c r="F286" s="298">
        <f>IFERROR(IF(Loan_Not_Paid*Values_Entered,Principal,""), "")</f>
        <v>724972.50118895655</v>
      </c>
      <c r="G286" s="298">
        <f>IFERROR(IF(Loan_Not_Paid*Values_Entered,Interest,""), "")</f>
        <v>278670.25890129397</v>
      </c>
      <c r="H286" s="298">
        <f>IFERROR(IF(Loan_Not_Paid*Values_Entered,Ending_Balance,""), "")</f>
        <v>77958394.7179932</v>
      </c>
    </row>
    <row r="287" spans="2:8">
      <c r="B287" s="300">
        <f>IFERROR(IF(Loan_Not_Paid*Values_Entered,Payment_Number,""), "")</f>
        <v>270</v>
      </c>
      <c r="C287" s="299"/>
      <c r="D287" s="298">
        <f>IFERROR(IF(Loan_Not_Paid*Values_Entered,Beginning_Balance,""), "")</f>
        <v>77958394.7179932</v>
      </c>
      <c r="E287" s="298">
        <f>IFERROR(IF(Loan_Not_Paid*Values_Entered,Monthly_Payment,""), "")</f>
        <v>1003642.7600902505</v>
      </c>
      <c r="F287" s="298">
        <f>IFERROR(IF(Loan_Not_Paid*Values_Entered,Principal,""), "")</f>
        <v>727540.11213066732</v>
      </c>
      <c r="G287" s="298">
        <f>IFERROR(IF(Loan_Not_Paid*Values_Entered,Interest,""), "")</f>
        <v>276102.64795958309</v>
      </c>
      <c r="H287" s="298">
        <f>IFERROR(IF(Loan_Not_Paid*Values_Entered,Ending_Balance,""), "")</f>
        <v>77230854.605862498</v>
      </c>
    </row>
    <row r="288" spans="2:8">
      <c r="B288" s="300">
        <f>IFERROR(IF(Loan_Not_Paid*Values_Entered,Payment_Number,""), "")</f>
        <v>271</v>
      </c>
      <c r="C288" s="299"/>
      <c r="D288" s="298">
        <f>IFERROR(IF(Loan_Not_Paid*Values_Entered,Beginning_Balance,""), "")</f>
        <v>77230854.605862498</v>
      </c>
      <c r="E288" s="298">
        <f>IFERROR(IF(Loan_Not_Paid*Values_Entered,Monthly_Payment,""), "")</f>
        <v>1003642.7600902505</v>
      </c>
      <c r="F288" s="298">
        <f>IFERROR(IF(Loan_Not_Paid*Values_Entered,Principal,""), "")</f>
        <v>730116.81669446349</v>
      </c>
      <c r="G288" s="298">
        <f>IFERROR(IF(Loan_Not_Paid*Values_Entered,Interest,""), "")</f>
        <v>273525.94339578692</v>
      </c>
      <c r="H288" s="298">
        <f>IFERROR(IF(Loan_Not_Paid*Values_Entered,Ending_Balance,""), "")</f>
        <v>76500737.789167941</v>
      </c>
    </row>
    <row r="289" spans="2:8">
      <c r="B289" s="300">
        <f>IFERROR(IF(Loan_Not_Paid*Values_Entered,Payment_Number,""), "")</f>
        <v>272</v>
      </c>
      <c r="C289" s="299"/>
      <c r="D289" s="298">
        <f>IFERROR(IF(Loan_Not_Paid*Values_Entered,Beginning_Balance,""), "")</f>
        <v>76500737.789167941</v>
      </c>
      <c r="E289" s="298">
        <f>IFERROR(IF(Loan_Not_Paid*Values_Entered,Monthly_Payment,""), "")</f>
        <v>1003642.7600902505</v>
      </c>
      <c r="F289" s="298">
        <f>IFERROR(IF(Loan_Not_Paid*Values_Entered,Principal,""), "")</f>
        <v>732702.64708692313</v>
      </c>
      <c r="G289" s="298">
        <f>IFERROR(IF(Loan_Not_Paid*Values_Entered,Interest,""), "")</f>
        <v>270940.11300332739</v>
      </c>
      <c r="H289" s="298">
        <f>IFERROR(IF(Loan_Not_Paid*Values_Entered,Ending_Balance,""), "")</f>
        <v>75768035.142081022</v>
      </c>
    </row>
    <row r="290" spans="2:8">
      <c r="B290" s="300">
        <f>IFERROR(IF(Loan_Not_Paid*Values_Entered,Payment_Number,""), "")</f>
        <v>273</v>
      </c>
      <c r="C290" s="299"/>
      <c r="D290" s="298">
        <f>IFERROR(IF(Loan_Not_Paid*Values_Entered,Beginning_Balance,""), "")</f>
        <v>75768035.142081022</v>
      </c>
      <c r="E290" s="298">
        <f>IFERROR(IF(Loan_Not_Paid*Values_Entered,Monthly_Payment,""), "")</f>
        <v>1003642.7600902505</v>
      </c>
      <c r="F290" s="298">
        <f>IFERROR(IF(Loan_Not_Paid*Values_Entered,Principal,""), "")</f>
        <v>735297.6356286892</v>
      </c>
      <c r="G290" s="298">
        <f>IFERROR(IF(Loan_Not_Paid*Values_Entered,Interest,""), "")</f>
        <v>268345.12446156127</v>
      </c>
      <c r="H290" s="298">
        <f>IFERROR(IF(Loan_Not_Paid*Values_Entered,Ending_Balance,""), "")</f>
        <v>75032737.506452262</v>
      </c>
    </row>
    <row r="291" spans="2:8">
      <c r="B291" s="300">
        <f>IFERROR(IF(Loan_Not_Paid*Values_Entered,Payment_Number,""), "")</f>
        <v>274</v>
      </c>
      <c r="C291" s="299"/>
      <c r="D291" s="298">
        <f>IFERROR(IF(Loan_Not_Paid*Values_Entered,Beginning_Balance,""), "")</f>
        <v>75032737.506452262</v>
      </c>
      <c r="E291" s="298">
        <f>IFERROR(IF(Loan_Not_Paid*Values_Entered,Monthly_Payment,""), "")</f>
        <v>1003642.7600902505</v>
      </c>
      <c r="F291" s="298">
        <f>IFERROR(IF(Loan_Not_Paid*Values_Entered,Principal,""), "")</f>
        <v>737901.81475487421</v>
      </c>
      <c r="G291" s="298">
        <f>IFERROR(IF(Loan_Not_Paid*Values_Entered,Interest,""), "")</f>
        <v>265740.94533537631</v>
      </c>
      <c r="H291" s="298">
        <f>IFERROR(IF(Loan_Not_Paid*Values_Entered,Ending_Balance,""), "")</f>
        <v>74294835.691697359</v>
      </c>
    </row>
    <row r="292" spans="2:8">
      <c r="B292" s="300">
        <f>IFERROR(IF(Loan_Not_Paid*Values_Entered,Payment_Number,""), "")</f>
        <v>275</v>
      </c>
      <c r="C292" s="299"/>
      <c r="D292" s="298">
        <f>IFERROR(IF(Loan_Not_Paid*Values_Entered,Beginning_Balance,""), "")</f>
        <v>74294835.691697359</v>
      </c>
      <c r="E292" s="298">
        <f>IFERROR(IF(Loan_Not_Paid*Values_Entered,Monthly_Payment,""), "")</f>
        <v>1003642.7600902505</v>
      </c>
      <c r="F292" s="298">
        <f>IFERROR(IF(Loan_Not_Paid*Values_Entered,Principal,""), "")</f>
        <v>740515.21701546432</v>
      </c>
      <c r="G292" s="298">
        <f>IFERROR(IF(Loan_Not_Paid*Values_Entered,Interest,""), "")</f>
        <v>263127.54307478608</v>
      </c>
      <c r="H292" s="298">
        <f>IFERROR(IF(Loan_Not_Paid*Values_Entered,Ending_Balance,""), "")</f>
        <v>73554320.474681735</v>
      </c>
    </row>
    <row r="293" spans="2:8">
      <c r="B293" s="300">
        <f>IFERROR(IF(Loan_Not_Paid*Values_Entered,Payment_Number,""), "")</f>
        <v>276</v>
      </c>
      <c r="C293" s="299"/>
      <c r="D293" s="298">
        <f>IFERROR(IF(Loan_Not_Paid*Values_Entered,Beginning_Balance,""), "")</f>
        <v>73554320.474681735</v>
      </c>
      <c r="E293" s="298">
        <f>IFERROR(IF(Loan_Not_Paid*Values_Entered,Monthly_Payment,""), "")</f>
        <v>1003642.7600902505</v>
      </c>
      <c r="F293" s="298">
        <f>IFERROR(IF(Loan_Not_Paid*Values_Entered,Principal,""), "")</f>
        <v>743137.87507572747</v>
      </c>
      <c r="G293" s="298">
        <f>IFERROR(IF(Loan_Not_Paid*Values_Entered,Interest,""), "")</f>
        <v>260504.88501452305</v>
      </c>
      <c r="H293" s="298">
        <f>IFERROR(IF(Loan_Not_Paid*Values_Entered,Ending_Balance,""), "")</f>
        <v>72811182.599606037</v>
      </c>
    </row>
    <row r="294" spans="2:8">
      <c r="B294" s="300">
        <f>IFERROR(IF(Loan_Not_Paid*Values_Entered,Payment_Number,""), "")</f>
        <v>277</v>
      </c>
      <c r="C294" s="299"/>
      <c r="D294" s="298">
        <f>IFERROR(IF(Loan_Not_Paid*Values_Entered,Beginning_Balance,""), "")</f>
        <v>72811182.599606037</v>
      </c>
      <c r="E294" s="298">
        <f>IFERROR(IF(Loan_Not_Paid*Values_Entered,Monthly_Payment,""), "")</f>
        <v>1003642.7600902505</v>
      </c>
      <c r="F294" s="298">
        <f>IFERROR(IF(Loan_Not_Paid*Values_Entered,Principal,""), "")</f>
        <v>745769.82171662059</v>
      </c>
      <c r="G294" s="298">
        <f>IFERROR(IF(Loan_Not_Paid*Values_Entered,Interest,""), "")</f>
        <v>257872.93837362979</v>
      </c>
      <c r="H294" s="298">
        <f>IFERROR(IF(Loan_Not_Paid*Values_Entered,Ending_Balance,""), "")</f>
        <v>72065412.777889431</v>
      </c>
    </row>
    <row r="295" spans="2:8">
      <c r="B295" s="300">
        <f>IFERROR(IF(Loan_Not_Paid*Values_Entered,Payment_Number,""), "")</f>
        <v>278</v>
      </c>
      <c r="C295" s="299"/>
      <c r="D295" s="298">
        <f>IFERROR(IF(Loan_Not_Paid*Values_Entered,Beginning_Balance,""), "")</f>
        <v>72065412.777889431</v>
      </c>
      <c r="E295" s="298">
        <f>IFERROR(IF(Loan_Not_Paid*Values_Entered,Monthly_Payment,""), "")</f>
        <v>1003642.7600902505</v>
      </c>
      <c r="F295" s="298">
        <f>IFERROR(IF(Loan_Not_Paid*Values_Entered,Principal,""), "")</f>
        <v>748411.08983520034</v>
      </c>
      <c r="G295" s="298">
        <f>IFERROR(IF(Loan_Not_Paid*Values_Entered,Interest,""), "")</f>
        <v>255231.67025505009</v>
      </c>
      <c r="H295" s="298">
        <f>IFERROR(IF(Loan_Not_Paid*Values_Entered,Ending_Balance,""), "")</f>
        <v>71317001.688054025</v>
      </c>
    </row>
    <row r="296" spans="2:8">
      <c r="B296" s="300">
        <f>IFERROR(IF(Loan_Not_Paid*Values_Entered,Payment_Number,""), "")</f>
        <v>279</v>
      </c>
      <c r="C296" s="299"/>
      <c r="D296" s="298">
        <f>IFERROR(IF(Loan_Not_Paid*Values_Entered,Beginning_Balance,""), "")</f>
        <v>71317001.688054025</v>
      </c>
      <c r="E296" s="298">
        <f>IFERROR(IF(Loan_Not_Paid*Values_Entered,Monthly_Payment,""), "")</f>
        <v>1003642.7600902505</v>
      </c>
      <c r="F296" s="298">
        <f>IFERROR(IF(Loan_Not_Paid*Values_Entered,Principal,""), "")</f>
        <v>751061.71244503336</v>
      </c>
      <c r="G296" s="298">
        <f>IFERROR(IF(Loan_Not_Paid*Values_Entered,Interest,""), "")</f>
        <v>252581.0476452171</v>
      </c>
      <c r="H296" s="298">
        <f>IFERROR(IF(Loan_Not_Paid*Values_Entered,Ending_Balance,""), "")</f>
        <v>70565939.975609064</v>
      </c>
    </row>
    <row r="297" spans="2:8">
      <c r="B297" s="300">
        <f>IFERROR(IF(Loan_Not_Paid*Values_Entered,Payment_Number,""), "")</f>
        <v>280</v>
      </c>
      <c r="C297" s="299"/>
      <c r="D297" s="298">
        <f>IFERROR(IF(Loan_Not_Paid*Values_Entered,Beginning_Balance,""), "")</f>
        <v>70565939.975609064</v>
      </c>
      <c r="E297" s="298">
        <f>IFERROR(IF(Loan_Not_Paid*Values_Entered,Monthly_Payment,""), "")</f>
        <v>1003642.7600902505</v>
      </c>
      <c r="F297" s="298">
        <f>IFERROR(IF(Loan_Not_Paid*Values_Entered,Principal,""), "")</f>
        <v>753721.72267660953</v>
      </c>
      <c r="G297" s="298">
        <f>IFERROR(IF(Loan_Not_Paid*Values_Entered,Interest,""), "")</f>
        <v>249921.03741364094</v>
      </c>
      <c r="H297" s="298">
        <f>IFERROR(IF(Loan_Not_Paid*Values_Entered,Ending_Balance,""), "")</f>
        <v>69812218.252932489</v>
      </c>
    </row>
    <row r="298" spans="2:8">
      <c r="B298" s="300">
        <f>IFERROR(IF(Loan_Not_Paid*Values_Entered,Payment_Number,""), "")</f>
        <v>281</v>
      </c>
      <c r="C298" s="299"/>
      <c r="D298" s="298">
        <f>IFERROR(IF(Loan_Not_Paid*Values_Entered,Beginning_Balance,""), "")</f>
        <v>69812218.252932489</v>
      </c>
      <c r="E298" s="298">
        <f>IFERROR(IF(Loan_Not_Paid*Values_Entered,Monthly_Payment,""), "")</f>
        <v>1003642.7600902505</v>
      </c>
      <c r="F298" s="298">
        <f>IFERROR(IF(Loan_Not_Paid*Values_Entered,Principal,""), "")</f>
        <v>756391.15377775591</v>
      </c>
      <c r="G298" s="298">
        <f>IFERROR(IF(Loan_Not_Paid*Values_Entered,Interest,""), "")</f>
        <v>247251.60631249464</v>
      </c>
      <c r="H298" s="298">
        <f>IFERROR(IF(Loan_Not_Paid*Values_Entered,Ending_Balance,""), "")</f>
        <v>69055827.099154592</v>
      </c>
    </row>
    <row r="299" spans="2:8">
      <c r="B299" s="300">
        <f>IFERROR(IF(Loan_Not_Paid*Values_Entered,Payment_Number,""), "")</f>
        <v>282</v>
      </c>
      <c r="C299" s="299"/>
      <c r="D299" s="298">
        <f>IFERROR(IF(Loan_Not_Paid*Values_Entered,Beginning_Balance,""), "")</f>
        <v>69055827.099154592</v>
      </c>
      <c r="E299" s="298">
        <f>IFERROR(IF(Loan_Not_Paid*Values_Entered,Monthly_Payment,""), "")</f>
        <v>1003642.7600902505</v>
      </c>
      <c r="F299" s="298">
        <f>IFERROR(IF(Loan_Not_Paid*Values_Entered,Principal,""), "")</f>
        <v>759070.03911405208</v>
      </c>
      <c r="G299" s="298">
        <f>IFERROR(IF(Loan_Not_Paid*Values_Entered,Interest,""), "")</f>
        <v>244572.72097619838</v>
      </c>
      <c r="H299" s="298">
        <f>IFERROR(IF(Loan_Not_Paid*Values_Entered,Ending_Balance,""), "")</f>
        <v>68296757.060040474</v>
      </c>
    </row>
    <row r="300" spans="2:8">
      <c r="B300" s="300">
        <f>IFERROR(IF(Loan_Not_Paid*Values_Entered,Payment_Number,""), "")</f>
        <v>283</v>
      </c>
      <c r="C300" s="299"/>
      <c r="D300" s="298">
        <f>IFERROR(IF(Loan_Not_Paid*Values_Entered,Beginning_Balance,""), "")</f>
        <v>68296757.060040474</v>
      </c>
      <c r="E300" s="298">
        <f>IFERROR(IF(Loan_Not_Paid*Values_Entered,Monthly_Payment,""), "")</f>
        <v>1003642.7600902505</v>
      </c>
      <c r="F300" s="298">
        <f>IFERROR(IF(Loan_Not_Paid*Values_Entered,Principal,""), "")</f>
        <v>761758.41216924775</v>
      </c>
      <c r="G300" s="298">
        <f>IFERROR(IF(Loan_Not_Paid*Values_Entered,Interest,""), "")</f>
        <v>241884.34792100283</v>
      </c>
      <c r="H300" s="298">
        <f>IFERROR(IF(Loan_Not_Paid*Values_Entered,Ending_Balance,""), "")</f>
        <v>67534998.647871196</v>
      </c>
    </row>
    <row r="301" spans="2:8">
      <c r="B301" s="300">
        <f>IFERROR(IF(Loan_Not_Paid*Values_Entered,Payment_Number,""), "")</f>
        <v>284</v>
      </c>
      <c r="C301" s="299"/>
      <c r="D301" s="298">
        <f>IFERROR(IF(Loan_Not_Paid*Values_Entered,Beginning_Balance,""), "")</f>
        <v>67534998.647871196</v>
      </c>
      <c r="E301" s="298">
        <f>IFERROR(IF(Loan_Not_Paid*Values_Entered,Monthly_Payment,""), "")</f>
        <v>1003642.7600902505</v>
      </c>
      <c r="F301" s="298">
        <f>IFERROR(IF(Loan_Not_Paid*Values_Entered,Principal,""), "")</f>
        <v>764456.30654568051</v>
      </c>
      <c r="G301" s="298">
        <f>IFERROR(IF(Loan_Not_Paid*Values_Entered,Interest,""), "")</f>
        <v>239186.45354457007</v>
      </c>
      <c r="H301" s="298">
        <f>IFERROR(IF(Loan_Not_Paid*Values_Entered,Ending_Balance,""), "")</f>
        <v>66770542.341325402</v>
      </c>
    </row>
    <row r="302" spans="2:8">
      <c r="B302" s="300">
        <f>IFERROR(IF(Loan_Not_Paid*Values_Entered,Payment_Number,""), "")</f>
        <v>285</v>
      </c>
      <c r="C302" s="299"/>
      <c r="D302" s="298">
        <f>IFERROR(IF(Loan_Not_Paid*Values_Entered,Beginning_Balance,""), "")</f>
        <v>66770542.341325402</v>
      </c>
      <c r="E302" s="298">
        <f>IFERROR(IF(Loan_Not_Paid*Values_Entered,Monthly_Payment,""), "")</f>
        <v>1003642.7600902505</v>
      </c>
      <c r="F302" s="298">
        <f>IFERROR(IF(Loan_Not_Paid*Values_Entered,Principal,""), "")</f>
        <v>767163.75596469641</v>
      </c>
      <c r="G302" s="298">
        <f>IFERROR(IF(Loan_Not_Paid*Values_Entered,Interest,""), "")</f>
        <v>236479.00412555411</v>
      </c>
      <c r="H302" s="298">
        <f>IFERROR(IF(Loan_Not_Paid*Values_Entered,Ending_Balance,""), "")</f>
        <v>66003378.585360765</v>
      </c>
    </row>
    <row r="303" spans="2:8">
      <c r="B303" s="300">
        <f>IFERROR(IF(Loan_Not_Paid*Values_Entered,Payment_Number,""), "")</f>
        <v>286</v>
      </c>
      <c r="C303" s="299"/>
      <c r="D303" s="298">
        <f>IFERROR(IF(Loan_Not_Paid*Values_Entered,Beginning_Balance,""), "")</f>
        <v>66003378.585360765</v>
      </c>
      <c r="E303" s="298">
        <f>IFERROR(IF(Loan_Not_Paid*Values_Entered,Monthly_Payment,""), "")</f>
        <v>1003642.7600902505</v>
      </c>
      <c r="F303" s="298">
        <f>IFERROR(IF(Loan_Not_Paid*Values_Entered,Principal,""), "")</f>
        <v>769880.79426707141</v>
      </c>
      <c r="G303" s="298">
        <f>IFERROR(IF(Loan_Not_Paid*Values_Entered,Interest,""), "")</f>
        <v>233761.96582317911</v>
      </c>
      <c r="H303" s="298">
        <f>IFERROR(IF(Loan_Not_Paid*Values_Entered,Ending_Balance,""), "")</f>
        <v>65233497.791093647</v>
      </c>
    </row>
    <row r="304" spans="2:8">
      <c r="B304" s="300">
        <f>IFERROR(IF(Loan_Not_Paid*Values_Entered,Payment_Number,""), "")</f>
        <v>287</v>
      </c>
      <c r="C304" s="299"/>
      <c r="D304" s="298">
        <f>IFERROR(IF(Loan_Not_Paid*Values_Entered,Beginning_Balance,""), "")</f>
        <v>65233497.791093647</v>
      </c>
      <c r="E304" s="298">
        <f>IFERROR(IF(Loan_Not_Paid*Values_Entered,Monthly_Payment,""), "")</f>
        <v>1003642.7600902505</v>
      </c>
      <c r="F304" s="298">
        <f>IFERROR(IF(Loan_Not_Paid*Values_Entered,Principal,""), "")</f>
        <v>772607.45541343384</v>
      </c>
      <c r="G304" s="298">
        <f>IFERROR(IF(Loan_Not_Paid*Values_Entered,Interest,""), "")</f>
        <v>231035.3046768166</v>
      </c>
      <c r="H304" s="298">
        <f>IFERROR(IF(Loan_Not_Paid*Values_Entered,Ending_Balance,""), "")</f>
        <v>64460890.335680008</v>
      </c>
    </row>
    <row r="305" spans="2:8">
      <c r="B305" s="300">
        <f>IFERROR(IF(Loan_Not_Paid*Values_Entered,Payment_Number,""), "")</f>
        <v>288</v>
      </c>
      <c r="C305" s="299"/>
      <c r="D305" s="298">
        <f>IFERROR(IF(Loan_Not_Paid*Values_Entered,Beginning_Balance,""), "")</f>
        <v>64460890.335680008</v>
      </c>
      <c r="E305" s="298">
        <f>IFERROR(IF(Loan_Not_Paid*Values_Entered,Monthly_Payment,""), "")</f>
        <v>1003642.7600902505</v>
      </c>
      <c r="F305" s="298">
        <f>IFERROR(IF(Loan_Not_Paid*Values_Entered,Principal,""), "")</f>
        <v>775343.77348468988</v>
      </c>
      <c r="G305" s="298">
        <f>IFERROR(IF(Loan_Not_Paid*Values_Entered,Interest,""), "")</f>
        <v>228298.9866055607</v>
      </c>
      <c r="H305" s="298">
        <f>IFERROR(IF(Loan_Not_Paid*Values_Entered,Ending_Balance,""), "")</f>
        <v>63685546.56219542</v>
      </c>
    </row>
    <row r="306" spans="2:8">
      <c r="B306" s="300">
        <f>IFERROR(IF(Loan_Not_Paid*Values_Entered,Payment_Number,""), "")</f>
        <v>289</v>
      </c>
      <c r="C306" s="299"/>
      <c r="D306" s="298">
        <f>IFERROR(IF(Loan_Not_Paid*Values_Entered,Beginning_Balance,""), "")</f>
        <v>63685546.56219542</v>
      </c>
      <c r="E306" s="298">
        <f>IFERROR(IF(Loan_Not_Paid*Values_Entered,Monthly_Payment,""), "")</f>
        <v>1003642.7600902505</v>
      </c>
      <c r="F306" s="298">
        <f>IFERROR(IF(Loan_Not_Paid*Values_Entered,Principal,""), "")</f>
        <v>778089.78268244804</v>
      </c>
      <c r="G306" s="298">
        <f>IFERROR(IF(Loan_Not_Paid*Values_Entered,Interest,""), "")</f>
        <v>225552.97740780239</v>
      </c>
      <c r="H306" s="298">
        <f>IFERROR(IF(Loan_Not_Paid*Values_Entered,Ending_Balance,""), "")</f>
        <v>62907456.779512882</v>
      </c>
    </row>
    <row r="307" spans="2:8">
      <c r="B307" s="300">
        <f>IFERROR(IF(Loan_Not_Paid*Values_Entered,Payment_Number,""), "")</f>
        <v>290</v>
      </c>
      <c r="C307" s="299"/>
      <c r="D307" s="298">
        <f>IFERROR(IF(Loan_Not_Paid*Values_Entered,Beginning_Balance,""), "")</f>
        <v>62907456.779512882</v>
      </c>
      <c r="E307" s="298">
        <f>IFERROR(IF(Loan_Not_Paid*Values_Entered,Monthly_Payment,""), "")</f>
        <v>1003642.7600902505</v>
      </c>
      <c r="F307" s="298">
        <f>IFERROR(IF(Loan_Not_Paid*Values_Entered,Principal,""), "")</f>
        <v>780845.51732944848</v>
      </c>
      <c r="G307" s="298">
        <f>IFERROR(IF(Loan_Not_Paid*Values_Entered,Interest,""), "")</f>
        <v>222797.2427608021</v>
      </c>
      <c r="H307" s="298">
        <f>IFERROR(IF(Loan_Not_Paid*Values_Entered,Ending_Balance,""), "")</f>
        <v>62126611.262183368</v>
      </c>
    </row>
    <row r="308" spans="2:8">
      <c r="B308" s="300">
        <f>IFERROR(IF(Loan_Not_Paid*Values_Entered,Payment_Number,""), "")</f>
        <v>291</v>
      </c>
      <c r="C308" s="299"/>
      <c r="D308" s="298">
        <f>IFERROR(IF(Loan_Not_Paid*Values_Entered,Beginning_Balance,""), "")</f>
        <v>62126611.262183368</v>
      </c>
      <c r="E308" s="298">
        <f>IFERROR(IF(Loan_Not_Paid*Values_Entered,Monthly_Payment,""), "")</f>
        <v>1003642.7600902505</v>
      </c>
      <c r="F308" s="298">
        <f>IFERROR(IF(Loan_Not_Paid*Values_Entered,Principal,""), "")</f>
        <v>783611.01186999027</v>
      </c>
      <c r="G308" s="298">
        <f>IFERROR(IF(Loan_Not_Paid*Values_Entered,Interest,""), "")</f>
        <v>220031.74822026028</v>
      </c>
      <c r="H308" s="298">
        <f>IFERROR(IF(Loan_Not_Paid*Values_Entered,Ending_Balance,""), "")</f>
        <v>61343000.250313222</v>
      </c>
    </row>
    <row r="309" spans="2:8">
      <c r="B309" s="300">
        <f>IFERROR(IF(Loan_Not_Paid*Values_Entered,Payment_Number,""), "")</f>
        <v>292</v>
      </c>
      <c r="C309" s="299"/>
      <c r="D309" s="298">
        <f>IFERROR(IF(Loan_Not_Paid*Values_Entered,Beginning_Balance,""), "")</f>
        <v>61343000.250313222</v>
      </c>
      <c r="E309" s="298">
        <f>IFERROR(IF(Loan_Not_Paid*Values_Entered,Monthly_Payment,""), "")</f>
        <v>1003642.7600902505</v>
      </c>
      <c r="F309" s="298">
        <f>IFERROR(IF(Loan_Not_Paid*Values_Entered,Principal,""), "")</f>
        <v>786386.30087036313</v>
      </c>
      <c r="G309" s="298">
        <f>IFERROR(IF(Loan_Not_Paid*Values_Entered,Interest,""), "")</f>
        <v>217256.45921988736</v>
      </c>
      <c r="H309" s="298">
        <f>IFERROR(IF(Loan_Not_Paid*Values_Entered,Ending_Balance,""), "")</f>
        <v>60556613.949442983</v>
      </c>
    </row>
    <row r="310" spans="2:8">
      <c r="B310" s="300">
        <f>IFERROR(IF(Loan_Not_Paid*Values_Entered,Payment_Number,""), "")</f>
        <v>293</v>
      </c>
      <c r="C310" s="299"/>
      <c r="D310" s="298">
        <f>IFERROR(IF(Loan_Not_Paid*Values_Entered,Beginning_Balance,""), "")</f>
        <v>60556613.949442983</v>
      </c>
      <c r="E310" s="298">
        <f>IFERROR(IF(Loan_Not_Paid*Values_Entered,Monthly_Payment,""), "")</f>
        <v>1003642.7600902505</v>
      </c>
      <c r="F310" s="298">
        <f>IFERROR(IF(Loan_Not_Paid*Values_Entered,Principal,""), "")</f>
        <v>789171.41901927895</v>
      </c>
      <c r="G310" s="298">
        <f>IFERROR(IF(Loan_Not_Paid*Values_Entered,Interest,""), "")</f>
        <v>214471.34107097148</v>
      </c>
      <c r="H310" s="298">
        <f>IFERROR(IF(Loan_Not_Paid*Values_Entered,Ending_Balance,""), "")</f>
        <v>59767442.530423522</v>
      </c>
    </row>
    <row r="311" spans="2:8">
      <c r="B311" s="300">
        <f>IFERROR(IF(Loan_Not_Paid*Values_Entered,Payment_Number,""), "")</f>
        <v>294</v>
      </c>
      <c r="C311" s="299"/>
      <c r="D311" s="298">
        <f>IFERROR(IF(Loan_Not_Paid*Values_Entered,Beginning_Balance,""), "")</f>
        <v>59767442.530423522</v>
      </c>
      <c r="E311" s="298">
        <f>IFERROR(IF(Loan_Not_Paid*Values_Entered,Monthly_Payment,""), "")</f>
        <v>1003642.7600902505</v>
      </c>
      <c r="F311" s="298">
        <f>IFERROR(IF(Loan_Not_Paid*Values_Entered,Principal,""), "")</f>
        <v>791966.40112830559</v>
      </c>
      <c r="G311" s="298">
        <f>IFERROR(IF(Loan_Not_Paid*Values_Entered,Interest,""), "")</f>
        <v>211676.35896194488</v>
      </c>
      <c r="H311" s="298">
        <f>IFERROR(IF(Loan_Not_Paid*Values_Entered,Ending_Balance,""), "")</f>
        <v>58975476.12929523</v>
      </c>
    </row>
    <row r="312" spans="2:8">
      <c r="B312" s="300">
        <f>IFERROR(IF(Loan_Not_Paid*Values_Entered,Payment_Number,""), "")</f>
        <v>295</v>
      </c>
      <c r="C312" s="299"/>
      <c r="D312" s="298">
        <f>IFERROR(IF(Loan_Not_Paid*Values_Entered,Beginning_Balance,""), "")</f>
        <v>58975476.12929523</v>
      </c>
      <c r="E312" s="298">
        <f>IFERROR(IF(Loan_Not_Paid*Values_Entered,Monthly_Payment,""), "")</f>
        <v>1003642.7600902505</v>
      </c>
      <c r="F312" s="298">
        <f>IFERROR(IF(Loan_Not_Paid*Values_Entered,Principal,""), "")</f>
        <v>794771.28213230171</v>
      </c>
      <c r="G312" s="298">
        <f>IFERROR(IF(Loan_Not_Paid*Values_Entered,Interest,""), "")</f>
        <v>208871.47795794884</v>
      </c>
      <c r="H312" s="298">
        <f>IFERROR(IF(Loan_Not_Paid*Values_Entered,Ending_Balance,""), "")</f>
        <v>58180704.847162843</v>
      </c>
    </row>
    <row r="313" spans="2:8">
      <c r="B313" s="300">
        <f>IFERROR(IF(Loan_Not_Paid*Values_Entered,Payment_Number,""), "")</f>
        <v>296</v>
      </c>
      <c r="C313" s="299"/>
      <c r="D313" s="298">
        <f>IFERROR(IF(Loan_Not_Paid*Values_Entered,Beginning_Balance,""), "")</f>
        <v>58180704.847162843</v>
      </c>
      <c r="E313" s="298">
        <f>IFERROR(IF(Loan_Not_Paid*Values_Entered,Monthly_Payment,""), "")</f>
        <v>1003642.7600902505</v>
      </c>
      <c r="F313" s="298">
        <f>IFERROR(IF(Loan_Not_Paid*Values_Entered,Principal,""), "")</f>
        <v>797586.0970898536</v>
      </c>
      <c r="G313" s="298">
        <f>IFERROR(IF(Loan_Not_Paid*Values_Entered,Interest,""), "")</f>
        <v>206056.66300039689</v>
      </c>
      <c r="H313" s="298">
        <f>IFERROR(IF(Loan_Not_Paid*Values_Entered,Ending_Balance,""), "")</f>
        <v>57383118.750072896</v>
      </c>
    </row>
    <row r="314" spans="2:8">
      <c r="B314" s="300">
        <f>IFERROR(IF(Loan_Not_Paid*Values_Entered,Payment_Number,""), "")</f>
        <v>297</v>
      </c>
      <c r="C314" s="299"/>
      <c r="D314" s="298">
        <f>IFERROR(IF(Loan_Not_Paid*Values_Entered,Beginning_Balance,""), "")</f>
        <v>57383118.750072896</v>
      </c>
      <c r="E314" s="298">
        <f>IFERROR(IF(Loan_Not_Paid*Values_Entered,Monthly_Payment,""), "")</f>
        <v>1003642.7600902505</v>
      </c>
      <c r="F314" s="298">
        <f>IFERROR(IF(Loan_Not_Paid*Values_Entered,Principal,""), "")</f>
        <v>800410.88118371344</v>
      </c>
      <c r="G314" s="298">
        <f>IFERROR(IF(Loan_Not_Paid*Values_Entered,Interest,""), "")</f>
        <v>203231.87890653699</v>
      </c>
      <c r="H314" s="298">
        <f>IFERROR(IF(Loan_Not_Paid*Values_Entered,Ending_Balance,""), "")</f>
        <v>56582707.868889153</v>
      </c>
    </row>
    <row r="315" spans="2:8">
      <c r="B315" s="300">
        <f>IFERROR(IF(Loan_Not_Paid*Values_Entered,Payment_Number,""), "")</f>
        <v>298</v>
      </c>
      <c r="C315" s="299"/>
      <c r="D315" s="298">
        <f>IFERROR(IF(Loan_Not_Paid*Values_Entered,Beginning_Balance,""), "")</f>
        <v>56582707.868889153</v>
      </c>
      <c r="E315" s="298">
        <f>IFERROR(IF(Loan_Not_Paid*Values_Entered,Monthly_Payment,""), "")</f>
        <v>1003642.7600902505</v>
      </c>
      <c r="F315" s="298">
        <f>IFERROR(IF(Loan_Not_Paid*Values_Entered,Principal,""), "")</f>
        <v>803245.66972123913</v>
      </c>
      <c r="G315" s="298">
        <f>IFERROR(IF(Loan_Not_Paid*Values_Entered,Interest,""), "")</f>
        <v>200397.09036901136</v>
      </c>
      <c r="H315" s="298">
        <f>IFERROR(IF(Loan_Not_Paid*Values_Entered,Ending_Balance,""), "")</f>
        <v>55779462.199167907</v>
      </c>
    </row>
    <row r="316" spans="2:8">
      <c r="B316" s="300">
        <f>IFERROR(IF(Loan_Not_Paid*Values_Entered,Payment_Number,""), "")</f>
        <v>299</v>
      </c>
      <c r="C316" s="299"/>
      <c r="D316" s="298">
        <f>IFERROR(IF(Loan_Not_Paid*Values_Entered,Beginning_Balance,""), "")</f>
        <v>55779462.199167907</v>
      </c>
      <c r="E316" s="298">
        <f>IFERROR(IF(Loan_Not_Paid*Values_Entered,Monthly_Payment,""), "")</f>
        <v>1003642.7600902505</v>
      </c>
      <c r="F316" s="298">
        <f>IFERROR(IF(Loan_Not_Paid*Values_Entered,Principal,""), "")</f>
        <v>806090.49813483516</v>
      </c>
      <c r="G316" s="298">
        <f>IFERROR(IF(Loan_Not_Paid*Values_Entered,Interest,""), "")</f>
        <v>197552.26195541534</v>
      </c>
      <c r="H316" s="298">
        <f>IFERROR(IF(Loan_Not_Paid*Values_Entered,Ending_Balance,""), "")</f>
        <v>54973371.701032937</v>
      </c>
    </row>
    <row r="317" spans="2:8">
      <c r="B317" s="300">
        <f>IFERROR(IF(Loan_Not_Paid*Values_Entered,Payment_Number,""), "")</f>
        <v>300</v>
      </c>
      <c r="C317" s="299"/>
      <c r="D317" s="298">
        <f>IFERROR(IF(Loan_Not_Paid*Values_Entered,Beginning_Balance,""), "")</f>
        <v>54973371.701032937</v>
      </c>
      <c r="E317" s="298">
        <f>IFERROR(IF(Loan_Not_Paid*Values_Entered,Monthly_Payment,""), "")</f>
        <v>1003642.7600902505</v>
      </c>
      <c r="F317" s="298">
        <f>IFERROR(IF(Loan_Not_Paid*Values_Entered,Principal,""), "")</f>
        <v>808945.40198239603</v>
      </c>
      <c r="G317" s="298">
        <f>IFERROR(IF(Loan_Not_Paid*Values_Entered,Interest,""), "")</f>
        <v>194697.35810785444</v>
      </c>
      <c r="H317" s="298">
        <f>IFERROR(IF(Loan_Not_Paid*Values_Entered,Ending_Balance,""), "")</f>
        <v>54164426.29905051</v>
      </c>
    </row>
    <row r="318" spans="2:8">
      <c r="B318" s="300">
        <f>IFERROR(IF(Loan_Not_Paid*Values_Entered,Payment_Number,""), "")</f>
        <v>301</v>
      </c>
      <c r="C318" s="299"/>
      <c r="D318" s="298">
        <f>IFERROR(IF(Loan_Not_Paid*Values_Entered,Beginning_Balance,""), "")</f>
        <v>54164426.29905051</v>
      </c>
      <c r="E318" s="298">
        <f>IFERROR(IF(Loan_Not_Paid*Values_Entered,Monthly_Payment,""), "")</f>
        <v>1003642.7600902505</v>
      </c>
      <c r="F318" s="298">
        <f>IFERROR(IF(Loan_Not_Paid*Values_Entered,Principal,""), "")</f>
        <v>811810.41694775037</v>
      </c>
      <c r="G318" s="298">
        <f>IFERROR(IF(Loan_Not_Paid*Values_Entered,Interest,""), "")</f>
        <v>191832.34314250012</v>
      </c>
      <c r="H318" s="298">
        <f>IFERROR(IF(Loan_Not_Paid*Values_Entered,Ending_Balance,""), "")</f>
        <v>53352615.882102609</v>
      </c>
    </row>
    <row r="319" spans="2:8">
      <c r="B319" s="300">
        <f>IFERROR(IF(Loan_Not_Paid*Values_Entered,Payment_Number,""), "")</f>
        <v>302</v>
      </c>
      <c r="C319" s="299"/>
      <c r="D319" s="298">
        <f>IFERROR(IF(Loan_Not_Paid*Values_Entered,Beginning_Balance,""), "")</f>
        <v>53352615.882102609</v>
      </c>
      <c r="E319" s="298">
        <f>IFERROR(IF(Loan_Not_Paid*Values_Entered,Monthly_Payment,""), "")</f>
        <v>1003642.7600902505</v>
      </c>
      <c r="F319" s="298">
        <f>IFERROR(IF(Loan_Not_Paid*Values_Entered,Principal,""), "")</f>
        <v>814685.57884110697</v>
      </c>
      <c r="G319" s="298">
        <f>IFERROR(IF(Loan_Not_Paid*Values_Entered,Interest,""), "")</f>
        <v>188957.18124914353</v>
      </c>
      <c r="H319" s="298">
        <f>IFERROR(IF(Loan_Not_Paid*Values_Entered,Ending_Balance,""), "")</f>
        <v>52537930.303261518</v>
      </c>
    </row>
    <row r="320" spans="2:8">
      <c r="B320" s="300">
        <f>IFERROR(IF(Loan_Not_Paid*Values_Entered,Payment_Number,""), "")</f>
        <v>303</v>
      </c>
      <c r="C320" s="299"/>
      <c r="D320" s="298">
        <f>IFERROR(IF(Loan_Not_Paid*Values_Entered,Beginning_Balance,""), "")</f>
        <v>52537930.303261518</v>
      </c>
      <c r="E320" s="298">
        <f>IFERROR(IF(Loan_Not_Paid*Values_Entered,Monthly_Payment,""), "")</f>
        <v>1003642.7600902505</v>
      </c>
      <c r="F320" s="298">
        <f>IFERROR(IF(Loan_Not_Paid*Values_Entered,Principal,""), "")</f>
        <v>817570.92359950265</v>
      </c>
      <c r="G320" s="298">
        <f>IFERROR(IF(Loan_Not_Paid*Values_Entered,Interest,""), "")</f>
        <v>186071.8364907479</v>
      </c>
      <c r="H320" s="298">
        <f>IFERROR(IF(Loan_Not_Paid*Values_Entered,Ending_Balance,""), "")</f>
        <v>51720359.379662037</v>
      </c>
    </row>
    <row r="321" spans="2:8">
      <c r="B321" s="300">
        <f>IFERROR(IF(Loan_Not_Paid*Values_Entered,Payment_Number,""), "")</f>
        <v>304</v>
      </c>
      <c r="C321" s="299"/>
      <c r="D321" s="298">
        <f>IFERROR(IF(Loan_Not_Paid*Values_Entered,Beginning_Balance,""), "")</f>
        <v>51720359.379662037</v>
      </c>
      <c r="E321" s="298">
        <f>IFERROR(IF(Loan_Not_Paid*Values_Entered,Monthly_Payment,""), "")</f>
        <v>1003642.7600902505</v>
      </c>
      <c r="F321" s="298">
        <f>IFERROR(IF(Loan_Not_Paid*Values_Entered,Principal,""), "")</f>
        <v>820466.48728725081</v>
      </c>
      <c r="G321" s="298">
        <f>IFERROR(IF(Loan_Not_Paid*Values_Entered,Interest,""), "")</f>
        <v>183176.27280299968</v>
      </c>
      <c r="H321" s="298">
        <f>IFERROR(IF(Loan_Not_Paid*Values_Entered,Ending_Balance,""), "")</f>
        <v>50899892.892374635</v>
      </c>
    </row>
    <row r="322" spans="2:8">
      <c r="B322" s="300">
        <f>IFERROR(IF(Loan_Not_Paid*Values_Entered,Payment_Number,""), "")</f>
        <v>305</v>
      </c>
      <c r="C322" s="299"/>
      <c r="D322" s="298">
        <f>IFERROR(IF(Loan_Not_Paid*Values_Entered,Beginning_Balance,""), "")</f>
        <v>50899892.892374635</v>
      </c>
      <c r="E322" s="298">
        <f>IFERROR(IF(Loan_Not_Paid*Values_Entered,Monthly_Payment,""), "")</f>
        <v>1003642.7600902505</v>
      </c>
      <c r="F322" s="298">
        <f>IFERROR(IF(Loan_Not_Paid*Values_Entered,Principal,""), "")</f>
        <v>823372.30609639327</v>
      </c>
      <c r="G322" s="298">
        <f>IFERROR(IF(Loan_Not_Paid*Values_Entered,Interest,""), "")</f>
        <v>180270.45399385731</v>
      </c>
      <c r="H322" s="298">
        <f>IFERROR(IF(Loan_Not_Paid*Values_Entered,Ending_Balance,""), "")</f>
        <v>50076520.5862782</v>
      </c>
    </row>
    <row r="323" spans="2:8">
      <c r="B323" s="300">
        <f>IFERROR(IF(Loan_Not_Paid*Values_Entered,Payment_Number,""), "")</f>
        <v>306</v>
      </c>
      <c r="C323" s="299"/>
      <c r="D323" s="298">
        <f>IFERROR(IF(Loan_Not_Paid*Values_Entered,Beginning_Balance,""), "")</f>
        <v>50076520.5862782</v>
      </c>
      <c r="E323" s="298">
        <f>IFERROR(IF(Loan_Not_Paid*Values_Entered,Monthly_Payment,""), "")</f>
        <v>1003642.7600902505</v>
      </c>
      <c r="F323" s="298">
        <f>IFERROR(IF(Loan_Not_Paid*Values_Entered,Principal,""), "")</f>
        <v>826288.41634715127</v>
      </c>
      <c r="G323" s="298">
        <f>IFERROR(IF(Loan_Not_Paid*Values_Entered,Interest,""), "")</f>
        <v>177354.34374309925</v>
      </c>
      <c r="H323" s="298">
        <f>IFERROR(IF(Loan_Not_Paid*Values_Entered,Ending_Balance,""), "")</f>
        <v>49250232.169931054</v>
      </c>
    </row>
    <row r="324" spans="2:8">
      <c r="B324" s="300">
        <f>IFERROR(IF(Loan_Not_Paid*Values_Entered,Payment_Number,""), "")</f>
        <v>307</v>
      </c>
      <c r="C324" s="299"/>
      <c r="D324" s="298">
        <f>IFERROR(IF(Loan_Not_Paid*Values_Entered,Beginning_Balance,""), "")</f>
        <v>49250232.169931054</v>
      </c>
      <c r="E324" s="298">
        <f>IFERROR(IF(Loan_Not_Paid*Values_Entered,Monthly_Payment,""), "")</f>
        <v>1003642.7600902505</v>
      </c>
      <c r="F324" s="298">
        <f>IFERROR(IF(Loan_Not_Paid*Values_Entered,Principal,""), "")</f>
        <v>829214.85448838072</v>
      </c>
      <c r="G324" s="298">
        <f>IFERROR(IF(Loan_Not_Paid*Values_Entered,Interest,""), "")</f>
        <v>174427.90560186974</v>
      </c>
      <c r="H324" s="298">
        <f>IFERROR(IF(Loan_Not_Paid*Values_Entered,Ending_Balance,""), "")</f>
        <v>48421017.315442681</v>
      </c>
    </row>
    <row r="325" spans="2:8">
      <c r="B325" s="300">
        <f>IFERROR(IF(Loan_Not_Paid*Values_Entered,Payment_Number,""), "")</f>
        <v>308</v>
      </c>
      <c r="C325" s="299"/>
      <c r="D325" s="298">
        <f>IFERROR(IF(Loan_Not_Paid*Values_Entered,Beginning_Balance,""), "")</f>
        <v>48421017.315442681</v>
      </c>
      <c r="E325" s="298">
        <f>IFERROR(IF(Loan_Not_Paid*Values_Entered,Monthly_Payment,""), "")</f>
        <v>1003642.7600902505</v>
      </c>
      <c r="F325" s="298">
        <f>IFERROR(IF(Loan_Not_Paid*Values_Entered,Principal,""), "")</f>
        <v>832151.65709802718</v>
      </c>
      <c r="G325" s="298">
        <f>IFERROR(IF(Loan_Not_Paid*Values_Entered,Interest,""), "")</f>
        <v>171491.1029922234</v>
      </c>
      <c r="H325" s="298">
        <f>IFERROR(IF(Loan_Not_Paid*Values_Entered,Ending_Balance,""), "")</f>
        <v>47588865.658344507</v>
      </c>
    </row>
    <row r="326" spans="2:8">
      <c r="B326" s="300">
        <f>IFERROR(IF(Loan_Not_Paid*Values_Entered,Payment_Number,""), "")</f>
        <v>309</v>
      </c>
      <c r="C326" s="299"/>
      <c r="D326" s="298">
        <f>IFERROR(IF(Loan_Not_Paid*Values_Entered,Beginning_Balance,""), "")</f>
        <v>47588865.658344507</v>
      </c>
      <c r="E326" s="298">
        <f>IFERROR(IF(Loan_Not_Paid*Values_Entered,Monthly_Payment,""), "")</f>
        <v>1003642.7600902505</v>
      </c>
      <c r="F326" s="298">
        <f>IFERROR(IF(Loan_Not_Paid*Values_Entered,Principal,""), "")</f>
        <v>835098.86088358262</v>
      </c>
      <c r="G326" s="298">
        <f>IFERROR(IF(Loan_Not_Paid*Values_Entered,Interest,""), "")</f>
        <v>168543.89920666791</v>
      </c>
      <c r="H326" s="298">
        <f>IFERROR(IF(Loan_Not_Paid*Values_Entered,Ending_Balance,""), "")</f>
        <v>46753766.797460914</v>
      </c>
    </row>
    <row r="327" spans="2:8">
      <c r="B327" s="300">
        <f>IFERROR(IF(Loan_Not_Paid*Values_Entered,Payment_Number,""), "")</f>
        <v>310</v>
      </c>
      <c r="C327" s="299"/>
      <c r="D327" s="298">
        <f>IFERROR(IF(Loan_Not_Paid*Values_Entered,Beginning_Balance,""), "")</f>
        <v>46753766.797460914</v>
      </c>
      <c r="E327" s="298">
        <f>IFERROR(IF(Loan_Not_Paid*Values_Entered,Monthly_Payment,""), "")</f>
        <v>1003642.7600902505</v>
      </c>
      <c r="F327" s="298">
        <f>IFERROR(IF(Loan_Not_Paid*Values_Entered,Principal,""), "")</f>
        <v>838056.50268254522</v>
      </c>
      <c r="G327" s="298">
        <f>IFERROR(IF(Loan_Not_Paid*Values_Entered,Interest,""), "")</f>
        <v>165586.25740770518</v>
      </c>
      <c r="H327" s="298">
        <f>IFERROR(IF(Loan_Not_Paid*Values_Entered,Ending_Balance,""), "")</f>
        <v>45915710.294778109</v>
      </c>
    </row>
    <row r="328" spans="2:8">
      <c r="B328" s="300">
        <f>IFERROR(IF(Loan_Not_Paid*Values_Entered,Payment_Number,""), "")</f>
        <v>311</v>
      </c>
      <c r="C328" s="299"/>
      <c r="D328" s="298">
        <f>IFERROR(IF(Loan_Not_Paid*Values_Entered,Beginning_Balance,""), "")</f>
        <v>45915710.294778109</v>
      </c>
      <c r="E328" s="298">
        <f>IFERROR(IF(Loan_Not_Paid*Values_Entered,Monthly_Payment,""), "")</f>
        <v>1003642.7600902505</v>
      </c>
      <c r="F328" s="298">
        <f>IFERROR(IF(Loan_Not_Paid*Values_Entered,Principal,""), "")</f>
        <v>841024.61946287926</v>
      </c>
      <c r="G328" s="298">
        <f>IFERROR(IF(Loan_Not_Paid*Values_Entered,Interest,""), "")</f>
        <v>162618.14062737118</v>
      </c>
      <c r="H328" s="298">
        <f>IFERROR(IF(Loan_Not_Paid*Values_Entered,Ending_Balance,""), "")</f>
        <v>45074685.675315261</v>
      </c>
    </row>
    <row r="329" spans="2:8">
      <c r="B329" s="300">
        <f>IFERROR(IF(Loan_Not_Paid*Values_Entered,Payment_Number,""), "")</f>
        <v>312</v>
      </c>
      <c r="C329" s="299"/>
      <c r="D329" s="298">
        <f>IFERROR(IF(Loan_Not_Paid*Values_Entered,Beginning_Balance,""), "")</f>
        <v>45074685.675315261</v>
      </c>
      <c r="E329" s="298">
        <f>IFERROR(IF(Loan_Not_Paid*Values_Entered,Monthly_Payment,""), "")</f>
        <v>1003642.7600902505</v>
      </c>
      <c r="F329" s="298">
        <f>IFERROR(IF(Loan_Not_Paid*Values_Entered,Principal,""), "")</f>
        <v>844003.24832347699</v>
      </c>
      <c r="G329" s="298">
        <f>IFERROR(IF(Loan_Not_Paid*Values_Entered,Interest,""), "")</f>
        <v>159639.5117667735</v>
      </c>
      <c r="H329" s="298">
        <f>IFERROR(IF(Loan_Not_Paid*Values_Entered,Ending_Balance,""), "")</f>
        <v>44230682.426991701</v>
      </c>
    </row>
    <row r="330" spans="2:8">
      <c r="B330" s="300">
        <f>IFERROR(IF(Loan_Not_Paid*Values_Entered,Payment_Number,""), "")</f>
        <v>313</v>
      </c>
      <c r="C330" s="299"/>
      <c r="D330" s="298">
        <f>IFERROR(IF(Loan_Not_Paid*Values_Entered,Beginning_Balance,""), "")</f>
        <v>44230682.426991701</v>
      </c>
      <c r="E330" s="298">
        <f>IFERROR(IF(Loan_Not_Paid*Values_Entered,Monthly_Payment,""), "")</f>
        <v>1003642.7600902505</v>
      </c>
      <c r="F330" s="298">
        <f>IFERROR(IF(Loan_Not_Paid*Values_Entered,Principal,""), "")</f>
        <v>846992.4264946226</v>
      </c>
      <c r="G330" s="298">
        <f>IFERROR(IF(Loan_Not_Paid*Values_Entered,Interest,""), "")</f>
        <v>156650.33359562783</v>
      </c>
      <c r="H330" s="298">
        <f>IFERROR(IF(Loan_Not_Paid*Values_Entered,Ending_Balance,""), "")</f>
        <v>43383690.000497103</v>
      </c>
    </row>
    <row r="331" spans="2:8">
      <c r="B331" s="300">
        <f>IFERROR(IF(Loan_Not_Paid*Values_Entered,Payment_Number,""), "")</f>
        <v>314</v>
      </c>
      <c r="C331" s="299"/>
      <c r="D331" s="298">
        <f>IFERROR(IF(Loan_Not_Paid*Values_Entered,Beginning_Balance,""), "")</f>
        <v>43383690.000497103</v>
      </c>
      <c r="E331" s="298">
        <f>IFERROR(IF(Loan_Not_Paid*Values_Entered,Monthly_Payment,""), "")</f>
        <v>1003642.7600902505</v>
      </c>
      <c r="F331" s="298">
        <f>IFERROR(IF(Loan_Not_Paid*Values_Entered,Principal,""), "")</f>
        <v>849992.19133845775</v>
      </c>
      <c r="G331" s="298">
        <f>IFERROR(IF(Loan_Not_Paid*Values_Entered,Interest,""), "")</f>
        <v>153650.56875179271</v>
      </c>
      <c r="H331" s="298">
        <f>IFERROR(IF(Loan_Not_Paid*Values_Entered,Ending_Balance,""), "")</f>
        <v>42533697.809158564</v>
      </c>
    </row>
    <row r="332" spans="2:8">
      <c r="B332" s="300">
        <f>IFERROR(IF(Loan_Not_Paid*Values_Entered,Payment_Number,""), "")</f>
        <v>315</v>
      </c>
      <c r="C332" s="299"/>
      <c r="D332" s="298">
        <f>IFERROR(IF(Loan_Not_Paid*Values_Entered,Beginning_Balance,""), "")</f>
        <v>42533697.809158564</v>
      </c>
      <c r="E332" s="298">
        <f>IFERROR(IF(Loan_Not_Paid*Values_Entered,Monthly_Payment,""), "")</f>
        <v>1003642.7600902505</v>
      </c>
      <c r="F332" s="298">
        <f>IFERROR(IF(Loan_Not_Paid*Values_Entered,Principal,""), "")</f>
        <v>853002.58034944814</v>
      </c>
      <c r="G332" s="298">
        <f>IFERROR(IF(Loan_Not_Paid*Values_Entered,Interest,""), "")</f>
        <v>150640.17974080236</v>
      </c>
      <c r="H332" s="298">
        <f>IFERROR(IF(Loan_Not_Paid*Values_Entered,Ending_Balance,""), "")</f>
        <v>41680695.228808999</v>
      </c>
    </row>
    <row r="333" spans="2:8">
      <c r="B333" s="300">
        <f>IFERROR(IF(Loan_Not_Paid*Values_Entered,Payment_Number,""), "")</f>
        <v>316</v>
      </c>
      <c r="C333" s="299"/>
      <c r="D333" s="298">
        <f>IFERROR(IF(Loan_Not_Paid*Values_Entered,Beginning_Balance,""), "")</f>
        <v>41680695.228808999</v>
      </c>
      <c r="E333" s="298">
        <f>IFERROR(IF(Loan_Not_Paid*Values_Entered,Monthly_Payment,""), "")</f>
        <v>1003642.7600902505</v>
      </c>
      <c r="F333" s="298">
        <f>IFERROR(IF(Loan_Not_Paid*Values_Entered,Principal,""), "")</f>
        <v>856023.63115485245</v>
      </c>
      <c r="G333" s="298">
        <f>IFERROR(IF(Loan_Not_Paid*Values_Entered,Interest,""), "")</f>
        <v>147619.12893539804</v>
      </c>
      <c r="H333" s="298">
        <f>IFERROR(IF(Loan_Not_Paid*Values_Entered,Ending_Balance,""), "")</f>
        <v>40824671.597654104</v>
      </c>
    </row>
    <row r="334" spans="2:8">
      <c r="B334" s="300">
        <f>IFERROR(IF(Loan_Not_Paid*Values_Entered,Payment_Number,""), "")</f>
        <v>317</v>
      </c>
      <c r="C334" s="299"/>
      <c r="D334" s="298">
        <f>IFERROR(IF(Loan_Not_Paid*Values_Entered,Beginning_Balance,""), "")</f>
        <v>40824671.597654104</v>
      </c>
      <c r="E334" s="298">
        <f>IFERROR(IF(Loan_Not_Paid*Values_Entered,Monthly_Payment,""), "")</f>
        <v>1003642.7600902505</v>
      </c>
      <c r="F334" s="298">
        <f>IFERROR(IF(Loan_Not_Paid*Values_Entered,Principal,""), "")</f>
        <v>859055.38151519245</v>
      </c>
      <c r="G334" s="298">
        <f>IFERROR(IF(Loan_Not_Paid*Values_Entered,Interest,""), "")</f>
        <v>144587.37857505796</v>
      </c>
      <c r="H334" s="298">
        <f>IFERROR(IF(Loan_Not_Paid*Values_Entered,Ending_Balance,""), "")</f>
        <v>39965616.21613884</v>
      </c>
    </row>
    <row r="335" spans="2:8">
      <c r="B335" s="300">
        <f>IFERROR(IF(Loan_Not_Paid*Values_Entered,Payment_Number,""), "")</f>
        <v>318</v>
      </c>
      <c r="C335" s="299"/>
      <c r="D335" s="298">
        <f>IFERROR(IF(Loan_Not_Paid*Values_Entered,Beginning_Balance,""), "")</f>
        <v>39965616.21613884</v>
      </c>
      <c r="E335" s="298">
        <f>IFERROR(IF(Loan_Not_Paid*Values_Entered,Monthly_Payment,""), "")</f>
        <v>1003642.7600902505</v>
      </c>
      <c r="F335" s="298">
        <f>IFERROR(IF(Loan_Not_Paid*Values_Entered,Principal,""), "")</f>
        <v>862097.86932472547</v>
      </c>
      <c r="G335" s="298">
        <f>IFERROR(IF(Loan_Not_Paid*Values_Entered,Interest,""), "")</f>
        <v>141544.89076552499</v>
      </c>
      <c r="H335" s="298">
        <f>IFERROR(IF(Loan_Not_Paid*Values_Entered,Ending_Balance,""), "")</f>
        <v>39103518.346814036</v>
      </c>
    </row>
    <row r="336" spans="2:8">
      <c r="B336" s="300">
        <f>IFERROR(IF(Loan_Not_Paid*Values_Entered,Payment_Number,""), "")</f>
        <v>319</v>
      </c>
      <c r="C336" s="299"/>
      <c r="D336" s="298">
        <f>IFERROR(IF(Loan_Not_Paid*Values_Entered,Beginning_Balance,""), "")</f>
        <v>39103518.346814036</v>
      </c>
      <c r="E336" s="298">
        <f>IFERROR(IF(Loan_Not_Paid*Values_Entered,Monthly_Payment,""), "")</f>
        <v>1003642.7600902505</v>
      </c>
      <c r="F336" s="298">
        <f>IFERROR(IF(Loan_Not_Paid*Values_Entered,Principal,""), "")</f>
        <v>865151.13261191722</v>
      </c>
      <c r="G336" s="298">
        <f>IFERROR(IF(Loan_Not_Paid*Values_Entered,Interest,""), "")</f>
        <v>138491.62747833325</v>
      </c>
      <c r="H336" s="298">
        <f>IFERROR(IF(Loan_Not_Paid*Values_Entered,Ending_Balance,""), "")</f>
        <v>38238367.214202046</v>
      </c>
    </row>
    <row r="337" spans="2:8">
      <c r="B337" s="300">
        <f>IFERROR(IF(Loan_Not_Paid*Values_Entered,Payment_Number,""), "")</f>
        <v>320</v>
      </c>
      <c r="C337" s="299"/>
      <c r="D337" s="298">
        <f>IFERROR(IF(Loan_Not_Paid*Values_Entered,Beginning_Balance,""), "")</f>
        <v>38238367.214202046</v>
      </c>
      <c r="E337" s="298">
        <f>IFERROR(IF(Loan_Not_Paid*Values_Entered,Monthly_Payment,""), "")</f>
        <v>1003642.7600902505</v>
      </c>
      <c r="F337" s="298">
        <f>IFERROR(IF(Loan_Not_Paid*Values_Entered,Principal,""), "")</f>
        <v>868215.20953991776</v>
      </c>
      <c r="G337" s="298">
        <f>IFERROR(IF(Loan_Not_Paid*Values_Entered,Interest,""), "")</f>
        <v>135427.5505503327</v>
      </c>
      <c r="H337" s="298">
        <f>IFERROR(IF(Loan_Not_Paid*Values_Entered,Ending_Balance,""), "")</f>
        <v>37370152.004662037</v>
      </c>
    </row>
    <row r="338" spans="2:8">
      <c r="B338" s="300">
        <f>IFERROR(IF(Loan_Not_Paid*Values_Entered,Payment_Number,""), "")</f>
        <v>321</v>
      </c>
      <c r="C338" s="299"/>
      <c r="D338" s="298">
        <f>IFERROR(IF(Loan_Not_Paid*Values_Entered,Beginning_Balance,""), "")</f>
        <v>37370152.004662037</v>
      </c>
      <c r="E338" s="298">
        <f>IFERROR(IF(Loan_Not_Paid*Values_Entered,Monthly_Payment,""), "")</f>
        <v>1003642.7600902505</v>
      </c>
      <c r="F338" s="298">
        <f>IFERROR(IF(Loan_Not_Paid*Values_Entered,Principal,""), "")</f>
        <v>871290.13840703829</v>
      </c>
      <c r="G338" s="298">
        <f>IFERROR(IF(Loan_Not_Paid*Values_Entered,Interest,""), "")</f>
        <v>132352.62168321217</v>
      </c>
      <c r="H338" s="298">
        <f>IFERROR(IF(Loan_Not_Paid*Values_Entered,Ending_Balance,""), "")</f>
        <v>36498861.866254926</v>
      </c>
    </row>
    <row r="339" spans="2:8">
      <c r="B339" s="300">
        <f>IFERROR(IF(Loan_Not_Paid*Values_Entered,Payment_Number,""), "")</f>
        <v>322</v>
      </c>
      <c r="C339" s="299"/>
      <c r="D339" s="298">
        <f>IFERROR(IF(Loan_Not_Paid*Values_Entered,Beginning_Balance,""), "")</f>
        <v>36498861.866254926</v>
      </c>
      <c r="E339" s="298">
        <f>IFERROR(IF(Loan_Not_Paid*Values_Entered,Monthly_Payment,""), "")</f>
        <v>1003642.7600902505</v>
      </c>
      <c r="F339" s="298">
        <f>IFERROR(IF(Loan_Not_Paid*Values_Entered,Principal,""), "")</f>
        <v>874375.95764722989</v>
      </c>
      <c r="G339" s="298">
        <f>IFERROR(IF(Loan_Not_Paid*Values_Entered,Interest,""), "")</f>
        <v>129266.80244302056</v>
      </c>
      <c r="H339" s="298">
        <f>IFERROR(IF(Loan_Not_Paid*Values_Entered,Ending_Balance,""), "")</f>
        <v>35624485.908607721</v>
      </c>
    </row>
    <row r="340" spans="2:8">
      <c r="B340" s="300">
        <f>IFERROR(IF(Loan_Not_Paid*Values_Entered,Payment_Number,""), "")</f>
        <v>323</v>
      </c>
      <c r="C340" s="299"/>
      <c r="D340" s="298">
        <f>IFERROR(IF(Loan_Not_Paid*Values_Entered,Beginning_Balance,""), "")</f>
        <v>35624485.908607721</v>
      </c>
      <c r="E340" s="298">
        <f>IFERROR(IF(Loan_Not_Paid*Values_Entered,Monthly_Payment,""), "")</f>
        <v>1003642.7600902505</v>
      </c>
      <c r="F340" s="298">
        <f>IFERROR(IF(Loan_Not_Paid*Values_Entered,Principal,""), "")</f>
        <v>877472.70583056391</v>
      </c>
      <c r="G340" s="298">
        <f>IFERROR(IF(Loan_Not_Paid*Values_Entered,Interest,""), "")</f>
        <v>126170.05425968666</v>
      </c>
      <c r="H340" s="298">
        <f>IFERROR(IF(Loan_Not_Paid*Values_Entered,Ending_Balance,""), "")</f>
        <v>34747013.202777147</v>
      </c>
    </row>
    <row r="341" spans="2:8">
      <c r="B341" s="300">
        <f>IFERROR(IF(Loan_Not_Paid*Values_Entered,Payment_Number,""), "")</f>
        <v>324</v>
      </c>
      <c r="C341" s="299"/>
      <c r="D341" s="298">
        <f>IFERROR(IF(Loan_Not_Paid*Values_Entered,Beginning_Balance,""), "")</f>
        <v>34747013.202777147</v>
      </c>
      <c r="E341" s="298">
        <f>IFERROR(IF(Loan_Not_Paid*Values_Entered,Monthly_Payment,""), "")</f>
        <v>1003642.7600902505</v>
      </c>
      <c r="F341" s="298">
        <f>IFERROR(IF(Loan_Not_Paid*Values_Entered,Principal,""), "")</f>
        <v>880580.42166371376</v>
      </c>
      <c r="G341" s="298">
        <f>IFERROR(IF(Loan_Not_Paid*Values_Entered,Interest,""), "")</f>
        <v>123062.33842653673</v>
      </c>
      <c r="H341" s="298">
        <f>IFERROR(IF(Loan_Not_Paid*Values_Entered,Ending_Balance,""), "")</f>
        <v>33866432.781113386</v>
      </c>
    </row>
    <row r="342" spans="2:8">
      <c r="B342" s="300">
        <f>IFERROR(IF(Loan_Not_Paid*Values_Entered,Payment_Number,""), "")</f>
        <v>325</v>
      </c>
      <c r="C342" s="299"/>
      <c r="D342" s="298">
        <f>IFERROR(IF(Loan_Not_Paid*Values_Entered,Beginning_Balance,""), "")</f>
        <v>33866432.781113386</v>
      </c>
      <c r="E342" s="298">
        <f>IFERROR(IF(Loan_Not_Paid*Values_Entered,Monthly_Payment,""), "")</f>
        <v>1003642.7600902505</v>
      </c>
      <c r="F342" s="298">
        <f>IFERROR(IF(Loan_Not_Paid*Values_Entered,Principal,""), "")</f>
        <v>883699.14399043936</v>
      </c>
      <c r="G342" s="298">
        <f>IFERROR(IF(Loan_Not_Paid*Values_Entered,Interest,""), "")</f>
        <v>119943.61609981107</v>
      </c>
      <c r="H342" s="298">
        <f>IFERROR(IF(Loan_Not_Paid*Values_Entered,Ending_Balance,""), "")</f>
        <v>32982733.63712275</v>
      </c>
    </row>
    <row r="343" spans="2:8">
      <c r="B343" s="300">
        <f>IFERROR(IF(Loan_Not_Paid*Values_Entered,Payment_Number,""), "")</f>
        <v>326</v>
      </c>
      <c r="C343" s="299"/>
      <c r="D343" s="298">
        <f>IFERROR(IF(Loan_Not_Paid*Values_Entered,Beginning_Balance,""), "")</f>
        <v>32982733.63712275</v>
      </c>
      <c r="E343" s="298">
        <f>IFERROR(IF(Loan_Not_Paid*Values_Entered,Monthly_Payment,""), "")</f>
        <v>1003642.7600902505</v>
      </c>
      <c r="F343" s="298">
        <f>IFERROR(IF(Loan_Not_Paid*Values_Entered,Principal,""), "")</f>
        <v>886828.91179207223</v>
      </c>
      <c r="G343" s="298">
        <f>IFERROR(IF(Loan_Not_Paid*Values_Entered,Interest,""), "")</f>
        <v>116813.84829817824</v>
      </c>
      <c r="H343" s="298">
        <f>IFERROR(IF(Loan_Not_Paid*Values_Entered,Ending_Balance,""), "")</f>
        <v>32095904.72533071</v>
      </c>
    </row>
    <row r="344" spans="2:8">
      <c r="B344" s="300">
        <f>IFERROR(IF(Loan_Not_Paid*Values_Entered,Payment_Number,""), "")</f>
        <v>327</v>
      </c>
      <c r="C344" s="299"/>
      <c r="D344" s="298">
        <f>IFERROR(IF(Loan_Not_Paid*Values_Entered,Beginning_Balance,""), "")</f>
        <v>32095904.72533071</v>
      </c>
      <c r="E344" s="298">
        <f>IFERROR(IF(Loan_Not_Paid*Values_Entered,Monthly_Payment,""), "")</f>
        <v>1003642.7600902505</v>
      </c>
      <c r="F344" s="298">
        <f>IFERROR(IF(Loan_Not_Paid*Values_Entered,Principal,""), "")</f>
        <v>889969.76418800245</v>
      </c>
      <c r="G344" s="298">
        <f>IFERROR(IF(Loan_Not_Paid*Values_Entered,Interest,""), "")</f>
        <v>113672.995902248</v>
      </c>
      <c r="H344" s="298">
        <f>IFERROR(IF(Loan_Not_Paid*Values_Entered,Ending_Balance,""), "")</f>
        <v>31205934.96114254</v>
      </c>
    </row>
    <row r="345" spans="2:8">
      <c r="B345" s="300">
        <f>IFERROR(IF(Loan_Not_Paid*Values_Entered,Payment_Number,""), "")</f>
        <v>328</v>
      </c>
      <c r="C345" s="299"/>
      <c r="D345" s="298">
        <f>IFERROR(IF(Loan_Not_Paid*Values_Entered,Beginning_Balance,""), "")</f>
        <v>31205934.96114254</v>
      </c>
      <c r="E345" s="298">
        <f>IFERROR(IF(Loan_Not_Paid*Values_Entered,Monthly_Payment,""), "")</f>
        <v>1003642.7600902505</v>
      </c>
      <c r="F345" s="298">
        <f>IFERROR(IF(Loan_Not_Paid*Values_Entered,Principal,""), "")</f>
        <v>893121.74043616827</v>
      </c>
      <c r="G345" s="298">
        <f>IFERROR(IF(Loan_Not_Paid*Values_Entered,Interest,""), "")</f>
        <v>110521.01965408216</v>
      </c>
      <c r="H345" s="298">
        <f>IFERROR(IF(Loan_Not_Paid*Values_Entered,Ending_Balance,""), "")</f>
        <v>30312813.220706463</v>
      </c>
    </row>
    <row r="346" spans="2:8">
      <c r="B346" s="300">
        <f>IFERROR(IF(Loan_Not_Paid*Values_Entered,Payment_Number,""), "")</f>
        <v>329</v>
      </c>
      <c r="C346" s="299"/>
      <c r="D346" s="298">
        <f>IFERROR(IF(Loan_Not_Paid*Values_Entered,Beginning_Balance,""), "")</f>
        <v>30312813.220706463</v>
      </c>
      <c r="E346" s="298">
        <f>IFERROR(IF(Loan_Not_Paid*Values_Entered,Monthly_Payment,""), "")</f>
        <v>1003642.7600902505</v>
      </c>
      <c r="F346" s="298">
        <f>IFERROR(IF(Loan_Not_Paid*Values_Entered,Principal,""), "")</f>
        <v>896284.87993354641</v>
      </c>
      <c r="G346" s="298">
        <f>IFERROR(IF(Loan_Not_Paid*Values_Entered,Interest,""), "")</f>
        <v>107357.88015670406</v>
      </c>
      <c r="H346" s="298">
        <f>IFERROR(IF(Loan_Not_Paid*Values_Entered,Ending_Balance,""), "")</f>
        <v>29416528.340772867</v>
      </c>
    </row>
    <row r="347" spans="2:8">
      <c r="B347" s="300">
        <f>IFERROR(IF(Loan_Not_Paid*Values_Entered,Payment_Number,""), "")</f>
        <v>330</v>
      </c>
      <c r="C347" s="299"/>
      <c r="D347" s="298">
        <f>IFERROR(IF(Loan_Not_Paid*Values_Entered,Beginning_Balance,""), "")</f>
        <v>29416528.340772867</v>
      </c>
      <c r="E347" s="298">
        <f>IFERROR(IF(Loan_Not_Paid*Values_Entered,Monthly_Payment,""), "")</f>
        <v>1003642.7600902505</v>
      </c>
      <c r="F347" s="298">
        <f>IFERROR(IF(Loan_Not_Paid*Values_Entered,Principal,""), "")</f>
        <v>899459.22221664432</v>
      </c>
      <c r="G347" s="298">
        <f>IFERROR(IF(Loan_Not_Paid*Values_Entered,Interest,""), "")</f>
        <v>104183.5378736061</v>
      </c>
      <c r="H347" s="298">
        <f>IFERROR(IF(Loan_Not_Paid*Values_Entered,Ending_Balance,""), "")</f>
        <v>28517069.118556142</v>
      </c>
    </row>
    <row r="348" spans="2:8">
      <c r="B348" s="300">
        <f>IFERROR(IF(Loan_Not_Paid*Values_Entered,Payment_Number,""), "")</f>
        <v>331</v>
      </c>
      <c r="C348" s="299"/>
      <c r="D348" s="298">
        <f>IFERROR(IF(Loan_Not_Paid*Values_Entered,Beginning_Balance,""), "")</f>
        <v>28517069.118556142</v>
      </c>
      <c r="E348" s="298">
        <f>IFERROR(IF(Loan_Not_Paid*Values_Entered,Monthly_Payment,""), "")</f>
        <v>1003642.7600902505</v>
      </c>
      <c r="F348" s="298">
        <f>IFERROR(IF(Loan_Not_Paid*Values_Entered,Principal,""), "")</f>
        <v>902644.80696199497</v>
      </c>
      <c r="G348" s="298">
        <f>IFERROR(IF(Loan_Not_Paid*Values_Entered,Interest,""), "")</f>
        <v>100997.95312825545</v>
      </c>
      <c r="H348" s="298">
        <f>IFERROR(IF(Loan_Not_Paid*Values_Entered,Ending_Balance,""), "")</f>
        <v>27614424.311594009</v>
      </c>
    </row>
    <row r="349" spans="2:8">
      <c r="B349" s="300">
        <f>IFERROR(IF(Loan_Not_Paid*Values_Entered,Payment_Number,""), "")</f>
        <v>332</v>
      </c>
      <c r="C349" s="299"/>
      <c r="D349" s="298">
        <f>IFERROR(IF(Loan_Not_Paid*Values_Entered,Beginning_Balance,""), "")</f>
        <v>27614424.311594009</v>
      </c>
      <c r="E349" s="298">
        <f>IFERROR(IF(Loan_Not_Paid*Values_Entered,Monthly_Payment,""), "")</f>
        <v>1003642.7600902505</v>
      </c>
      <c r="F349" s="298">
        <f>IFERROR(IF(Loan_Not_Paid*Values_Entered,Principal,""), "")</f>
        <v>905841.67398665205</v>
      </c>
      <c r="G349" s="298">
        <f>IFERROR(IF(Loan_Not_Paid*Values_Entered,Interest,""), "")</f>
        <v>97801.086103598413</v>
      </c>
      <c r="H349" s="298">
        <f>IFERROR(IF(Loan_Not_Paid*Values_Entered,Ending_Balance,""), "")</f>
        <v>26708582.637607217</v>
      </c>
    </row>
    <row r="350" spans="2:8">
      <c r="B350" s="300">
        <f>IFERROR(IF(Loan_Not_Paid*Values_Entered,Payment_Number,""), "")</f>
        <v>333</v>
      </c>
      <c r="C350" s="299"/>
      <c r="D350" s="298">
        <f>IFERROR(IF(Loan_Not_Paid*Values_Entered,Beginning_Balance,""), "")</f>
        <v>26708582.637607217</v>
      </c>
      <c r="E350" s="298">
        <f>IFERROR(IF(Loan_Not_Paid*Values_Entered,Monthly_Payment,""), "")</f>
        <v>1003642.7600902505</v>
      </c>
      <c r="F350" s="298">
        <f>IFERROR(IF(Loan_Not_Paid*Values_Entered,Principal,""), "")</f>
        <v>909049.86324868817</v>
      </c>
      <c r="G350" s="298">
        <f>IFERROR(IF(Loan_Not_Paid*Values_Entered,Interest,""), "")</f>
        <v>94592.896841562353</v>
      </c>
      <c r="H350" s="298">
        <f>IFERROR(IF(Loan_Not_Paid*Values_Entered,Ending_Balance,""), "")</f>
        <v>25799532.77435863</v>
      </c>
    </row>
    <row r="351" spans="2:8">
      <c r="B351" s="300">
        <f>IFERROR(IF(Loan_Not_Paid*Values_Entered,Payment_Number,""), "")</f>
        <v>334</v>
      </c>
      <c r="C351" s="299"/>
      <c r="D351" s="298">
        <f>IFERROR(IF(Loan_Not_Paid*Values_Entered,Beginning_Balance,""), "")</f>
        <v>25799532.77435863</v>
      </c>
      <c r="E351" s="298">
        <f>IFERROR(IF(Loan_Not_Paid*Values_Entered,Monthly_Payment,""), "")</f>
        <v>1003642.7600902505</v>
      </c>
      <c r="F351" s="298">
        <f>IFERROR(IF(Loan_Not_Paid*Values_Entered,Principal,""), "")</f>
        <v>912269.41484769387</v>
      </c>
      <c r="G351" s="298">
        <f>IFERROR(IF(Loan_Not_Paid*Values_Entered,Interest,""), "")</f>
        <v>91373.345242556592</v>
      </c>
      <c r="H351" s="298">
        <f>IFERROR(IF(Loan_Not_Paid*Values_Entered,Ending_Balance,""), "")</f>
        <v>24887263.359510779</v>
      </c>
    </row>
    <row r="352" spans="2:8">
      <c r="B352" s="300">
        <f>IFERROR(IF(Loan_Not_Paid*Values_Entered,Payment_Number,""), "")</f>
        <v>335</v>
      </c>
      <c r="C352" s="299"/>
      <c r="D352" s="298">
        <f>IFERROR(IF(Loan_Not_Paid*Values_Entered,Beginning_Balance,""), "")</f>
        <v>24887263.359510779</v>
      </c>
      <c r="E352" s="298">
        <f>IFERROR(IF(Loan_Not_Paid*Values_Entered,Monthly_Payment,""), "")</f>
        <v>1003642.7600902505</v>
      </c>
      <c r="F352" s="298">
        <f>IFERROR(IF(Loan_Not_Paid*Values_Entered,Principal,""), "")</f>
        <v>915500.36902527942</v>
      </c>
      <c r="G352" s="298">
        <f>IFERROR(IF(Loan_Not_Paid*Values_Entered,Interest,""), "")</f>
        <v>88142.391064970972</v>
      </c>
      <c r="H352" s="298">
        <f>IFERROR(IF(Loan_Not_Paid*Values_Entered,Ending_Balance,""), "")</f>
        <v>23971762.99048543</v>
      </c>
    </row>
    <row r="353" spans="2:8">
      <c r="B353" s="300">
        <f>IFERROR(IF(Loan_Not_Paid*Values_Entered,Payment_Number,""), "")</f>
        <v>336</v>
      </c>
      <c r="C353" s="299"/>
      <c r="D353" s="298">
        <f>IFERROR(IF(Loan_Not_Paid*Values_Entered,Beginning_Balance,""), "")</f>
        <v>23971762.99048543</v>
      </c>
      <c r="E353" s="298">
        <f>IFERROR(IF(Loan_Not_Paid*Values_Entered,Monthly_Payment,""), "")</f>
        <v>1003642.7600902505</v>
      </c>
      <c r="F353" s="298">
        <f>IFERROR(IF(Loan_Not_Paid*Values_Entered,Principal,""), "")</f>
        <v>918742.76616557746</v>
      </c>
      <c r="G353" s="298">
        <f>IFERROR(IF(Loan_Not_Paid*Values_Entered,Interest,""), "")</f>
        <v>84899.993924673123</v>
      </c>
      <c r="H353" s="298">
        <f>IFERROR(IF(Loan_Not_Paid*Values_Entered,Ending_Balance,""), "")</f>
        <v>23053020.224319816</v>
      </c>
    </row>
    <row r="354" spans="2:8">
      <c r="B354" s="300">
        <f>IFERROR(IF(Loan_Not_Paid*Values_Entered,Payment_Number,""), "")</f>
        <v>337</v>
      </c>
      <c r="C354" s="299"/>
      <c r="D354" s="298">
        <f>IFERROR(IF(Loan_Not_Paid*Values_Entered,Beginning_Balance,""), "")</f>
        <v>23053020.224319816</v>
      </c>
      <c r="E354" s="298">
        <f>IFERROR(IF(Loan_Not_Paid*Values_Entered,Monthly_Payment,""), "")</f>
        <v>1003642.7600902505</v>
      </c>
      <c r="F354" s="298">
        <f>IFERROR(IF(Loan_Not_Paid*Values_Entered,Principal,""), "")</f>
        <v>921996.6467957471</v>
      </c>
      <c r="G354" s="298">
        <f>IFERROR(IF(Loan_Not_Paid*Values_Entered,Interest,""), "")</f>
        <v>81646.113294503375</v>
      </c>
      <c r="H354" s="298">
        <f>IFERROR(IF(Loan_Not_Paid*Values_Entered,Ending_Balance,""), "")</f>
        <v>22131023.577523947</v>
      </c>
    </row>
    <row r="355" spans="2:8">
      <c r="B355" s="300">
        <f>IFERROR(IF(Loan_Not_Paid*Values_Entered,Payment_Number,""), "")</f>
        <v>338</v>
      </c>
      <c r="C355" s="299"/>
      <c r="D355" s="298">
        <f>IFERROR(IF(Loan_Not_Paid*Values_Entered,Beginning_Balance,""), "")</f>
        <v>22131023.577523947</v>
      </c>
      <c r="E355" s="298">
        <f>IFERROR(IF(Loan_Not_Paid*Values_Entered,Monthly_Payment,""), "")</f>
        <v>1003642.7600902505</v>
      </c>
      <c r="F355" s="298">
        <f>IFERROR(IF(Loan_Not_Paid*Values_Entered,Principal,""), "")</f>
        <v>925262.05158648198</v>
      </c>
      <c r="G355" s="298">
        <f>IFERROR(IF(Loan_Not_Paid*Values_Entered,Interest,""), "")</f>
        <v>78380.70850376843</v>
      </c>
      <c r="H355" s="298">
        <f>IFERROR(IF(Loan_Not_Paid*Values_Entered,Ending_Balance,""), "")</f>
        <v>21205761.525937557</v>
      </c>
    </row>
    <row r="356" spans="2:8">
      <c r="B356" s="300">
        <f>IFERROR(IF(Loan_Not_Paid*Values_Entered,Payment_Number,""), "")</f>
        <v>339</v>
      </c>
      <c r="C356" s="299"/>
      <c r="D356" s="298">
        <f>IFERROR(IF(Loan_Not_Paid*Values_Entered,Beginning_Balance,""), "")</f>
        <v>21205761.525937557</v>
      </c>
      <c r="E356" s="298">
        <f>IFERROR(IF(Loan_Not_Paid*Values_Entered,Monthly_Payment,""), "")</f>
        <v>1003642.7600902505</v>
      </c>
      <c r="F356" s="298">
        <f>IFERROR(IF(Loan_Not_Paid*Values_Entered,Principal,""), "")</f>
        <v>928539.02135251753</v>
      </c>
      <c r="G356" s="298">
        <f>IFERROR(IF(Loan_Not_Paid*Values_Entered,Interest,""), "")</f>
        <v>75103.738737732972</v>
      </c>
      <c r="H356" s="298">
        <f>IFERROR(IF(Loan_Not_Paid*Values_Entered,Ending_Balance,""), "")</f>
        <v>20277222.504584789</v>
      </c>
    </row>
    <row r="357" spans="2:8">
      <c r="B357" s="300">
        <f>IFERROR(IF(Loan_Not_Paid*Values_Entered,Payment_Number,""), "")</f>
        <v>340</v>
      </c>
      <c r="C357" s="299"/>
      <c r="D357" s="298">
        <f>IFERROR(IF(Loan_Not_Paid*Values_Entered,Beginning_Balance,""), "")</f>
        <v>20277222.504584789</v>
      </c>
      <c r="E357" s="298">
        <f>IFERROR(IF(Loan_Not_Paid*Values_Entered,Monthly_Payment,""), "")</f>
        <v>1003642.7600902505</v>
      </c>
      <c r="F357" s="298">
        <f>IFERROR(IF(Loan_Not_Paid*Values_Entered,Principal,""), "")</f>
        <v>931827.59705314098</v>
      </c>
      <c r="G357" s="298">
        <f>IFERROR(IF(Loan_Not_Paid*Values_Entered,Interest,""), "")</f>
        <v>71815.16303710948</v>
      </c>
      <c r="H357" s="298">
        <f>IFERROR(IF(Loan_Not_Paid*Values_Entered,Ending_Balance,""), "")</f>
        <v>19345394.907531619</v>
      </c>
    </row>
    <row r="358" spans="2:8">
      <c r="B358" s="300">
        <f>IFERROR(IF(Loan_Not_Paid*Values_Entered,Payment_Number,""), "")</f>
        <v>341</v>
      </c>
      <c r="C358" s="299"/>
      <c r="D358" s="298">
        <f>IFERROR(IF(Loan_Not_Paid*Values_Entered,Beginning_Balance,""), "")</f>
        <v>19345394.907531619</v>
      </c>
      <c r="E358" s="298">
        <f>IFERROR(IF(Loan_Not_Paid*Values_Entered,Monthly_Payment,""), "")</f>
        <v>1003642.7600902505</v>
      </c>
      <c r="F358" s="298">
        <f>IFERROR(IF(Loan_Not_Paid*Values_Entered,Principal,""), "")</f>
        <v>935127.81979270419</v>
      </c>
      <c r="G358" s="298">
        <f>IFERROR(IF(Loan_Not_Paid*Values_Entered,Interest,""), "")</f>
        <v>68514.940297546258</v>
      </c>
      <c r="H358" s="298">
        <f>IFERROR(IF(Loan_Not_Paid*Values_Entered,Ending_Balance,""), "")</f>
        <v>18410267.087738752</v>
      </c>
    </row>
    <row r="359" spans="2:8">
      <c r="B359" s="300">
        <f>IFERROR(IF(Loan_Not_Paid*Values_Entered,Payment_Number,""), "")</f>
        <v>342</v>
      </c>
      <c r="C359" s="299"/>
      <c r="D359" s="298">
        <f>IFERROR(IF(Loan_Not_Paid*Values_Entered,Beginning_Balance,""), "")</f>
        <v>18410267.087738752</v>
      </c>
      <c r="E359" s="298">
        <f>IFERROR(IF(Loan_Not_Paid*Values_Entered,Monthly_Payment,""), "")</f>
        <v>1003642.7600902505</v>
      </c>
      <c r="F359" s="298">
        <f>IFERROR(IF(Loan_Not_Paid*Values_Entered,Principal,""), "")</f>
        <v>938439.73082113673</v>
      </c>
      <c r="G359" s="298">
        <f>IFERROR(IF(Loan_Not_Paid*Values_Entered,Interest,""), "")</f>
        <v>65203.029269113766</v>
      </c>
      <c r="H359" s="298">
        <f>IFERROR(IF(Loan_Not_Paid*Values_Entered,Ending_Balance,""), "")</f>
        <v>17471827.35691762</v>
      </c>
    </row>
    <row r="360" spans="2:8">
      <c r="B360" s="300">
        <f>IFERROR(IF(Loan_Not_Paid*Values_Entered,Payment_Number,""), "")</f>
        <v>343</v>
      </c>
      <c r="C360" s="299"/>
      <c r="D360" s="298">
        <f>IFERROR(IF(Loan_Not_Paid*Values_Entered,Beginning_Balance,""), "")</f>
        <v>17471827.35691762</v>
      </c>
      <c r="E360" s="298">
        <f>IFERROR(IF(Loan_Not_Paid*Values_Entered,Monthly_Payment,""), "")</f>
        <v>1003642.7600902505</v>
      </c>
      <c r="F360" s="298">
        <f>IFERROR(IF(Loan_Not_Paid*Values_Entered,Principal,""), "")</f>
        <v>941763.3715344615</v>
      </c>
      <c r="G360" s="298">
        <f>IFERROR(IF(Loan_Not_Paid*Values_Entered,Interest,""), "")</f>
        <v>61879.388555788908</v>
      </c>
      <c r="H360" s="298">
        <f>IFERROR(IF(Loan_Not_Paid*Values_Entered,Ending_Balance,""), "")</f>
        <v>16530063.985383153</v>
      </c>
    </row>
    <row r="361" spans="2:8">
      <c r="B361" s="300">
        <f>IFERROR(IF(Loan_Not_Paid*Values_Entered,Payment_Number,""), "")</f>
        <v>344</v>
      </c>
      <c r="C361" s="299"/>
      <c r="D361" s="298">
        <f>IFERROR(IF(Loan_Not_Paid*Values_Entered,Beginning_Balance,""), "")</f>
        <v>16530063.985383153</v>
      </c>
      <c r="E361" s="298">
        <f>IFERROR(IF(Loan_Not_Paid*Values_Entered,Monthly_Payment,""), "")</f>
        <v>1003642.7600902505</v>
      </c>
      <c r="F361" s="298">
        <f>IFERROR(IF(Loan_Not_Paid*Values_Entered,Principal,""), "")</f>
        <v>945098.78347531287</v>
      </c>
      <c r="G361" s="298">
        <f>IFERROR(IF(Loan_Not_Paid*Values_Entered,Interest,""), "")</f>
        <v>58543.976614937688</v>
      </c>
      <c r="H361" s="298">
        <f>IFERROR(IF(Loan_Not_Paid*Values_Entered,Ending_Balance,""), "")</f>
        <v>15584965.201907754</v>
      </c>
    </row>
    <row r="362" spans="2:8">
      <c r="B362" s="300">
        <f>IFERROR(IF(Loan_Not_Paid*Values_Entered,Payment_Number,""), "")</f>
        <v>345</v>
      </c>
      <c r="C362" s="299"/>
      <c r="D362" s="298">
        <f>IFERROR(IF(Loan_Not_Paid*Values_Entered,Beginning_Balance,""), "")</f>
        <v>15584965.201907754</v>
      </c>
      <c r="E362" s="298">
        <f>IFERROR(IF(Loan_Not_Paid*Values_Entered,Monthly_Payment,""), "")</f>
        <v>1003642.7600902505</v>
      </c>
      <c r="F362" s="298">
        <f>IFERROR(IF(Loan_Not_Paid*Values_Entered,Principal,""), "")</f>
        <v>948446.00833345449</v>
      </c>
      <c r="G362" s="298">
        <f>IFERROR(IF(Loan_Not_Paid*Values_Entered,Interest,""), "")</f>
        <v>55196.751756795958</v>
      </c>
      <c r="H362" s="298">
        <f>IFERROR(IF(Loan_Not_Paid*Values_Entered,Ending_Balance,""), "")</f>
        <v>14636519.19357419</v>
      </c>
    </row>
    <row r="363" spans="2:8">
      <c r="B363" s="300">
        <f>IFERROR(IF(Loan_Not_Paid*Values_Entered,Payment_Number,""), "")</f>
        <v>346</v>
      </c>
      <c r="C363" s="299"/>
      <c r="D363" s="298">
        <f>IFERROR(IF(Loan_Not_Paid*Values_Entered,Beginning_Balance,""), "")</f>
        <v>14636519.19357419</v>
      </c>
      <c r="E363" s="298">
        <f>IFERROR(IF(Loan_Not_Paid*Values_Entered,Monthly_Payment,""), "")</f>
        <v>1003642.7600902505</v>
      </c>
      <c r="F363" s="298">
        <f>IFERROR(IF(Loan_Not_Paid*Values_Entered,Principal,""), "")</f>
        <v>951805.08794630214</v>
      </c>
      <c r="G363" s="298">
        <f>IFERROR(IF(Loan_Not_Paid*Values_Entered,Interest,""), "")</f>
        <v>51837.672143948308</v>
      </c>
      <c r="H363" s="298">
        <f>IFERROR(IF(Loan_Not_Paid*Values_Entered,Ending_Balance,""), "")</f>
        <v>13684714.105627775</v>
      </c>
    </row>
    <row r="364" spans="2:8">
      <c r="B364" s="300">
        <f>IFERROR(IF(Loan_Not_Paid*Values_Entered,Payment_Number,""), "")</f>
        <v>347</v>
      </c>
      <c r="C364" s="299"/>
      <c r="D364" s="298">
        <f>IFERROR(IF(Loan_Not_Paid*Values_Entered,Beginning_Balance,""), "")</f>
        <v>13684714.105627775</v>
      </c>
      <c r="E364" s="298">
        <f>IFERROR(IF(Loan_Not_Paid*Values_Entered,Monthly_Payment,""), "")</f>
        <v>1003642.7600902505</v>
      </c>
      <c r="F364" s="298">
        <f>IFERROR(IF(Loan_Not_Paid*Values_Entered,Principal,""), "")</f>
        <v>955176.06429944537</v>
      </c>
      <c r="G364" s="298">
        <f>IFERROR(IF(Loan_Not_Paid*Values_Entered,Interest,""), "")</f>
        <v>48466.695790805148</v>
      </c>
      <c r="H364" s="298">
        <f>IFERROR(IF(Loan_Not_Paid*Values_Entered,Ending_Balance,""), "")</f>
        <v>12729538.041328311</v>
      </c>
    </row>
    <row r="365" spans="2:8">
      <c r="B365" s="300">
        <f>IFERROR(IF(Loan_Not_Paid*Values_Entered,Payment_Number,""), "")</f>
        <v>348</v>
      </c>
      <c r="C365" s="299"/>
      <c r="D365" s="298">
        <f>IFERROR(IF(Loan_Not_Paid*Values_Entered,Beginning_Balance,""), "")</f>
        <v>12729538.041328311</v>
      </c>
      <c r="E365" s="298">
        <f>IFERROR(IF(Loan_Not_Paid*Values_Entered,Monthly_Payment,""), "")</f>
        <v>1003642.7600902505</v>
      </c>
      <c r="F365" s="298">
        <f>IFERROR(IF(Loan_Not_Paid*Values_Entered,Principal,""), "")</f>
        <v>958558.97952717263</v>
      </c>
      <c r="G365" s="298">
        <f>IFERROR(IF(Loan_Not_Paid*Values_Entered,Interest,""), "")</f>
        <v>45083.78056307794</v>
      </c>
      <c r="H365" s="298">
        <f>IFERROR(IF(Loan_Not_Paid*Values_Entered,Ending_Balance,""), "")</f>
        <v>11770979.061800957</v>
      </c>
    </row>
    <row r="366" spans="2:8">
      <c r="B366" s="300">
        <f>IFERROR(IF(Loan_Not_Paid*Values_Entered,Payment_Number,""), "")</f>
        <v>349</v>
      </c>
      <c r="C366" s="299"/>
      <c r="D366" s="298">
        <f>IFERROR(IF(Loan_Not_Paid*Values_Entered,Beginning_Balance,""), "")</f>
        <v>11770979.061800957</v>
      </c>
      <c r="E366" s="298">
        <f>IFERROR(IF(Loan_Not_Paid*Values_Entered,Monthly_Payment,""), "")</f>
        <v>1003642.7600902505</v>
      </c>
      <c r="F366" s="298">
        <f>IFERROR(IF(Loan_Not_Paid*Values_Entered,Principal,""), "")</f>
        <v>961953.87591299799</v>
      </c>
      <c r="G366" s="298">
        <f>IFERROR(IF(Loan_Not_Paid*Values_Entered,Interest,""), "")</f>
        <v>41688.884177252548</v>
      </c>
      <c r="H366" s="298">
        <f>IFERROR(IF(Loan_Not_Paid*Values_Entered,Ending_Balance,""), "")</f>
        <v>10809025.185888052</v>
      </c>
    </row>
    <row r="367" spans="2:8">
      <c r="B367" s="300">
        <f>IFERROR(IF(Loan_Not_Paid*Values_Entered,Payment_Number,""), "")</f>
        <v>350</v>
      </c>
      <c r="C367" s="299"/>
      <c r="D367" s="298">
        <f>IFERROR(IF(Loan_Not_Paid*Values_Entered,Beginning_Balance,""), "")</f>
        <v>10809025.185888052</v>
      </c>
      <c r="E367" s="298">
        <f>IFERROR(IF(Loan_Not_Paid*Values_Entered,Monthly_Payment,""), "")</f>
        <v>1003642.7600902505</v>
      </c>
      <c r="F367" s="298">
        <f>IFERROR(IF(Loan_Not_Paid*Values_Entered,Principal,""), "")</f>
        <v>965360.79589018971</v>
      </c>
      <c r="G367" s="298">
        <f>IFERROR(IF(Loan_Not_Paid*Values_Entered,Interest,""), "")</f>
        <v>38281.964200060676</v>
      </c>
      <c r="H367" s="298">
        <f>IFERROR(IF(Loan_Not_Paid*Values_Entered,Ending_Balance,""), "")</f>
        <v>9843664.3899977207</v>
      </c>
    </row>
    <row r="368" spans="2:8">
      <c r="B368" s="300">
        <f>IFERROR(IF(Loan_Not_Paid*Values_Entered,Payment_Number,""), "")</f>
        <v>351</v>
      </c>
      <c r="C368" s="299"/>
      <c r="D368" s="298">
        <f>IFERROR(IF(Loan_Not_Paid*Values_Entered,Beginning_Balance,""), "")</f>
        <v>9843664.3899977207</v>
      </c>
      <c r="E368" s="298">
        <f>IFERROR(IF(Loan_Not_Paid*Values_Entered,Monthly_Payment,""), "")</f>
        <v>1003642.7600902505</v>
      </c>
      <c r="F368" s="298">
        <f>IFERROR(IF(Loan_Not_Paid*Values_Entered,Principal,""), "")</f>
        <v>968779.78204230091</v>
      </c>
      <c r="G368" s="298">
        <f>IFERROR(IF(Loan_Not_Paid*Values_Entered,Interest,""), "")</f>
        <v>34862.978047949589</v>
      </c>
      <c r="H368" s="298">
        <f>IFERROR(IF(Loan_Not_Paid*Values_Entered,Ending_Balance,""), "")</f>
        <v>8874884.6079552174</v>
      </c>
    </row>
    <row r="369" spans="2:8">
      <c r="B369" s="300">
        <f>IFERROR(IF(Loan_Not_Paid*Values_Entered,Payment_Number,""), "")</f>
        <v>352</v>
      </c>
      <c r="C369" s="299"/>
      <c r="D369" s="298">
        <f>IFERROR(IF(Loan_Not_Paid*Values_Entered,Beginning_Balance,""), "")</f>
        <v>8874884.6079552174</v>
      </c>
      <c r="E369" s="298">
        <f>IFERROR(IF(Loan_Not_Paid*Values_Entered,Monthly_Payment,""), "")</f>
        <v>1003642.7600902505</v>
      </c>
      <c r="F369" s="298">
        <f>IFERROR(IF(Loan_Not_Paid*Values_Entered,Principal,""), "")</f>
        <v>972210.87710370077</v>
      </c>
      <c r="G369" s="298">
        <f>IFERROR(IF(Loan_Not_Paid*Values_Entered,Interest,""), "")</f>
        <v>31431.882986549768</v>
      </c>
      <c r="H369" s="298">
        <f>IFERROR(IF(Loan_Not_Paid*Values_Entered,Ending_Balance,""), "")</f>
        <v>7902673.730851531</v>
      </c>
    </row>
    <row r="370" spans="2:8">
      <c r="B370" s="300">
        <f>IFERROR(IF(Loan_Not_Paid*Values_Entered,Payment_Number,""), "")</f>
        <v>353</v>
      </c>
      <c r="C370" s="299"/>
      <c r="D370" s="298">
        <f>IFERROR(IF(Loan_Not_Paid*Values_Entered,Beginning_Balance,""), "")</f>
        <v>7902673.730851531</v>
      </c>
      <c r="E370" s="298">
        <f>IFERROR(IF(Loan_Not_Paid*Values_Entered,Monthly_Payment,""), "")</f>
        <v>1003642.7600902505</v>
      </c>
      <c r="F370" s="298">
        <f>IFERROR(IF(Loan_Not_Paid*Values_Entered,Principal,""), "")</f>
        <v>975654.12396010966</v>
      </c>
      <c r="G370" s="298">
        <f>IFERROR(IF(Loan_Not_Paid*Values_Entered,Interest,""), "")</f>
        <v>27988.636130140829</v>
      </c>
      <c r="H370" s="298">
        <f>IFERROR(IF(Loan_Not_Paid*Values_Entered,Ending_Balance,""), "")</f>
        <v>6927019.6068915129</v>
      </c>
    </row>
    <row r="371" spans="2:8">
      <c r="B371" s="300">
        <f>IFERROR(IF(Loan_Not_Paid*Values_Entered,Payment_Number,""), "")</f>
        <v>354</v>
      </c>
      <c r="C371" s="299"/>
      <c r="D371" s="298">
        <f>IFERROR(IF(Loan_Not_Paid*Values_Entered,Beginning_Balance,""), "")</f>
        <v>6927019.6068915129</v>
      </c>
      <c r="E371" s="298">
        <f>IFERROR(IF(Loan_Not_Paid*Values_Entered,Monthly_Payment,""), "")</f>
        <v>1003642.7600902505</v>
      </c>
      <c r="F371" s="298">
        <f>IFERROR(IF(Loan_Not_Paid*Values_Entered,Principal,""), "")</f>
        <v>979109.56564913504</v>
      </c>
      <c r="G371" s="298">
        <f>IFERROR(IF(Loan_Not_Paid*Values_Entered,Interest,""), "")</f>
        <v>24533.194441115447</v>
      </c>
      <c r="H371" s="298">
        <f>IFERROR(IF(Loan_Not_Paid*Values_Entered,Ending_Balance,""), "")</f>
        <v>5947910.0412421227</v>
      </c>
    </row>
    <row r="372" spans="2:8">
      <c r="B372" s="300">
        <f>IFERROR(IF(Loan_Not_Paid*Values_Entered,Payment_Number,""), "")</f>
        <v>355</v>
      </c>
      <c r="C372" s="299"/>
      <c r="D372" s="298">
        <f>IFERROR(IF(Loan_Not_Paid*Values_Entered,Beginning_Balance,""), "")</f>
        <v>5947910.0412421227</v>
      </c>
      <c r="E372" s="298">
        <f>IFERROR(IF(Loan_Not_Paid*Values_Entered,Monthly_Payment,""), "")</f>
        <v>1003642.7600902505</v>
      </c>
      <c r="F372" s="298">
        <f>IFERROR(IF(Loan_Not_Paid*Values_Entered,Principal,""), "")</f>
        <v>982577.24536080903</v>
      </c>
      <c r="G372" s="298">
        <f>IFERROR(IF(Loan_Not_Paid*Values_Entered,Interest,""), "")</f>
        <v>21065.514729441424</v>
      </c>
      <c r="H372" s="298">
        <f>IFERROR(IF(Loan_Not_Paid*Values_Entered,Ending_Balance,""), "")</f>
        <v>4965332.7958812714</v>
      </c>
    </row>
    <row r="373" spans="2:8">
      <c r="B373" s="300">
        <f>IFERROR(IF(Loan_Not_Paid*Values_Entered,Payment_Number,""), "")</f>
        <v>356</v>
      </c>
      <c r="C373" s="299"/>
      <c r="D373" s="298">
        <f>IFERROR(IF(Loan_Not_Paid*Values_Entered,Beginning_Balance,""), "")</f>
        <v>4965332.7958812714</v>
      </c>
      <c r="E373" s="298">
        <f>IFERROR(IF(Loan_Not_Paid*Values_Entered,Monthly_Payment,""), "")</f>
        <v>1003642.7600902505</v>
      </c>
      <c r="F373" s="298">
        <f>IFERROR(IF(Loan_Not_Paid*Values_Entered,Principal,""), "")</f>
        <v>986057.20643812849</v>
      </c>
      <c r="G373" s="298">
        <f>IFERROR(IF(Loan_Not_Paid*Values_Entered,Interest,""), "")</f>
        <v>17585.553652121889</v>
      </c>
      <c r="H373" s="298">
        <f>IFERROR(IF(Loan_Not_Paid*Values_Entered,Ending_Balance,""), "")</f>
        <v>3979275.5894430876</v>
      </c>
    </row>
    <row r="374" spans="2:8">
      <c r="B374" s="300">
        <f>IFERROR(IF(Loan_Not_Paid*Values_Entered,Payment_Number,""), "")</f>
        <v>357</v>
      </c>
      <c r="C374" s="299"/>
      <c r="D374" s="298">
        <f>IFERROR(IF(Loan_Not_Paid*Values_Entered,Beginning_Balance,""), "")</f>
        <v>3979275.5894430876</v>
      </c>
      <c r="E374" s="298">
        <f>IFERROR(IF(Loan_Not_Paid*Values_Entered,Monthly_Payment,""), "")</f>
        <v>1003642.7600902505</v>
      </c>
      <c r="F374" s="298">
        <f>IFERROR(IF(Loan_Not_Paid*Values_Entered,Principal,""), "")</f>
        <v>989549.49237759691</v>
      </c>
      <c r="G374" s="298">
        <f>IFERROR(IF(Loan_Not_Paid*Values_Entered,Interest,""), "")</f>
        <v>14093.267712653518</v>
      </c>
      <c r="H374" s="298">
        <f>IFERROR(IF(Loan_Not_Paid*Values_Entered,Ending_Balance,""), "")</f>
        <v>2989726.0970653296</v>
      </c>
    </row>
    <row r="375" spans="2:8">
      <c r="B375" s="300">
        <f>IFERROR(IF(Loan_Not_Paid*Values_Entered,Payment_Number,""), "")</f>
        <v>358</v>
      </c>
      <c r="C375" s="299"/>
      <c r="D375" s="298">
        <f>IFERROR(IF(Loan_Not_Paid*Values_Entered,Beginning_Balance,""), "")</f>
        <v>2989726.0970653296</v>
      </c>
      <c r="E375" s="298">
        <f>IFERROR(IF(Loan_Not_Paid*Values_Entered,Monthly_Payment,""), "")</f>
        <v>1003642.7600902505</v>
      </c>
      <c r="F375" s="298">
        <f>IFERROR(IF(Loan_Not_Paid*Values_Entered,Principal,""), "")</f>
        <v>993054.14682976773</v>
      </c>
      <c r="G375" s="298">
        <f>IFERROR(IF(Loan_Not_Paid*Values_Entered,Interest,""), "")</f>
        <v>10588.61326048286</v>
      </c>
      <c r="H375" s="298">
        <f>IFERROR(IF(Loan_Not_Paid*Values_Entered,Ending_Balance,""), "")</f>
        <v>1996671.950235486</v>
      </c>
    </row>
    <row r="376" spans="2:8">
      <c r="B376" s="300">
        <f>IFERROR(IF(Loan_Not_Paid*Values_Entered,Payment_Number,""), "")</f>
        <v>359</v>
      </c>
      <c r="C376" s="299"/>
      <c r="D376" s="298">
        <f>IFERROR(IF(Loan_Not_Paid*Values_Entered,Beginning_Balance,""), "")</f>
        <v>1996671.950235486</v>
      </c>
      <c r="E376" s="298">
        <f>IFERROR(IF(Loan_Not_Paid*Values_Entered,Monthly_Payment,""), "")</f>
        <v>1003642.7600902505</v>
      </c>
      <c r="F376" s="298">
        <f>IFERROR(IF(Loan_Not_Paid*Values_Entered,Principal,""), "")</f>
        <v>996571.21359978989</v>
      </c>
      <c r="G376" s="298">
        <f>IFERROR(IF(Loan_Not_Paid*Values_Entered,Interest,""), "")</f>
        <v>7071.5464904607661</v>
      </c>
      <c r="H376" s="298">
        <f>IFERROR(IF(Loan_Not_Paid*Values_Entered,Ending_Balance,""), "")</f>
        <v>1000100.736635685</v>
      </c>
    </row>
    <row r="377" spans="2:8">
      <c r="B377" s="300">
        <f>IFERROR(IF(Loan_Not_Paid*Values_Entered,Payment_Number,""), "")</f>
        <v>360</v>
      </c>
      <c r="C377" s="299"/>
      <c r="D377" s="298">
        <f>IFERROR(IF(Loan_Not_Paid*Values_Entered,Beginning_Balance,""), "")</f>
        <v>1000100.736635685</v>
      </c>
      <c r="E377" s="298">
        <f>IFERROR(IF(Loan_Not_Paid*Values_Entered,Monthly_Payment,""), "")</f>
        <v>1003642.7600902505</v>
      </c>
      <c r="F377" s="298">
        <f>IFERROR(IF(Loan_Not_Paid*Values_Entered,Principal,""), "")</f>
        <v>1000100.7366479556</v>
      </c>
      <c r="G377" s="298">
        <f>IFERROR(IF(Loan_Not_Paid*Values_Entered,Interest,""), "")</f>
        <v>3542.0234422948433</v>
      </c>
      <c r="H377" s="298">
        <f>IFERROR(IF(Loan_Not_Paid*Values_Entered,Ending_Balance,""), "")</f>
        <v>-1.2278556823730469E-5</v>
      </c>
    </row>
  </sheetData>
  <mergeCells count="9">
    <mergeCell ref="B9:D9"/>
    <mergeCell ref="B10:D10"/>
    <mergeCell ref="B11:D11"/>
    <mergeCell ref="B2:E2"/>
    <mergeCell ref="B3:D3"/>
    <mergeCell ref="B4:D4"/>
    <mergeCell ref="B5:D5"/>
    <mergeCell ref="B6:D6"/>
    <mergeCell ref="B8:D8"/>
  </mergeCells>
  <conditionalFormatting sqref="C18:G377">
    <cfRule type="expression" dxfId="11" priority="1" stopIfTrue="1">
      <formula>NOT(Loan_Not_Paid)</formula>
    </cfRule>
    <cfRule type="expression" dxfId="10" priority="2" stopIfTrue="1">
      <formula>IF(ROW(C18)=Last_Row,TRUE,FALSE)</formula>
    </cfRule>
  </conditionalFormatting>
  <conditionalFormatting sqref="B18:B377">
    <cfRule type="expression" dxfId="9" priority="3" stopIfTrue="1">
      <formula>NOT(Loan_Not_Paid)</formula>
    </cfRule>
    <cfRule type="expression" dxfId="8" priority="4" stopIfTrue="1">
      <formula>IF(ROW(B18)=Last_Row,TRUE,FALSE)</formula>
    </cfRule>
  </conditionalFormatting>
  <conditionalFormatting sqref="H18:H377">
    <cfRule type="expression" dxfId="7" priority="5" stopIfTrue="1">
      <formula>NOT(Loan_Not_Paid)</formula>
    </cfRule>
    <cfRule type="expression" dxfId="6" priority="6" stopIfTrue="1">
      <formula>IF(ROW(H18)=Last_Row,TRUE,FALSE)</formula>
    </cfRule>
  </conditionalFormatting>
  <dataValidations count="26">
    <dataValidation allowBlank="1" showInputMessage="1" showErrorMessage="1" prompt="Total cost of loan is automatically calculated in cell at right" sqref="B11:D14 B15 B16:D16" xr:uid="{690A7681-9503-4720-825A-89CEFFD5CF26}"/>
    <dataValidation allowBlank="1" showInputMessage="1" showErrorMessage="1" prompt="Total cost of loan is automatically calculated in this cell" sqref="E11:E14 E16" xr:uid="{A6E47821-7248-46E2-A2B0-8397DBFE8F72}"/>
    <dataValidation allowBlank="1" showInputMessage="1" showErrorMessage="1" prompt="Create a loan repayment schedule using this Loan calculator and amortization worksheet. Total interest and total payments are automatically calculated" sqref="A1" xr:uid="{5C43DFE0-A4F2-4FEA-B217-05974A2C582A}"/>
    <dataValidation allowBlank="1" showInputMessage="1" showErrorMessage="1" prompt="Title of this worksheet is in this cell. Enter Loan values in cells E3 through E6. Loan summary in cells E8 through E11 and Loan table are automatically updated" sqref="B1" xr:uid="{843ABEB8-5F99-4A5B-9FB8-C5D9B9A74592}"/>
    <dataValidation allowBlank="1" showInputMessage="1" showErrorMessage="1" prompt="Enter Loan amount in cell at right" sqref="B3:D3" xr:uid="{51E75838-87B4-42AA-8448-32331ECD46ED}"/>
    <dataValidation allowBlank="1" showInputMessage="1" showErrorMessage="1" prompt="Enter Loan amount in this cell" sqref="E3" xr:uid="{602597FC-A48E-4B4B-A0A5-F4C657365281}"/>
    <dataValidation allowBlank="1" showInputMessage="1" showErrorMessage="1" prompt="Enter Annual interest rate in cell at right" sqref="B4:D4" xr:uid="{4AA017E9-181F-4AD7-82FC-5FC398D9467C}"/>
    <dataValidation allowBlank="1" showInputMessage="1" showErrorMessage="1" prompt="Enter Loan period in years in cell at right" sqref="B5:D5" xr:uid="{AFE83881-1409-490C-A7B7-31ECBAB982F1}"/>
    <dataValidation allowBlank="1" showInputMessage="1" showErrorMessage="1" prompt="Enter Loan period in years in this cell" sqref="E5" xr:uid="{1549E274-DA69-44D0-BBA7-086FEF3F0FA6}"/>
    <dataValidation allowBlank="1" showInputMessage="1" showErrorMessage="1" prompt="Enter Start date of loan in cell at right" sqref="B6:D6" xr:uid="{4F8DC4D4-DB56-424C-A5FC-72940065B3E5}"/>
    <dataValidation allowBlank="1" showInputMessage="1" showErrorMessage="1" prompt="Enter Start date of loan in this cell" sqref="E6" xr:uid="{8DD9E3CC-0F32-41AB-AB75-C1F278CC1712}"/>
    <dataValidation allowBlank="1" showInputMessage="1" showErrorMessage="1" prompt="Monthly payment is automatically calculated in cell at right" sqref="B8:D8" xr:uid="{047EAA18-0F98-4577-AE2A-8A847BCDAE48}"/>
    <dataValidation allowBlank="1" showInputMessage="1" showErrorMessage="1" prompt="Monthly payment is automatically calculated in this cell" sqref="E8" xr:uid="{C80EDDA0-893B-4F6A-B0EC-E57552DE0E0B}"/>
    <dataValidation allowBlank="1" showInputMessage="1" showErrorMessage="1" prompt="Number of payments is automatically calculated in cell at right" sqref="B9:D9" xr:uid="{AAFA4CC0-E51C-45AF-A78A-DB1013B0C3C1}"/>
    <dataValidation allowBlank="1" showInputMessage="1" showErrorMessage="1" prompt="Number of payments is automatically calculated in this cell" sqref="E9" xr:uid="{50D93227-DC52-4840-95C0-08923D524252}"/>
    <dataValidation allowBlank="1" showInputMessage="1" showErrorMessage="1" prompt="Total interest is automatically calculated in cell at right" sqref="B10:D10" xr:uid="{84D83B20-1F42-436E-9E55-1025A6D81FA0}"/>
    <dataValidation allowBlank="1" showInputMessage="1" showErrorMessage="1" prompt="Total interest is automatically calculated in this cell" sqref="E10" xr:uid="{BFAD54EB-C69A-4DF4-84F8-8FD718487629}"/>
    <dataValidation allowBlank="1" showInputMessage="1" showErrorMessage="1" prompt="Enter values in cells E3 through E6 for each description in column B. Values in cells E8 through E11 are automatically calculated" sqref="B2" xr:uid="{C128EB2B-4908-4CE2-9463-A24F6C714611}"/>
    <dataValidation allowBlank="1" showInputMessage="1" showErrorMessage="1" prompt="Payment Number is automatically updated in this column under this heading" sqref="B17" xr:uid="{BA26A0E0-5524-4E4E-97C4-6B26088B946A}"/>
    <dataValidation allowBlank="1" showInputMessage="1" showErrorMessage="1" prompt="Payment Date is automatically updated in this column under this heading" sqref="C17" xr:uid="{A72CA4AA-C80B-4B69-AE98-22BB19FEA880}"/>
    <dataValidation allowBlank="1" showInputMessage="1" showErrorMessage="1" prompt="Beginning Balance is automatically calculated in this column under this heading" sqref="D17" xr:uid="{3EE2D25F-063B-480B-862C-B3D1BB730D4B}"/>
    <dataValidation allowBlank="1" showInputMessage="1" showErrorMessage="1" prompt="Payment amount is automatically calculated in this column under this heading" sqref="E17" xr:uid="{9547A27C-C906-4B48-94FA-A9AE8BBBC9D4}"/>
    <dataValidation allowBlank="1" showInputMessage="1" showErrorMessage="1" prompt="Principal amount is automatically updated in this column under this heading" sqref="F17" xr:uid="{D1CDF4EA-DA54-48C4-9391-99D87877AE27}"/>
    <dataValidation allowBlank="1" showInputMessage="1" showErrorMessage="1" prompt="Interest amount is automatically updated in this column under this heading" sqref="G17" xr:uid="{F243E5AA-0D1E-4C51-9947-36D9E46A3B2A}"/>
    <dataValidation allowBlank="1" showInputMessage="1" showErrorMessage="1" prompt="Ending Balance is automatically updated in this column under this heading" sqref="H17" xr:uid="{5561CD12-C1E9-4D08-AF6B-4A95FC8124F3}"/>
    <dataValidation allowBlank="1" showInputMessage="1" showErrorMessage="1" prompt="Enter Annual interest rate in this cell" sqref="E4" xr:uid="{54FB391D-4C1B-429D-A86C-02474E80C527}"/>
  </dataValidations>
  <printOptions horizontalCentered="1"/>
  <pageMargins left="0.5" right="0.5" top="1" bottom="1" header="0.5" footer="0.5"/>
  <pageSetup fitToHeight="0" orientation="portrait" r:id="rId1"/>
  <headerFooter differentFirst="1">
    <oddFooter>Page &amp;P of &amp;N</oddFooter>
  </headerFooter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B9580-91D7-471A-A745-90604B41D262}">
  <sheetPr>
    <tabColor theme="3"/>
    <pageSetUpPr fitToPage="1"/>
  </sheetPr>
  <dimension ref="B1:H377"/>
  <sheetViews>
    <sheetView showGridLines="0" zoomScale="60" zoomScaleNormal="60" workbookViewId="0">
      <selection activeCell="F27" sqref="F26:F27"/>
    </sheetView>
  </sheetViews>
  <sheetFormatPr defaultRowHeight="14.5"/>
  <cols>
    <col min="1" max="1" width="2.81640625" style="297" customWidth="1"/>
    <col min="2" max="2" width="6.26953125" style="297" customWidth="1"/>
    <col min="3" max="3" width="14.81640625" style="297" customWidth="1"/>
    <col min="4" max="4" width="18.08984375" style="297" customWidth="1"/>
    <col min="5" max="5" width="18" style="297" customWidth="1"/>
    <col min="6" max="7" width="14.81640625" style="297" customWidth="1"/>
    <col min="8" max="8" width="17.453125" style="297" customWidth="1"/>
    <col min="9" max="9" width="2.81640625" style="297" customWidth="1"/>
    <col min="10" max="16384" width="8.7265625" style="297"/>
  </cols>
  <sheetData>
    <row r="1" spans="2:8" ht="30" customHeight="1">
      <c r="B1" s="306" t="s">
        <v>441</v>
      </c>
      <c r="C1" s="306"/>
      <c r="D1" s="306"/>
      <c r="E1" s="306"/>
      <c r="F1" s="306"/>
      <c r="G1" s="306"/>
      <c r="H1" s="306"/>
    </row>
    <row r="2" spans="2:8" ht="30" customHeight="1">
      <c r="B2" s="920" t="s">
        <v>440</v>
      </c>
      <c r="C2" s="920"/>
      <c r="D2" s="920"/>
      <c r="E2" s="920"/>
    </row>
    <row r="3" spans="2:8">
      <c r="B3" s="923" t="s">
        <v>408</v>
      </c>
      <c r="C3" s="923"/>
      <c r="D3" s="924"/>
      <c r="E3" s="308">
        <f>combined!Q172</f>
        <v>180883946.36761829</v>
      </c>
    </row>
    <row r="4" spans="2:8">
      <c r="B4" s="921" t="s">
        <v>439</v>
      </c>
      <c r="C4" s="921"/>
      <c r="D4" s="925"/>
      <c r="E4" s="309">
        <f>permanentinterestrate</f>
        <v>4.2500000000000003E-2</v>
      </c>
    </row>
    <row r="5" spans="2:8">
      <c r="B5" s="921" t="s">
        <v>438</v>
      </c>
      <c r="C5" s="921"/>
      <c r="D5" s="925"/>
      <c r="E5" s="310">
        <f>amortizationschedule</f>
        <v>30</v>
      </c>
    </row>
    <row r="6" spans="2:8">
      <c r="B6" s="921" t="s">
        <v>437</v>
      </c>
      <c r="C6" s="921"/>
      <c r="D6" s="925"/>
      <c r="E6" s="305">
        <v>43831</v>
      </c>
      <c r="F6" s="305"/>
    </row>
    <row r="7" spans="2:8">
      <c r="B7" s="304"/>
      <c r="C7" s="304"/>
      <c r="D7" s="304"/>
    </row>
    <row r="8" spans="2:8">
      <c r="B8" s="921" t="s">
        <v>436</v>
      </c>
      <c r="C8" s="921"/>
      <c r="D8" s="922"/>
      <c r="E8" s="307">
        <f>IFERROR(IF(Values_Entered,Monthly_Payment,""), "")</f>
        <v>889840.28874113306</v>
      </c>
    </row>
    <row r="9" spans="2:8">
      <c r="B9" s="921" t="s">
        <v>435</v>
      </c>
      <c r="C9" s="921"/>
      <c r="D9" s="922"/>
      <c r="E9" s="303">
        <f>IFERROR(IF(Values_Entered,Loan_Years*12,""), "")</f>
        <v>360</v>
      </c>
    </row>
    <row r="10" spans="2:8">
      <c r="B10" s="921" t="s">
        <v>434</v>
      </c>
      <c r="C10" s="921"/>
      <c r="D10" s="922"/>
      <c r="E10" s="302">
        <f>IFERROR(IF(Values_Entered,Total_Cost-Loan_Amount,""), "")</f>
        <v>139458557.57918963</v>
      </c>
    </row>
    <row r="11" spans="2:8">
      <c r="B11" s="921" t="s">
        <v>433</v>
      </c>
      <c r="C11" s="921"/>
      <c r="D11" s="922"/>
      <c r="E11" s="307">
        <f>IFERROR(IF(Values_Entered,Monthly_Payment*Number_of_Payments,""), "")</f>
        <v>320342503.94680792</v>
      </c>
    </row>
    <row r="12" spans="2:8">
      <c r="B12" s="311"/>
      <c r="C12" s="311"/>
      <c r="D12" s="311"/>
      <c r="E12" s="312"/>
    </row>
    <row r="13" spans="2:8">
      <c r="B13" s="311"/>
      <c r="C13" s="314" t="s">
        <v>543</v>
      </c>
      <c r="D13" s="311"/>
      <c r="E13" s="320">
        <f>phase3stabilizationyear</f>
        <v>10</v>
      </c>
    </row>
    <row r="14" spans="2:8">
      <c r="B14" s="311"/>
      <c r="C14" s="314" t="s">
        <v>186</v>
      </c>
      <c r="D14" s="311"/>
      <c r="E14" s="320">
        <f>dispositionyear</f>
        <v>10</v>
      </c>
      <c r="F14" s="313"/>
    </row>
    <row r="15" spans="2:8">
      <c r="B15" s="311"/>
      <c r="C15" s="315" t="s">
        <v>444</v>
      </c>
      <c r="E15" s="321">
        <f>((E14-E13)*12)+12</f>
        <v>12</v>
      </c>
    </row>
    <row r="16" spans="2:8">
      <c r="B16" s="311"/>
      <c r="C16" s="314" t="s">
        <v>443</v>
      </c>
      <c r="D16" s="311"/>
      <c r="E16" s="312">
        <f>VLOOKUP(E15,Loan34[#All],7,TRUE)</f>
        <v>177834484.65127456</v>
      </c>
    </row>
    <row r="17" spans="2:8" ht="38.5" customHeight="1">
      <c r="B17" s="301" t="s">
        <v>432</v>
      </c>
      <c r="C17" s="301" t="s">
        <v>281</v>
      </c>
      <c r="D17" s="301" t="s">
        <v>431</v>
      </c>
      <c r="E17" s="301" t="s">
        <v>430</v>
      </c>
      <c r="F17" s="301" t="s">
        <v>429</v>
      </c>
      <c r="G17" s="301" t="s">
        <v>428</v>
      </c>
      <c r="H17" s="301" t="s">
        <v>427</v>
      </c>
    </row>
    <row r="18" spans="2:8">
      <c r="B18" s="300">
        <f>IFERROR(IF(Loan_Not_Paid*Values_Entered,Payment_Number,""), "")</f>
        <v>1</v>
      </c>
      <c r="C18" s="299"/>
      <c r="D18" s="298">
        <f>IFERROR(IF(Loan_Not_Paid*Values_Entered,Beginning_Balance,""), "")</f>
        <v>180883946.36761829</v>
      </c>
      <c r="E18" s="298">
        <f>IFERROR(IF(Loan_Not_Paid*Values_Entered,Monthly_Payment,""), "")</f>
        <v>889840.28874113306</v>
      </c>
      <c r="F18" s="298">
        <f>IFERROR(IF(Loan_Not_Paid*Values_Entered,Principal,""), "")</f>
        <v>249209.64535581821</v>
      </c>
      <c r="G18" s="298">
        <f>IFERROR(IF(Loan_Not_Paid*Values_Entered,Interest,""), "")</f>
        <v>640630.64338531485</v>
      </c>
      <c r="H18" s="298">
        <f>IFERROR(IF(Loan_Not_Paid*Values_Entered,Ending_Balance,""), "")</f>
        <v>180634736.72226244</v>
      </c>
    </row>
    <row r="19" spans="2:8">
      <c r="B19" s="300">
        <f>IFERROR(IF(Loan_Not_Paid*Values_Entered,Payment_Number,""), "")</f>
        <v>2</v>
      </c>
      <c r="C19" s="299"/>
      <c r="D19" s="298">
        <f>IFERROR(IF(Loan_Not_Paid*Values_Entered,Beginning_Balance,""), "")</f>
        <v>180634736.72226244</v>
      </c>
      <c r="E19" s="298">
        <f>IFERROR(IF(Loan_Not_Paid*Values_Entered,Monthly_Payment,""), "")</f>
        <v>889840.28874113306</v>
      </c>
      <c r="F19" s="298">
        <f>IFERROR(IF(Loan_Not_Paid*Values_Entered,Principal,""), "")</f>
        <v>250092.2628497867</v>
      </c>
      <c r="G19" s="298">
        <f>IFERROR(IF(Loan_Not_Paid*Values_Entered,Interest,""), "")</f>
        <v>639748.02589134639</v>
      </c>
      <c r="H19" s="298">
        <f>IFERROR(IF(Loan_Not_Paid*Values_Entered,Ending_Balance,""), "")</f>
        <v>180384644.45941269</v>
      </c>
    </row>
    <row r="20" spans="2:8">
      <c r="B20" s="300">
        <f>IFERROR(IF(Loan_Not_Paid*Values_Entered,Payment_Number,""), "")</f>
        <v>3</v>
      </c>
      <c r="C20" s="299"/>
      <c r="D20" s="298">
        <f>IFERROR(IF(Loan_Not_Paid*Values_Entered,Beginning_Balance,""), "")</f>
        <v>180384644.45941269</v>
      </c>
      <c r="E20" s="298">
        <f>IFERROR(IF(Loan_Not_Paid*Values_Entered,Monthly_Payment,""), "")</f>
        <v>889840.28874113306</v>
      </c>
      <c r="F20" s="298">
        <f>IFERROR(IF(Loan_Not_Paid*Values_Entered,Principal,""), "")</f>
        <v>250978.00628071307</v>
      </c>
      <c r="G20" s="298">
        <f>IFERROR(IF(Loan_Not_Paid*Values_Entered,Interest,""), "")</f>
        <v>638862.28246042004</v>
      </c>
      <c r="H20" s="298">
        <f>IFERROR(IF(Loan_Not_Paid*Values_Entered,Ending_Balance,""), "")</f>
        <v>180133666.45313194</v>
      </c>
    </row>
    <row r="21" spans="2:8">
      <c r="B21" s="300">
        <f>IFERROR(IF(Loan_Not_Paid*Values_Entered,Payment_Number,""), "")</f>
        <v>4</v>
      </c>
      <c r="C21" s="299"/>
      <c r="D21" s="298">
        <f>IFERROR(IF(Loan_Not_Paid*Values_Entered,Beginning_Balance,""), "")</f>
        <v>180133666.45313194</v>
      </c>
      <c r="E21" s="298">
        <f>IFERROR(IF(Loan_Not_Paid*Values_Entered,Monthly_Payment,""), "")</f>
        <v>889840.28874113306</v>
      </c>
      <c r="F21" s="298">
        <f>IFERROR(IF(Loan_Not_Paid*Values_Entered,Principal,""), "")</f>
        <v>251866.88671962393</v>
      </c>
      <c r="G21" s="298">
        <f>IFERROR(IF(Loan_Not_Paid*Values_Entered,Interest,""), "")</f>
        <v>637973.40202150925</v>
      </c>
      <c r="H21" s="298">
        <f>IFERROR(IF(Loan_Not_Paid*Values_Entered,Ending_Balance,""), "")</f>
        <v>179881799.56641233</v>
      </c>
    </row>
    <row r="22" spans="2:8">
      <c r="B22" s="300">
        <f>IFERROR(IF(Loan_Not_Paid*Values_Entered,Payment_Number,""), "")</f>
        <v>5</v>
      </c>
      <c r="C22" s="299"/>
      <c r="D22" s="298">
        <f>IFERROR(IF(Loan_Not_Paid*Values_Entered,Beginning_Balance,""), "")</f>
        <v>179881799.56641233</v>
      </c>
      <c r="E22" s="298">
        <f>IFERROR(IF(Loan_Not_Paid*Values_Entered,Monthly_Payment,""), "")</f>
        <v>889840.28874113306</v>
      </c>
      <c r="F22" s="298">
        <f>IFERROR(IF(Loan_Not_Paid*Values_Entered,Principal,""), "")</f>
        <v>252758.91527675593</v>
      </c>
      <c r="G22" s="298">
        <f>IFERROR(IF(Loan_Not_Paid*Values_Entered,Interest,""), "")</f>
        <v>637081.37346437725</v>
      </c>
      <c r="H22" s="298">
        <f>IFERROR(IF(Loan_Not_Paid*Values_Entered,Ending_Balance,""), "")</f>
        <v>179629040.65113553</v>
      </c>
    </row>
    <row r="23" spans="2:8">
      <c r="B23" s="300">
        <f>IFERROR(IF(Loan_Not_Paid*Values_Entered,Payment_Number,""), "")</f>
        <v>6</v>
      </c>
      <c r="C23" s="299"/>
      <c r="D23" s="298">
        <f>IFERROR(IF(Loan_Not_Paid*Values_Entered,Beginning_Balance,""), "")</f>
        <v>179629040.65113553</v>
      </c>
      <c r="E23" s="298">
        <f>IFERROR(IF(Loan_Not_Paid*Values_Entered,Monthly_Payment,""), "")</f>
        <v>889840.28874113306</v>
      </c>
      <c r="F23" s="298">
        <f>IFERROR(IF(Loan_Not_Paid*Values_Entered,Principal,""), "")</f>
        <v>253654.10310169437</v>
      </c>
      <c r="G23" s="298">
        <f>IFERROR(IF(Loan_Not_Paid*Values_Entered,Interest,""), "")</f>
        <v>636186.18563943869</v>
      </c>
      <c r="H23" s="298">
        <f>IFERROR(IF(Loan_Not_Paid*Values_Entered,Ending_Balance,""), "")</f>
        <v>179375386.54803383</v>
      </c>
    </row>
    <row r="24" spans="2:8">
      <c r="B24" s="300">
        <f>IFERROR(IF(Loan_Not_Paid*Values_Entered,Payment_Number,""), "")</f>
        <v>7</v>
      </c>
      <c r="C24" s="299"/>
      <c r="D24" s="298">
        <f>IFERROR(IF(Loan_Not_Paid*Values_Entered,Beginning_Balance,""), "")</f>
        <v>179375386.54803383</v>
      </c>
      <c r="E24" s="298">
        <f>IFERROR(IF(Loan_Not_Paid*Values_Entered,Monthly_Payment,""), "")</f>
        <v>889840.28874113306</v>
      </c>
      <c r="F24" s="298">
        <f>IFERROR(IF(Loan_Not_Paid*Values_Entered,Principal,""), "")</f>
        <v>254552.46138351294</v>
      </c>
      <c r="G24" s="298">
        <f>IFERROR(IF(Loan_Not_Paid*Values_Entered,Interest,""), "")</f>
        <v>635287.82735762023</v>
      </c>
      <c r="H24" s="298">
        <f>IFERROR(IF(Loan_Not_Paid*Values_Entered,Ending_Balance,""), "")</f>
        <v>179120834.08665031</v>
      </c>
    </row>
    <row r="25" spans="2:8">
      <c r="B25" s="300">
        <f>IFERROR(IF(Loan_Not_Paid*Values_Entered,Payment_Number,""), "")</f>
        <v>8</v>
      </c>
      <c r="C25" s="299"/>
      <c r="D25" s="298">
        <f>IFERROR(IF(Loan_Not_Paid*Values_Entered,Beginning_Balance,""), "")</f>
        <v>179120834.08665031</v>
      </c>
      <c r="E25" s="298">
        <f>IFERROR(IF(Loan_Not_Paid*Values_Entered,Monthly_Payment,""), "")</f>
        <v>889840.28874113306</v>
      </c>
      <c r="F25" s="298">
        <f>IFERROR(IF(Loan_Not_Paid*Values_Entered,Principal,""), "")</f>
        <v>255454.00135091282</v>
      </c>
      <c r="G25" s="298">
        <f>IFERROR(IF(Loan_Not_Paid*Values_Entered,Interest,""), "")</f>
        <v>634386.28739022021</v>
      </c>
      <c r="H25" s="298">
        <f>IFERROR(IF(Loan_Not_Paid*Values_Entered,Ending_Balance,""), "")</f>
        <v>178865380.0852994</v>
      </c>
    </row>
    <row r="26" spans="2:8">
      <c r="B26" s="300">
        <f>IFERROR(IF(Loan_Not_Paid*Values_Entered,Payment_Number,""), "")</f>
        <v>9</v>
      </c>
      <c r="C26" s="299"/>
      <c r="D26" s="298">
        <f>IFERROR(IF(Loan_Not_Paid*Values_Entered,Beginning_Balance,""), "")</f>
        <v>178865380.0852994</v>
      </c>
      <c r="E26" s="298">
        <f>IFERROR(IF(Loan_Not_Paid*Values_Entered,Monthly_Payment,""), "")</f>
        <v>889840.28874113306</v>
      </c>
      <c r="F26" s="298">
        <f>IFERROR(IF(Loan_Not_Paid*Values_Entered,Principal,""), "")</f>
        <v>256358.734272364</v>
      </c>
      <c r="G26" s="298">
        <f>IFERROR(IF(Loan_Not_Paid*Values_Entered,Interest,""), "")</f>
        <v>633481.55446876911</v>
      </c>
      <c r="H26" s="298">
        <f>IFERROR(IF(Loan_Not_Paid*Values_Entered,Ending_Balance,""), "")</f>
        <v>178609021.35102701</v>
      </c>
    </row>
    <row r="27" spans="2:8">
      <c r="B27" s="300">
        <f>IFERROR(IF(Loan_Not_Paid*Values_Entered,Payment_Number,""), "")</f>
        <v>10</v>
      </c>
      <c r="C27" s="299"/>
      <c r="D27" s="298">
        <f>IFERROR(IF(Loan_Not_Paid*Values_Entered,Beginning_Balance,""), "")</f>
        <v>178609021.35102701</v>
      </c>
      <c r="E27" s="298">
        <f>IFERROR(IF(Loan_Not_Paid*Values_Entered,Monthly_Payment,""), "")</f>
        <v>889840.28874113306</v>
      </c>
      <c r="F27" s="298">
        <f>IFERROR(IF(Loan_Not_Paid*Values_Entered,Principal,""), "")</f>
        <v>257266.6714562453</v>
      </c>
      <c r="G27" s="298">
        <f>IFERROR(IF(Loan_Not_Paid*Values_Entered,Interest,""), "")</f>
        <v>632573.61728488782</v>
      </c>
      <c r="H27" s="298">
        <f>IFERROR(IF(Loan_Not_Paid*Values_Entered,Ending_Balance,""), "")</f>
        <v>178351754.67957079</v>
      </c>
    </row>
    <row r="28" spans="2:8">
      <c r="B28" s="300">
        <f>IFERROR(IF(Loan_Not_Paid*Values_Entered,Payment_Number,""), "")</f>
        <v>11</v>
      </c>
      <c r="C28" s="299"/>
      <c r="D28" s="298">
        <f>IFERROR(IF(Loan_Not_Paid*Values_Entered,Beginning_Balance,""), "")</f>
        <v>178351754.67957079</v>
      </c>
      <c r="E28" s="298">
        <f>IFERROR(IF(Loan_Not_Paid*Values_Entered,Monthly_Payment,""), "")</f>
        <v>889840.28874113306</v>
      </c>
      <c r="F28" s="298">
        <f>IFERROR(IF(Loan_Not_Paid*Values_Entered,Principal,""), "")</f>
        <v>258177.82425098622</v>
      </c>
      <c r="G28" s="298">
        <f>IFERROR(IF(Loan_Not_Paid*Values_Entered,Interest,""), "")</f>
        <v>631662.46449014684</v>
      </c>
      <c r="H28" s="298">
        <f>IFERROR(IF(Loan_Not_Paid*Values_Entered,Ending_Balance,""), "")</f>
        <v>178093576.85531977</v>
      </c>
    </row>
    <row r="29" spans="2:8">
      <c r="B29" s="300">
        <f>IFERROR(IF(Loan_Not_Paid*Values_Entered,Payment_Number,""), "")</f>
        <v>12</v>
      </c>
      <c r="C29" s="299"/>
      <c r="D29" s="298">
        <f>IFERROR(IF(Loan_Not_Paid*Values_Entered,Beginning_Balance,""), "")</f>
        <v>178093576.85531977</v>
      </c>
      <c r="E29" s="298">
        <f>IFERROR(IF(Loan_Not_Paid*Values_Entered,Monthly_Payment,""), "")</f>
        <v>889840.28874113306</v>
      </c>
      <c r="F29" s="298">
        <f>IFERROR(IF(Loan_Not_Paid*Values_Entered,Principal,""), "")</f>
        <v>259092.2040452084</v>
      </c>
      <c r="G29" s="298">
        <f>IFERROR(IF(Loan_Not_Paid*Values_Entered,Interest,""), "")</f>
        <v>630748.08469592466</v>
      </c>
      <c r="H29" s="298">
        <f>IFERROR(IF(Loan_Not_Paid*Values_Entered,Ending_Balance,""), "")</f>
        <v>177834484.65127456</v>
      </c>
    </row>
    <row r="30" spans="2:8">
      <c r="B30" s="300">
        <f>IFERROR(IF(Loan_Not_Paid*Values_Entered,Payment_Number,""), "")</f>
        <v>13</v>
      </c>
      <c r="C30" s="299"/>
      <c r="D30" s="298">
        <f>IFERROR(IF(Loan_Not_Paid*Values_Entered,Beginning_Balance,""), "")</f>
        <v>177834484.65127456</v>
      </c>
      <c r="E30" s="298">
        <f>IFERROR(IF(Loan_Not_Paid*Values_Entered,Monthly_Payment,""), "")</f>
        <v>889840.28874113306</v>
      </c>
      <c r="F30" s="298">
        <f>IFERROR(IF(Loan_Not_Paid*Values_Entered,Principal,""), "")</f>
        <v>260009.82226786856</v>
      </c>
      <c r="G30" s="298">
        <f>IFERROR(IF(Loan_Not_Paid*Values_Entered,Interest,""), "")</f>
        <v>629830.4664732645</v>
      </c>
      <c r="H30" s="298">
        <f>IFERROR(IF(Loan_Not_Paid*Values_Entered,Ending_Balance,""), "")</f>
        <v>177574474.8290067</v>
      </c>
    </row>
    <row r="31" spans="2:8">
      <c r="B31" s="300">
        <f>IFERROR(IF(Loan_Not_Paid*Values_Entered,Payment_Number,""), "")</f>
        <v>14</v>
      </c>
      <c r="C31" s="299"/>
      <c r="D31" s="298">
        <f>IFERROR(IF(Loan_Not_Paid*Values_Entered,Beginning_Balance,""), "")</f>
        <v>177574474.8290067</v>
      </c>
      <c r="E31" s="298">
        <f>IFERROR(IF(Loan_Not_Paid*Values_Entered,Monthly_Payment,""), "")</f>
        <v>889840.28874113306</v>
      </c>
      <c r="F31" s="298">
        <f>IFERROR(IF(Loan_Not_Paid*Values_Entered,Principal,""), "")</f>
        <v>260930.69038840054</v>
      </c>
      <c r="G31" s="298">
        <f>IFERROR(IF(Loan_Not_Paid*Values_Entered,Interest,""), "")</f>
        <v>628909.59835273249</v>
      </c>
      <c r="H31" s="298">
        <f>IFERROR(IF(Loan_Not_Paid*Values_Entered,Ending_Balance,""), "")</f>
        <v>177313544.13861826</v>
      </c>
    </row>
    <row r="32" spans="2:8">
      <c r="B32" s="300">
        <f>IFERROR(IF(Loan_Not_Paid*Values_Entered,Payment_Number,""), "")</f>
        <v>15</v>
      </c>
      <c r="C32" s="299"/>
      <c r="D32" s="298">
        <f>IFERROR(IF(Loan_Not_Paid*Values_Entered,Beginning_Balance,""), "")</f>
        <v>177313544.13861826</v>
      </c>
      <c r="E32" s="298">
        <f>IFERROR(IF(Loan_Not_Paid*Values_Entered,Monthly_Payment,""), "")</f>
        <v>889840.28874113306</v>
      </c>
      <c r="F32" s="298">
        <f>IFERROR(IF(Loan_Not_Paid*Values_Entered,Principal,""), "")</f>
        <v>261854.8199168595</v>
      </c>
      <c r="G32" s="298">
        <f>IFERROR(IF(Loan_Not_Paid*Values_Entered,Interest,""), "")</f>
        <v>627985.46882427356</v>
      </c>
      <c r="H32" s="298">
        <f>IFERROR(IF(Loan_Not_Paid*Values_Entered,Ending_Balance,""), "")</f>
        <v>177051689.31870142</v>
      </c>
    </row>
    <row r="33" spans="2:8">
      <c r="B33" s="300">
        <f>IFERROR(IF(Loan_Not_Paid*Values_Entered,Payment_Number,""), "")</f>
        <v>16</v>
      </c>
      <c r="C33" s="299"/>
      <c r="D33" s="298">
        <f>IFERROR(IF(Loan_Not_Paid*Values_Entered,Beginning_Balance,""), "")</f>
        <v>177051689.31870142</v>
      </c>
      <c r="E33" s="298">
        <f>IFERROR(IF(Loan_Not_Paid*Values_Entered,Monthly_Payment,""), "")</f>
        <v>889840.28874113306</v>
      </c>
      <c r="F33" s="298">
        <f>IFERROR(IF(Loan_Not_Paid*Values_Entered,Principal,""), "")</f>
        <v>262782.22240406508</v>
      </c>
      <c r="G33" s="298">
        <f>IFERROR(IF(Loan_Not_Paid*Values_Entered,Interest,""), "")</f>
        <v>627058.0663370681</v>
      </c>
      <c r="H33" s="298">
        <f>IFERROR(IF(Loan_Not_Paid*Values_Entered,Ending_Balance,""), "")</f>
        <v>176788907.09629732</v>
      </c>
    </row>
    <row r="34" spans="2:8">
      <c r="B34" s="300">
        <f>IFERROR(IF(Loan_Not_Paid*Values_Entered,Payment_Number,""), "")</f>
        <v>17</v>
      </c>
      <c r="C34" s="299"/>
      <c r="D34" s="298">
        <f>IFERROR(IF(Loan_Not_Paid*Values_Entered,Beginning_Balance,""), "")</f>
        <v>176788907.09629732</v>
      </c>
      <c r="E34" s="298">
        <f>IFERROR(IF(Loan_Not_Paid*Values_Entered,Monthly_Payment,""), "")</f>
        <v>889840.28874113306</v>
      </c>
      <c r="F34" s="298">
        <f>IFERROR(IF(Loan_Not_Paid*Values_Entered,Principal,""), "")</f>
        <v>263712.90944174613</v>
      </c>
      <c r="G34" s="298">
        <f>IFERROR(IF(Loan_Not_Paid*Values_Entered,Interest,""), "")</f>
        <v>626127.37929938687</v>
      </c>
      <c r="H34" s="298">
        <f>IFERROR(IF(Loan_Not_Paid*Values_Entered,Ending_Balance,""), "")</f>
        <v>176525194.18685558</v>
      </c>
    </row>
    <row r="35" spans="2:8">
      <c r="B35" s="300">
        <f>IFERROR(IF(Loan_Not_Paid*Values_Entered,Payment_Number,""), "")</f>
        <v>18</v>
      </c>
      <c r="C35" s="299"/>
      <c r="D35" s="298">
        <f>IFERROR(IF(Loan_Not_Paid*Values_Entered,Beginning_Balance,""), "")</f>
        <v>176525194.18685558</v>
      </c>
      <c r="E35" s="298">
        <f>IFERROR(IF(Loan_Not_Paid*Values_Entered,Monthly_Payment,""), "")</f>
        <v>889840.28874113306</v>
      </c>
      <c r="F35" s="298">
        <f>IFERROR(IF(Loan_Not_Paid*Values_Entered,Principal,""), "")</f>
        <v>264646.8926626856</v>
      </c>
      <c r="G35" s="298">
        <f>IFERROR(IF(Loan_Not_Paid*Values_Entered,Interest,""), "")</f>
        <v>625193.39607844758</v>
      </c>
      <c r="H35" s="298">
        <f>IFERROR(IF(Loan_Not_Paid*Values_Entered,Ending_Balance,""), "")</f>
        <v>176260547.29419288</v>
      </c>
    </row>
    <row r="36" spans="2:8">
      <c r="B36" s="300">
        <f>IFERROR(IF(Loan_Not_Paid*Values_Entered,Payment_Number,""), "")</f>
        <v>19</v>
      </c>
      <c r="C36" s="299"/>
      <c r="D36" s="298">
        <f>IFERROR(IF(Loan_Not_Paid*Values_Entered,Beginning_Balance,""), "")</f>
        <v>176260547.29419288</v>
      </c>
      <c r="E36" s="298">
        <f>IFERROR(IF(Loan_Not_Paid*Values_Entered,Monthly_Payment,""), "")</f>
        <v>889840.28874113306</v>
      </c>
      <c r="F36" s="298">
        <f>IFERROR(IF(Loan_Not_Paid*Values_Entered,Principal,""), "")</f>
        <v>265584.18374086596</v>
      </c>
      <c r="G36" s="298">
        <f>IFERROR(IF(Loan_Not_Paid*Values_Entered,Interest,""), "")</f>
        <v>624256.10500026715</v>
      </c>
      <c r="H36" s="298">
        <f>IFERROR(IF(Loan_Not_Paid*Values_Entered,Ending_Balance,""), "")</f>
        <v>175994963.110452</v>
      </c>
    </row>
    <row r="37" spans="2:8">
      <c r="B37" s="300">
        <f>IFERROR(IF(Loan_Not_Paid*Values_Entered,Payment_Number,""), "")</f>
        <v>20</v>
      </c>
      <c r="C37" s="299"/>
      <c r="D37" s="298">
        <f>IFERROR(IF(Loan_Not_Paid*Values_Entered,Beginning_Balance,""), "")</f>
        <v>175994963.110452</v>
      </c>
      <c r="E37" s="298">
        <f>IFERROR(IF(Loan_Not_Paid*Values_Entered,Monthly_Payment,""), "")</f>
        <v>889840.28874113306</v>
      </c>
      <c r="F37" s="298">
        <f>IFERROR(IF(Loan_Not_Paid*Values_Entered,Principal,""), "")</f>
        <v>266524.79439161491</v>
      </c>
      <c r="G37" s="298">
        <f>IFERROR(IF(Loan_Not_Paid*Values_Entered,Interest,""), "")</f>
        <v>623315.49434951833</v>
      </c>
      <c r="H37" s="298">
        <f>IFERROR(IF(Loan_Not_Paid*Values_Entered,Ending_Balance,""), "")</f>
        <v>175728438.31606039</v>
      </c>
    </row>
    <row r="38" spans="2:8">
      <c r="B38" s="300">
        <f>IFERROR(IF(Loan_Not_Paid*Values_Entered,Payment_Number,""), "")</f>
        <v>21</v>
      </c>
      <c r="C38" s="299"/>
      <c r="D38" s="298">
        <f>IFERROR(IF(Loan_Not_Paid*Values_Entered,Beginning_Balance,""), "")</f>
        <v>175728438.31606039</v>
      </c>
      <c r="E38" s="298">
        <f>IFERROR(IF(Loan_Not_Paid*Values_Entered,Monthly_Payment,""), "")</f>
        <v>889840.28874113306</v>
      </c>
      <c r="F38" s="298">
        <f>IFERROR(IF(Loan_Not_Paid*Values_Entered,Principal,""), "")</f>
        <v>267468.73637175187</v>
      </c>
      <c r="G38" s="298">
        <f>IFERROR(IF(Loan_Not_Paid*Values_Entered,Interest,""), "")</f>
        <v>622371.55236938118</v>
      </c>
      <c r="H38" s="298">
        <f>IFERROR(IF(Loan_Not_Paid*Values_Entered,Ending_Balance,""), "")</f>
        <v>175460969.57968861</v>
      </c>
    </row>
    <row r="39" spans="2:8">
      <c r="B39" s="300">
        <f>IFERROR(IF(Loan_Not_Paid*Values_Entered,Payment_Number,""), "")</f>
        <v>22</v>
      </c>
      <c r="C39" s="299"/>
      <c r="D39" s="298">
        <f>IFERROR(IF(Loan_Not_Paid*Values_Entered,Beginning_Balance,""), "")</f>
        <v>175460969.57968861</v>
      </c>
      <c r="E39" s="298">
        <f>IFERROR(IF(Loan_Not_Paid*Values_Entered,Monthly_Payment,""), "")</f>
        <v>889840.28874113306</v>
      </c>
      <c r="F39" s="298">
        <f>IFERROR(IF(Loan_Not_Paid*Values_Entered,Principal,""), "")</f>
        <v>268416.02147973515</v>
      </c>
      <c r="G39" s="298">
        <f>IFERROR(IF(Loan_Not_Paid*Values_Entered,Interest,""), "")</f>
        <v>621424.26726139802</v>
      </c>
      <c r="H39" s="298">
        <f>IFERROR(IF(Loan_Not_Paid*Values_Entered,Ending_Balance,""), "")</f>
        <v>175192553.55820885</v>
      </c>
    </row>
    <row r="40" spans="2:8">
      <c r="B40" s="300">
        <f>IFERROR(IF(Loan_Not_Paid*Values_Entered,Payment_Number,""), "")</f>
        <v>23</v>
      </c>
      <c r="C40" s="299"/>
      <c r="D40" s="298">
        <f>IFERROR(IF(Loan_Not_Paid*Values_Entered,Beginning_Balance,""), "")</f>
        <v>175192553.55820885</v>
      </c>
      <c r="E40" s="298">
        <f>IFERROR(IF(Loan_Not_Paid*Values_Entered,Monthly_Payment,""), "")</f>
        <v>889840.28874113306</v>
      </c>
      <c r="F40" s="298">
        <f>IFERROR(IF(Loan_Not_Paid*Values_Entered,Principal,""), "")</f>
        <v>269366.6615558092</v>
      </c>
      <c r="G40" s="298">
        <f>IFERROR(IF(Loan_Not_Paid*Values_Entered,Interest,""), "")</f>
        <v>620473.62718532386</v>
      </c>
      <c r="H40" s="298">
        <f>IFERROR(IF(Loan_Not_Paid*Values_Entered,Ending_Balance,""), "")</f>
        <v>174923186.89665306</v>
      </c>
    </row>
    <row r="41" spans="2:8">
      <c r="B41" s="300">
        <f>IFERROR(IF(Loan_Not_Paid*Values_Entered,Payment_Number,""), "")</f>
        <v>24</v>
      </c>
      <c r="C41" s="299"/>
      <c r="D41" s="298">
        <f>IFERROR(IF(Loan_Not_Paid*Values_Entered,Beginning_Balance,""), "")</f>
        <v>174923186.89665306</v>
      </c>
      <c r="E41" s="298">
        <f>IFERROR(IF(Loan_Not_Paid*Values_Entered,Monthly_Payment,""), "")</f>
        <v>889840.28874113306</v>
      </c>
      <c r="F41" s="298">
        <f>IFERROR(IF(Loan_Not_Paid*Values_Entered,Principal,""), "")</f>
        <v>270320.66848215275</v>
      </c>
      <c r="G41" s="298">
        <f>IFERROR(IF(Loan_Not_Paid*Values_Entered,Interest,""), "")</f>
        <v>619519.62025898031</v>
      </c>
      <c r="H41" s="298">
        <f>IFERROR(IF(Loan_Not_Paid*Values_Entered,Ending_Balance,""), "")</f>
        <v>174652866.2281709</v>
      </c>
    </row>
    <row r="42" spans="2:8">
      <c r="B42" s="300">
        <f>IFERROR(IF(Loan_Not_Paid*Values_Entered,Payment_Number,""), "")</f>
        <v>25</v>
      </c>
      <c r="C42" s="299"/>
      <c r="D42" s="298">
        <f>IFERROR(IF(Loan_Not_Paid*Values_Entered,Beginning_Balance,""), "")</f>
        <v>174652866.2281709</v>
      </c>
      <c r="E42" s="298">
        <f>IFERROR(IF(Loan_Not_Paid*Values_Entered,Monthly_Payment,""), "")</f>
        <v>889840.28874113306</v>
      </c>
      <c r="F42" s="298">
        <f>IFERROR(IF(Loan_Not_Paid*Values_Entered,Principal,""), "")</f>
        <v>271278.05418302695</v>
      </c>
      <c r="G42" s="298">
        <f>IFERROR(IF(Loan_Not_Paid*Values_Entered,Interest,""), "")</f>
        <v>618562.23455810617</v>
      </c>
      <c r="H42" s="298">
        <f>IFERROR(IF(Loan_Not_Paid*Values_Entered,Ending_Balance,""), "")</f>
        <v>174381588.17398787</v>
      </c>
    </row>
    <row r="43" spans="2:8">
      <c r="B43" s="300">
        <f>IFERROR(IF(Loan_Not_Paid*Values_Entered,Payment_Number,""), "")</f>
        <v>26</v>
      </c>
      <c r="C43" s="299"/>
      <c r="D43" s="298">
        <f>IFERROR(IF(Loan_Not_Paid*Values_Entered,Beginning_Balance,""), "")</f>
        <v>174381588.17398787</v>
      </c>
      <c r="E43" s="298">
        <f>IFERROR(IF(Loan_Not_Paid*Values_Entered,Monthly_Payment,""), "")</f>
        <v>889840.28874113306</v>
      </c>
      <c r="F43" s="298">
        <f>IFERROR(IF(Loan_Not_Paid*Values_Entered,Principal,""), "")</f>
        <v>272238.83062492521</v>
      </c>
      <c r="G43" s="298">
        <f>IFERROR(IF(Loan_Not_Paid*Values_Entered,Interest,""), "")</f>
        <v>617601.45811620797</v>
      </c>
      <c r="H43" s="298">
        <f>IFERROR(IF(Loan_Not_Paid*Values_Entered,Ending_Balance,""), "")</f>
        <v>174109349.34336293</v>
      </c>
    </row>
    <row r="44" spans="2:8">
      <c r="B44" s="300">
        <f>IFERROR(IF(Loan_Not_Paid*Values_Entered,Payment_Number,""), "")</f>
        <v>27</v>
      </c>
      <c r="C44" s="299"/>
      <c r="D44" s="298">
        <f>IFERROR(IF(Loan_Not_Paid*Values_Entered,Beginning_Balance,""), "")</f>
        <v>174109349.34336293</v>
      </c>
      <c r="E44" s="298">
        <f>IFERROR(IF(Loan_Not_Paid*Values_Entered,Monthly_Payment,""), "")</f>
        <v>889840.28874113306</v>
      </c>
      <c r="F44" s="298">
        <f>IFERROR(IF(Loan_Not_Paid*Values_Entered,Principal,""), "")</f>
        <v>273203.00981672178</v>
      </c>
      <c r="G44" s="298">
        <f>IFERROR(IF(Loan_Not_Paid*Values_Entered,Interest,""), "")</f>
        <v>616637.27892441128</v>
      </c>
      <c r="H44" s="298">
        <f>IFERROR(IF(Loan_Not_Paid*Values_Entered,Ending_Balance,""), "")</f>
        <v>173836146.33354616</v>
      </c>
    </row>
    <row r="45" spans="2:8">
      <c r="B45" s="300">
        <f>IFERROR(IF(Loan_Not_Paid*Values_Entered,Payment_Number,""), "")</f>
        <v>28</v>
      </c>
      <c r="C45" s="299"/>
      <c r="D45" s="298">
        <f>IFERROR(IF(Loan_Not_Paid*Values_Entered,Beginning_Balance,""), "")</f>
        <v>173836146.33354616</v>
      </c>
      <c r="E45" s="298">
        <f>IFERROR(IF(Loan_Not_Paid*Values_Entered,Monthly_Payment,""), "")</f>
        <v>889840.28874113306</v>
      </c>
      <c r="F45" s="298">
        <f>IFERROR(IF(Loan_Not_Paid*Values_Entered,Principal,""), "")</f>
        <v>274170.6038098227</v>
      </c>
      <c r="G45" s="298">
        <f>IFERROR(IF(Loan_Not_Paid*Values_Entered,Interest,""), "")</f>
        <v>615669.68493131036</v>
      </c>
      <c r="H45" s="298">
        <f>IFERROR(IF(Loan_Not_Paid*Values_Entered,Ending_Balance,""), "")</f>
        <v>173561975.72973639</v>
      </c>
    </row>
    <row r="46" spans="2:8">
      <c r="B46" s="300">
        <f>IFERROR(IF(Loan_Not_Paid*Values_Entered,Payment_Number,""), "")</f>
        <v>29</v>
      </c>
      <c r="C46" s="299"/>
      <c r="D46" s="298">
        <f>IFERROR(IF(Loan_Not_Paid*Values_Entered,Beginning_Balance,""), "")</f>
        <v>173561975.72973639</v>
      </c>
      <c r="E46" s="298">
        <f>IFERROR(IF(Loan_Not_Paid*Values_Entered,Monthly_Payment,""), "")</f>
        <v>889840.28874113306</v>
      </c>
      <c r="F46" s="298">
        <f>IFERROR(IF(Loan_Not_Paid*Values_Entered,Principal,""), "")</f>
        <v>275141.62469831575</v>
      </c>
      <c r="G46" s="298">
        <f>IFERROR(IF(Loan_Not_Paid*Values_Entered,Interest,""), "")</f>
        <v>614698.66404281731</v>
      </c>
      <c r="H46" s="298">
        <f>IFERROR(IF(Loan_Not_Paid*Values_Entered,Ending_Balance,""), "")</f>
        <v>173286834.10503802</v>
      </c>
    </row>
    <row r="47" spans="2:8">
      <c r="B47" s="300">
        <f>IFERROR(IF(Loan_Not_Paid*Values_Entered,Payment_Number,""), "")</f>
        <v>30</v>
      </c>
      <c r="C47" s="299"/>
      <c r="D47" s="298">
        <f>IFERROR(IF(Loan_Not_Paid*Values_Entered,Beginning_Balance,""), "")</f>
        <v>173286834.10503802</v>
      </c>
      <c r="E47" s="298">
        <f>IFERROR(IF(Loan_Not_Paid*Values_Entered,Monthly_Payment,""), "")</f>
        <v>889840.28874113306</v>
      </c>
      <c r="F47" s="298">
        <f>IFERROR(IF(Loan_Not_Paid*Values_Entered,Principal,""), "")</f>
        <v>276116.08461912232</v>
      </c>
      <c r="G47" s="298">
        <f>IFERROR(IF(Loan_Not_Paid*Values_Entered,Interest,""), "")</f>
        <v>613724.20412201073</v>
      </c>
      <c r="H47" s="298">
        <f>IFERROR(IF(Loan_Not_Paid*Values_Entered,Ending_Balance,""), "")</f>
        <v>173010718.02041891</v>
      </c>
    </row>
    <row r="48" spans="2:8">
      <c r="B48" s="300">
        <f>IFERROR(IF(Loan_Not_Paid*Values_Entered,Payment_Number,""), "")</f>
        <v>31</v>
      </c>
      <c r="C48" s="299"/>
      <c r="D48" s="298">
        <f>IFERROR(IF(Loan_Not_Paid*Values_Entered,Beginning_Balance,""), "")</f>
        <v>173010718.02041891</v>
      </c>
      <c r="E48" s="298">
        <f>IFERROR(IF(Loan_Not_Paid*Values_Entered,Monthly_Payment,""), "")</f>
        <v>889840.28874113306</v>
      </c>
      <c r="F48" s="298">
        <f>IFERROR(IF(Loan_Not_Paid*Values_Entered,Principal,""), "")</f>
        <v>277093.99575214839</v>
      </c>
      <c r="G48" s="298">
        <f>IFERROR(IF(Loan_Not_Paid*Values_Entered,Interest,""), "")</f>
        <v>612746.29298898461</v>
      </c>
      <c r="H48" s="298">
        <f>IFERROR(IF(Loan_Not_Paid*Values_Entered,Ending_Balance,""), "")</f>
        <v>172733624.02466673</v>
      </c>
    </row>
    <row r="49" spans="2:8">
      <c r="B49" s="300">
        <f>IFERROR(IF(Loan_Not_Paid*Values_Entered,Payment_Number,""), "")</f>
        <v>32</v>
      </c>
      <c r="C49" s="299"/>
      <c r="D49" s="298">
        <f>IFERROR(IF(Loan_Not_Paid*Values_Entered,Beginning_Balance,""), "")</f>
        <v>172733624.02466673</v>
      </c>
      <c r="E49" s="298">
        <f>IFERROR(IF(Loan_Not_Paid*Values_Entered,Monthly_Payment,""), "")</f>
        <v>889840.28874113306</v>
      </c>
      <c r="F49" s="298">
        <f>IFERROR(IF(Loan_Not_Paid*Values_Entered,Principal,""), "")</f>
        <v>278075.3703204373</v>
      </c>
      <c r="G49" s="298">
        <f>IFERROR(IF(Loan_Not_Paid*Values_Entered,Interest,""), "")</f>
        <v>611764.91842069582</v>
      </c>
      <c r="H49" s="298">
        <f>IFERROR(IF(Loan_Not_Paid*Values_Entered,Ending_Balance,""), "")</f>
        <v>172455548.65434629</v>
      </c>
    </row>
    <row r="50" spans="2:8">
      <c r="B50" s="300">
        <f>IFERROR(IF(Loan_Not_Paid*Values_Entered,Payment_Number,""), "")</f>
        <v>33</v>
      </c>
      <c r="C50" s="299"/>
      <c r="D50" s="298">
        <f>IFERROR(IF(Loan_Not_Paid*Values_Entered,Beginning_Balance,""), "")</f>
        <v>172455548.65434629</v>
      </c>
      <c r="E50" s="298">
        <f>IFERROR(IF(Loan_Not_Paid*Values_Entered,Monthly_Payment,""), "")</f>
        <v>889840.28874113306</v>
      </c>
      <c r="F50" s="298">
        <f>IFERROR(IF(Loan_Not_Paid*Values_Entered,Principal,""), "")</f>
        <v>279060.22059032216</v>
      </c>
      <c r="G50" s="298">
        <f>IFERROR(IF(Loan_Not_Paid*Values_Entered,Interest,""), "")</f>
        <v>610780.0681508109</v>
      </c>
      <c r="H50" s="298">
        <f>IFERROR(IF(Loan_Not_Paid*Values_Entered,Ending_Balance,""), "")</f>
        <v>172176488.43375593</v>
      </c>
    </row>
    <row r="51" spans="2:8">
      <c r="B51" s="300">
        <f>IFERROR(IF(Loan_Not_Paid*Values_Entered,Payment_Number,""), "")</f>
        <v>34</v>
      </c>
      <c r="C51" s="299"/>
      <c r="D51" s="298">
        <f>IFERROR(IF(Loan_Not_Paid*Values_Entered,Beginning_Balance,""), "")</f>
        <v>172176488.43375593</v>
      </c>
      <c r="E51" s="298">
        <f>IFERROR(IF(Loan_Not_Paid*Values_Entered,Monthly_Payment,""), "")</f>
        <v>889840.28874113306</v>
      </c>
      <c r="F51" s="298">
        <f>IFERROR(IF(Loan_Not_Paid*Values_Entered,Principal,""), "")</f>
        <v>280048.55887157959</v>
      </c>
      <c r="G51" s="298">
        <f>IFERROR(IF(Loan_Not_Paid*Values_Entered,Interest,""), "")</f>
        <v>609791.72986955347</v>
      </c>
      <c r="H51" s="298">
        <f>IFERROR(IF(Loan_Not_Paid*Values_Entered,Ending_Balance,""), "")</f>
        <v>171896439.87488437</v>
      </c>
    </row>
    <row r="52" spans="2:8">
      <c r="B52" s="300">
        <f>IFERROR(IF(Loan_Not_Paid*Values_Entered,Payment_Number,""), "")</f>
        <v>35</v>
      </c>
      <c r="C52" s="299"/>
      <c r="D52" s="298">
        <f>IFERROR(IF(Loan_Not_Paid*Values_Entered,Beginning_Balance,""), "")</f>
        <v>171896439.87488437</v>
      </c>
      <c r="E52" s="298">
        <f>IFERROR(IF(Loan_Not_Paid*Values_Entered,Monthly_Payment,""), "")</f>
        <v>889840.28874113306</v>
      </c>
      <c r="F52" s="298">
        <f>IFERROR(IF(Loan_Not_Paid*Values_Entered,Principal,""), "")</f>
        <v>281040.39751758304</v>
      </c>
      <c r="G52" s="298">
        <f>IFERROR(IF(Loan_Not_Paid*Values_Entered,Interest,""), "")</f>
        <v>608799.89122354996</v>
      </c>
      <c r="H52" s="298">
        <f>IFERROR(IF(Loan_Not_Paid*Values_Entered,Ending_Balance,""), "")</f>
        <v>171615399.47736678</v>
      </c>
    </row>
    <row r="53" spans="2:8">
      <c r="B53" s="300">
        <f>IFERROR(IF(Loan_Not_Paid*Values_Entered,Payment_Number,""), "")</f>
        <v>36</v>
      </c>
      <c r="C53" s="299"/>
      <c r="D53" s="298">
        <f>IFERROR(IF(Loan_Not_Paid*Values_Entered,Beginning_Balance,""), "")</f>
        <v>171615399.47736678</v>
      </c>
      <c r="E53" s="298">
        <f>IFERROR(IF(Loan_Not_Paid*Values_Entered,Monthly_Payment,""), "")</f>
        <v>889840.28874113306</v>
      </c>
      <c r="F53" s="298">
        <f>IFERROR(IF(Loan_Not_Paid*Values_Entered,Principal,""), "")</f>
        <v>282035.74892545782</v>
      </c>
      <c r="G53" s="298">
        <f>IFERROR(IF(Loan_Not_Paid*Values_Entered,Interest,""), "")</f>
        <v>607804.53981567523</v>
      </c>
      <c r="H53" s="298">
        <f>IFERROR(IF(Loan_Not_Paid*Values_Entered,Ending_Balance,""), "")</f>
        <v>171333363.72844133</v>
      </c>
    </row>
    <row r="54" spans="2:8">
      <c r="B54" s="300">
        <f>IFERROR(IF(Loan_Not_Paid*Values_Entered,Payment_Number,""), "")</f>
        <v>37</v>
      </c>
      <c r="C54" s="299"/>
      <c r="D54" s="298">
        <f>IFERROR(IF(Loan_Not_Paid*Values_Entered,Beginning_Balance,""), "")</f>
        <v>171333363.72844133</v>
      </c>
      <c r="E54" s="298">
        <f>IFERROR(IF(Loan_Not_Paid*Values_Entered,Monthly_Payment,""), "")</f>
        <v>889840.28874113306</v>
      </c>
      <c r="F54" s="298">
        <f>IFERROR(IF(Loan_Not_Paid*Values_Entered,Principal,""), "")</f>
        <v>283034.62553623546</v>
      </c>
      <c r="G54" s="298">
        <f>IFERROR(IF(Loan_Not_Paid*Values_Entered,Interest,""), "")</f>
        <v>606805.66320489754</v>
      </c>
      <c r="H54" s="298">
        <f>IFERROR(IF(Loan_Not_Paid*Values_Entered,Ending_Balance,""), "")</f>
        <v>171050329.10290506</v>
      </c>
    </row>
    <row r="55" spans="2:8">
      <c r="B55" s="300">
        <f>IFERROR(IF(Loan_Not_Paid*Values_Entered,Payment_Number,""), "")</f>
        <v>38</v>
      </c>
      <c r="C55" s="299"/>
      <c r="D55" s="298">
        <f>IFERROR(IF(Loan_Not_Paid*Values_Entered,Beginning_Balance,""), "")</f>
        <v>171050329.10290506</v>
      </c>
      <c r="E55" s="298">
        <f>IFERROR(IF(Loan_Not_Paid*Values_Entered,Monthly_Payment,""), "")</f>
        <v>889840.28874113306</v>
      </c>
      <c r="F55" s="298">
        <f>IFERROR(IF(Loan_Not_Paid*Values_Entered,Principal,""), "")</f>
        <v>284037.03983500967</v>
      </c>
      <c r="G55" s="298">
        <f>IFERROR(IF(Loan_Not_Paid*Values_Entered,Interest,""), "")</f>
        <v>605803.24890612345</v>
      </c>
      <c r="H55" s="298">
        <f>IFERROR(IF(Loan_Not_Paid*Values_Entered,Ending_Balance,""), "")</f>
        <v>170766292.06307006</v>
      </c>
    </row>
    <row r="56" spans="2:8">
      <c r="B56" s="300">
        <f>IFERROR(IF(Loan_Not_Paid*Values_Entered,Payment_Number,""), "")</f>
        <v>39</v>
      </c>
      <c r="C56" s="299"/>
      <c r="D56" s="298">
        <f>IFERROR(IF(Loan_Not_Paid*Values_Entered,Beginning_Balance,""), "")</f>
        <v>170766292.06307006</v>
      </c>
      <c r="E56" s="298">
        <f>IFERROR(IF(Loan_Not_Paid*Values_Entered,Monthly_Payment,""), "")</f>
        <v>889840.28874113306</v>
      </c>
      <c r="F56" s="298">
        <f>IFERROR(IF(Loan_Not_Paid*Values_Entered,Principal,""), "")</f>
        <v>285043.00435109198</v>
      </c>
      <c r="G56" s="298">
        <f>IFERROR(IF(Loan_Not_Paid*Values_Entered,Interest,""), "")</f>
        <v>604797.28439004126</v>
      </c>
      <c r="H56" s="298">
        <f>IFERROR(IF(Loan_Not_Paid*Values_Entered,Ending_Balance,""), "")</f>
        <v>170481249.05871892</v>
      </c>
    </row>
    <row r="57" spans="2:8">
      <c r="B57" s="300">
        <f>IFERROR(IF(Loan_Not_Paid*Values_Entered,Payment_Number,""), "")</f>
        <v>40</v>
      </c>
      <c r="C57" s="299"/>
      <c r="D57" s="298">
        <f>IFERROR(IF(Loan_Not_Paid*Values_Entered,Beginning_Balance,""), "")</f>
        <v>170481249.05871892</v>
      </c>
      <c r="E57" s="298">
        <f>IFERROR(IF(Loan_Not_Paid*Values_Entered,Monthly_Payment,""), "")</f>
        <v>889840.28874113306</v>
      </c>
      <c r="F57" s="298">
        <f>IFERROR(IF(Loan_Not_Paid*Values_Entered,Principal,""), "")</f>
        <v>286052.53165816877</v>
      </c>
      <c r="G57" s="298">
        <f>IFERROR(IF(Loan_Not_Paid*Values_Entered,Interest,""), "")</f>
        <v>603787.75708296441</v>
      </c>
      <c r="H57" s="298">
        <f>IFERROR(IF(Loan_Not_Paid*Values_Entered,Ending_Balance,""), "")</f>
        <v>170195196.52706075</v>
      </c>
    </row>
    <row r="58" spans="2:8">
      <c r="B58" s="300">
        <f>IFERROR(IF(Loan_Not_Paid*Values_Entered,Payment_Number,""), "")</f>
        <v>41</v>
      </c>
      <c r="C58" s="299"/>
      <c r="D58" s="298">
        <f>IFERROR(IF(Loan_Not_Paid*Values_Entered,Beginning_Balance,""), "")</f>
        <v>170195196.52706075</v>
      </c>
      <c r="E58" s="298">
        <f>IFERROR(IF(Loan_Not_Paid*Values_Entered,Monthly_Payment,""), "")</f>
        <v>889840.28874113306</v>
      </c>
      <c r="F58" s="298">
        <f>IFERROR(IF(Loan_Not_Paid*Values_Entered,Principal,""), "")</f>
        <v>287065.63437445817</v>
      </c>
      <c r="G58" s="298">
        <f>IFERROR(IF(Loan_Not_Paid*Values_Entered,Interest,""), "")</f>
        <v>602774.65436667495</v>
      </c>
      <c r="H58" s="298">
        <f>IFERROR(IF(Loan_Not_Paid*Values_Entered,Ending_Balance,""), "")</f>
        <v>169908130.89268625</v>
      </c>
    </row>
    <row r="59" spans="2:8">
      <c r="B59" s="300">
        <f>IFERROR(IF(Loan_Not_Paid*Values_Entered,Payment_Number,""), "")</f>
        <v>42</v>
      </c>
      <c r="C59" s="299"/>
      <c r="D59" s="298">
        <f>IFERROR(IF(Loan_Not_Paid*Values_Entered,Beginning_Balance,""), "")</f>
        <v>169908130.89268625</v>
      </c>
      <c r="E59" s="298">
        <f>IFERROR(IF(Loan_Not_Paid*Values_Entered,Monthly_Payment,""), "")</f>
        <v>889840.28874113306</v>
      </c>
      <c r="F59" s="298">
        <f>IFERROR(IF(Loan_Not_Paid*Values_Entered,Principal,""), "")</f>
        <v>288082.32516286767</v>
      </c>
      <c r="G59" s="298">
        <f>IFERROR(IF(Loan_Not_Paid*Values_Entered,Interest,""), "")</f>
        <v>601757.96357826539</v>
      </c>
      <c r="H59" s="298">
        <f>IFERROR(IF(Loan_Not_Paid*Values_Entered,Ending_Balance,""), "")</f>
        <v>169620048.56752342</v>
      </c>
    </row>
    <row r="60" spans="2:8">
      <c r="B60" s="300">
        <f>IFERROR(IF(Loan_Not_Paid*Values_Entered,Payment_Number,""), "")</f>
        <v>43</v>
      </c>
      <c r="C60" s="299"/>
      <c r="D60" s="298">
        <f>IFERROR(IF(Loan_Not_Paid*Values_Entered,Beginning_Balance,""), "")</f>
        <v>169620048.56752342</v>
      </c>
      <c r="E60" s="298">
        <f>IFERROR(IF(Loan_Not_Paid*Values_Entered,Monthly_Payment,""), "")</f>
        <v>889840.28874113306</v>
      </c>
      <c r="F60" s="298">
        <f>IFERROR(IF(Loan_Not_Paid*Values_Entered,Principal,""), "")</f>
        <v>289102.61673115281</v>
      </c>
      <c r="G60" s="298">
        <f>IFERROR(IF(Loan_Not_Paid*Values_Entered,Interest,""), "")</f>
        <v>600737.67200998031</v>
      </c>
      <c r="H60" s="298">
        <f>IFERROR(IF(Loan_Not_Paid*Values_Entered,Ending_Balance,""), "")</f>
        <v>169330945.95079225</v>
      </c>
    </row>
    <row r="61" spans="2:8">
      <c r="B61" s="300">
        <f>IFERROR(IF(Loan_Not_Paid*Values_Entered,Payment_Number,""), "")</f>
        <v>44</v>
      </c>
      <c r="C61" s="299"/>
      <c r="D61" s="298">
        <f>IFERROR(IF(Loan_Not_Paid*Values_Entered,Beginning_Balance,""), "")</f>
        <v>169330945.95079225</v>
      </c>
      <c r="E61" s="298">
        <f>IFERROR(IF(Loan_Not_Paid*Values_Entered,Monthly_Payment,""), "")</f>
        <v>889840.28874113306</v>
      </c>
      <c r="F61" s="298">
        <f>IFERROR(IF(Loan_Not_Paid*Values_Entered,Principal,""), "")</f>
        <v>290126.52183207567</v>
      </c>
      <c r="G61" s="298">
        <f>IFERROR(IF(Loan_Not_Paid*Values_Entered,Interest,""), "")</f>
        <v>599713.76690905739</v>
      </c>
      <c r="H61" s="298">
        <f>IFERROR(IF(Loan_Not_Paid*Values_Entered,Ending_Balance,""), "")</f>
        <v>169040819.42896014</v>
      </c>
    </row>
    <row r="62" spans="2:8">
      <c r="B62" s="300">
        <f>IFERROR(IF(Loan_Not_Paid*Values_Entered,Payment_Number,""), "")</f>
        <v>45</v>
      </c>
      <c r="C62" s="299"/>
      <c r="D62" s="298">
        <f>IFERROR(IF(Loan_Not_Paid*Values_Entered,Beginning_Balance,""), "")</f>
        <v>169040819.42896014</v>
      </c>
      <c r="E62" s="298">
        <f>IFERROR(IF(Loan_Not_Paid*Values_Entered,Monthly_Payment,""), "")</f>
        <v>889840.28874113306</v>
      </c>
      <c r="F62" s="298">
        <f>IFERROR(IF(Loan_Not_Paid*Values_Entered,Principal,""), "")</f>
        <v>291154.05326356424</v>
      </c>
      <c r="G62" s="298">
        <f>IFERROR(IF(Loan_Not_Paid*Values_Entered,Interest,""), "")</f>
        <v>598686.23547756893</v>
      </c>
      <c r="H62" s="298">
        <f>IFERROR(IF(Loan_Not_Paid*Values_Entered,Ending_Balance,""), "")</f>
        <v>168749665.37569657</v>
      </c>
    </row>
    <row r="63" spans="2:8">
      <c r="B63" s="300">
        <f>IFERROR(IF(Loan_Not_Paid*Values_Entered,Payment_Number,""), "")</f>
        <v>46</v>
      </c>
      <c r="C63" s="299"/>
      <c r="D63" s="298">
        <f>IFERROR(IF(Loan_Not_Paid*Values_Entered,Beginning_Balance,""), "")</f>
        <v>168749665.37569657</v>
      </c>
      <c r="E63" s="298">
        <f>IFERROR(IF(Loan_Not_Paid*Values_Entered,Monthly_Payment,""), "")</f>
        <v>889840.28874113306</v>
      </c>
      <c r="F63" s="298">
        <f>IFERROR(IF(Loan_Not_Paid*Values_Entered,Principal,""), "")</f>
        <v>292185.22386887274</v>
      </c>
      <c r="G63" s="298">
        <f>IFERROR(IF(Loan_Not_Paid*Values_Entered,Interest,""), "")</f>
        <v>597655.06487226044</v>
      </c>
      <c r="H63" s="298">
        <f>IFERROR(IF(Loan_Not_Paid*Values_Entered,Ending_Balance,""), "")</f>
        <v>168457480.15182769</v>
      </c>
    </row>
    <row r="64" spans="2:8">
      <c r="B64" s="300">
        <f>IFERROR(IF(Loan_Not_Paid*Values_Entered,Payment_Number,""), "")</f>
        <v>47</v>
      </c>
      <c r="C64" s="299"/>
      <c r="D64" s="298">
        <f>IFERROR(IF(Loan_Not_Paid*Values_Entered,Beginning_Balance,""), "")</f>
        <v>168457480.15182769</v>
      </c>
      <c r="E64" s="298">
        <f>IFERROR(IF(Loan_Not_Paid*Values_Entered,Monthly_Payment,""), "")</f>
        <v>889840.28874113306</v>
      </c>
      <c r="F64" s="298">
        <f>IFERROR(IF(Loan_Not_Paid*Values_Entered,Principal,""), "")</f>
        <v>293220.0465367416</v>
      </c>
      <c r="G64" s="298">
        <f>IFERROR(IF(Loan_Not_Paid*Values_Entered,Interest,""), "")</f>
        <v>596620.24220439151</v>
      </c>
      <c r="H64" s="298">
        <f>IFERROR(IF(Loan_Not_Paid*Values_Entered,Ending_Balance,""), "")</f>
        <v>168164260.10529092</v>
      </c>
    </row>
    <row r="65" spans="2:8">
      <c r="B65" s="300">
        <f>IFERROR(IF(Loan_Not_Paid*Values_Entered,Payment_Number,""), "")</f>
        <v>48</v>
      </c>
      <c r="C65" s="299"/>
      <c r="D65" s="298">
        <f>IFERROR(IF(Loan_Not_Paid*Values_Entered,Beginning_Balance,""), "")</f>
        <v>168164260.10529092</v>
      </c>
      <c r="E65" s="298">
        <f>IFERROR(IF(Loan_Not_Paid*Values_Entered,Monthly_Payment,""), "")</f>
        <v>889840.28874113306</v>
      </c>
      <c r="F65" s="298">
        <f>IFERROR(IF(Loan_Not_Paid*Values_Entered,Principal,""), "")</f>
        <v>294258.53420155926</v>
      </c>
      <c r="G65" s="298">
        <f>IFERROR(IF(Loan_Not_Paid*Values_Entered,Interest,""), "")</f>
        <v>595581.7545395738</v>
      </c>
      <c r="H65" s="298">
        <f>IFERROR(IF(Loan_Not_Paid*Values_Entered,Ending_Balance,""), "")</f>
        <v>167870001.57108939</v>
      </c>
    </row>
    <row r="66" spans="2:8">
      <c r="B66" s="300">
        <f>IFERROR(IF(Loan_Not_Paid*Values_Entered,Payment_Number,""), "")</f>
        <v>49</v>
      </c>
      <c r="C66" s="299"/>
      <c r="D66" s="298">
        <f>IFERROR(IF(Loan_Not_Paid*Values_Entered,Beginning_Balance,""), "")</f>
        <v>167870001.57108939</v>
      </c>
      <c r="E66" s="298">
        <f>IFERROR(IF(Loan_Not_Paid*Values_Entered,Monthly_Payment,""), "")</f>
        <v>889840.28874113306</v>
      </c>
      <c r="F66" s="298">
        <f>IFERROR(IF(Loan_Not_Paid*Values_Entered,Principal,""), "")</f>
        <v>295300.69984352309</v>
      </c>
      <c r="G66" s="298">
        <f>IFERROR(IF(Loan_Not_Paid*Values_Entered,Interest,""), "")</f>
        <v>594539.58889760997</v>
      </c>
      <c r="H66" s="298">
        <f>IFERROR(IF(Loan_Not_Paid*Values_Entered,Ending_Balance,""), "")</f>
        <v>167574700.87124586</v>
      </c>
    </row>
    <row r="67" spans="2:8">
      <c r="B67" s="300">
        <f>IFERROR(IF(Loan_Not_Paid*Values_Entered,Payment_Number,""), "")</f>
        <v>50</v>
      </c>
      <c r="C67" s="299"/>
      <c r="D67" s="298">
        <f>IFERROR(IF(Loan_Not_Paid*Values_Entered,Beginning_Balance,""), "")</f>
        <v>167574700.87124586</v>
      </c>
      <c r="E67" s="298">
        <f>IFERROR(IF(Loan_Not_Paid*Values_Entered,Monthly_Payment,""), "")</f>
        <v>889840.28874113306</v>
      </c>
      <c r="F67" s="298">
        <f>IFERROR(IF(Loan_Not_Paid*Values_Entered,Principal,""), "")</f>
        <v>296346.55648880225</v>
      </c>
      <c r="G67" s="298">
        <f>IFERROR(IF(Loan_Not_Paid*Values_Entered,Interest,""), "")</f>
        <v>593493.73225233087</v>
      </c>
      <c r="H67" s="298">
        <f>IFERROR(IF(Loan_Not_Paid*Values_Entered,Ending_Balance,""), "")</f>
        <v>167278354.31475702</v>
      </c>
    </row>
    <row r="68" spans="2:8">
      <c r="B68" s="300">
        <f>IFERROR(IF(Loan_Not_Paid*Values_Entered,Payment_Number,""), "")</f>
        <v>51</v>
      </c>
      <c r="C68" s="299"/>
      <c r="D68" s="298">
        <f>IFERROR(IF(Loan_Not_Paid*Values_Entered,Beginning_Balance,""), "")</f>
        <v>167278354.31475702</v>
      </c>
      <c r="E68" s="298">
        <f>IFERROR(IF(Loan_Not_Paid*Values_Entered,Monthly_Payment,""), "")</f>
        <v>889840.28874113306</v>
      </c>
      <c r="F68" s="298">
        <f>IFERROR(IF(Loan_Not_Paid*Values_Entered,Principal,""), "")</f>
        <v>297396.11720970011</v>
      </c>
      <c r="G68" s="298">
        <f>IFERROR(IF(Loan_Not_Paid*Values_Entered,Interest,""), "")</f>
        <v>592444.17153143301</v>
      </c>
      <c r="H68" s="298">
        <f>IFERROR(IF(Loan_Not_Paid*Values_Entered,Ending_Balance,""), "")</f>
        <v>166980958.19754732</v>
      </c>
    </row>
    <row r="69" spans="2:8">
      <c r="B69" s="300">
        <f>IFERROR(IF(Loan_Not_Paid*Values_Entered,Payment_Number,""), "")</f>
        <v>52</v>
      </c>
      <c r="C69" s="299"/>
      <c r="D69" s="298">
        <f>IFERROR(IF(Loan_Not_Paid*Values_Entered,Beginning_Balance,""), "")</f>
        <v>166980958.19754732</v>
      </c>
      <c r="E69" s="298">
        <f>IFERROR(IF(Loan_Not_Paid*Values_Entered,Monthly_Payment,""), "")</f>
        <v>889840.28874113306</v>
      </c>
      <c r="F69" s="298">
        <f>IFERROR(IF(Loan_Not_Paid*Values_Entered,Principal,""), "")</f>
        <v>298449.39512481785</v>
      </c>
      <c r="G69" s="298">
        <f>IFERROR(IF(Loan_Not_Paid*Values_Entered,Interest,""), "")</f>
        <v>591390.89361631533</v>
      </c>
      <c r="H69" s="298">
        <f>IFERROR(IF(Loan_Not_Paid*Values_Entered,Ending_Balance,""), "")</f>
        <v>166682508.80242246</v>
      </c>
    </row>
    <row r="70" spans="2:8">
      <c r="B70" s="300">
        <f>IFERROR(IF(Loan_Not_Paid*Values_Entered,Payment_Number,""), "")</f>
        <v>53</v>
      </c>
      <c r="C70" s="299"/>
      <c r="D70" s="298">
        <f>IFERROR(IF(Loan_Not_Paid*Values_Entered,Beginning_Balance,""), "")</f>
        <v>166682508.80242246</v>
      </c>
      <c r="E70" s="298">
        <f>IFERROR(IF(Loan_Not_Paid*Values_Entered,Monthly_Payment,""), "")</f>
        <v>889840.28874113306</v>
      </c>
      <c r="F70" s="298">
        <f>IFERROR(IF(Loan_Not_Paid*Values_Entered,Principal,""), "")</f>
        <v>299506.40339921822</v>
      </c>
      <c r="G70" s="298">
        <f>IFERROR(IF(Loan_Not_Paid*Values_Entered,Interest,""), "")</f>
        <v>590333.88534191495</v>
      </c>
      <c r="H70" s="298">
        <f>IFERROR(IF(Loan_Not_Paid*Values_Entered,Ending_Balance,""), "")</f>
        <v>166383002.39902323</v>
      </c>
    </row>
    <row r="71" spans="2:8">
      <c r="B71" s="300">
        <f>IFERROR(IF(Loan_Not_Paid*Values_Entered,Payment_Number,""), "")</f>
        <v>54</v>
      </c>
      <c r="C71" s="299"/>
      <c r="D71" s="298">
        <f>IFERROR(IF(Loan_Not_Paid*Values_Entered,Beginning_Balance,""), "")</f>
        <v>166383002.39902323</v>
      </c>
      <c r="E71" s="298">
        <f>IFERROR(IF(Loan_Not_Paid*Values_Entered,Monthly_Payment,""), "")</f>
        <v>889840.28874113306</v>
      </c>
      <c r="F71" s="298">
        <f>IFERROR(IF(Loan_Not_Paid*Values_Entered,Principal,""), "")</f>
        <v>300567.15524459042</v>
      </c>
      <c r="G71" s="298">
        <f>IFERROR(IF(Loan_Not_Paid*Values_Entered,Interest,""), "")</f>
        <v>589273.13349654269</v>
      </c>
      <c r="H71" s="298">
        <f>IFERROR(IF(Loan_Not_Paid*Values_Entered,Ending_Balance,""), "")</f>
        <v>166082435.24377865</v>
      </c>
    </row>
    <row r="72" spans="2:8">
      <c r="B72" s="300">
        <f>IFERROR(IF(Loan_Not_Paid*Values_Entered,Payment_Number,""), "")</f>
        <v>55</v>
      </c>
      <c r="C72" s="299"/>
      <c r="D72" s="298">
        <f>IFERROR(IF(Loan_Not_Paid*Values_Entered,Beginning_Balance,""), "")</f>
        <v>166082435.24377865</v>
      </c>
      <c r="E72" s="298">
        <f>IFERROR(IF(Loan_Not_Paid*Values_Entered,Monthly_Payment,""), "")</f>
        <v>889840.28874113306</v>
      </c>
      <c r="F72" s="298">
        <f>IFERROR(IF(Loan_Not_Paid*Values_Entered,Principal,""), "")</f>
        <v>301631.66391941503</v>
      </c>
      <c r="G72" s="298">
        <f>IFERROR(IF(Loan_Not_Paid*Values_Entered,Interest,""), "")</f>
        <v>588208.62482171808</v>
      </c>
      <c r="H72" s="298">
        <f>IFERROR(IF(Loan_Not_Paid*Values_Entered,Ending_Balance,""), "")</f>
        <v>165780803.5798592</v>
      </c>
    </row>
    <row r="73" spans="2:8">
      <c r="B73" s="300">
        <f>IFERROR(IF(Loan_Not_Paid*Values_Entered,Payment_Number,""), "")</f>
        <v>56</v>
      </c>
      <c r="C73" s="299"/>
      <c r="D73" s="298">
        <f>IFERROR(IF(Loan_Not_Paid*Values_Entered,Beginning_Balance,""), "")</f>
        <v>165780803.5798592</v>
      </c>
      <c r="E73" s="298">
        <f>IFERROR(IF(Loan_Not_Paid*Values_Entered,Monthly_Payment,""), "")</f>
        <v>889840.28874113306</v>
      </c>
      <c r="F73" s="298">
        <f>IFERROR(IF(Loan_Not_Paid*Values_Entered,Principal,""), "")</f>
        <v>302699.94272912963</v>
      </c>
      <c r="G73" s="298">
        <f>IFERROR(IF(Loan_Not_Paid*Values_Entered,Interest,""), "")</f>
        <v>587140.34601200349</v>
      </c>
      <c r="H73" s="298">
        <f>IFERROR(IF(Loan_Not_Paid*Values_Entered,Ending_Balance,""), "")</f>
        <v>165478103.63713008</v>
      </c>
    </row>
    <row r="74" spans="2:8">
      <c r="B74" s="300">
        <f>IFERROR(IF(Loan_Not_Paid*Values_Entered,Payment_Number,""), "")</f>
        <v>57</v>
      </c>
      <c r="C74" s="299"/>
      <c r="D74" s="298">
        <f>IFERROR(IF(Loan_Not_Paid*Values_Entered,Beginning_Balance,""), "")</f>
        <v>165478103.63713008</v>
      </c>
      <c r="E74" s="298">
        <f>IFERROR(IF(Loan_Not_Paid*Values_Entered,Monthly_Payment,""), "")</f>
        <v>889840.28874113306</v>
      </c>
      <c r="F74" s="298">
        <f>IFERROR(IF(Loan_Not_Paid*Values_Entered,Principal,""), "")</f>
        <v>303772.00502629526</v>
      </c>
      <c r="G74" s="298">
        <f>IFERROR(IF(Loan_Not_Paid*Values_Entered,Interest,""), "")</f>
        <v>586068.28371483786</v>
      </c>
      <c r="H74" s="298">
        <f>IFERROR(IF(Loan_Not_Paid*Values_Entered,Ending_Balance,""), "")</f>
        <v>165174331.63210377</v>
      </c>
    </row>
    <row r="75" spans="2:8">
      <c r="B75" s="300">
        <f>IFERROR(IF(Loan_Not_Paid*Values_Entered,Payment_Number,""), "")</f>
        <v>58</v>
      </c>
      <c r="C75" s="299"/>
      <c r="D75" s="298">
        <f>IFERROR(IF(Loan_Not_Paid*Values_Entered,Beginning_Balance,""), "")</f>
        <v>165174331.63210377</v>
      </c>
      <c r="E75" s="298">
        <f>IFERROR(IF(Loan_Not_Paid*Values_Entered,Monthly_Payment,""), "")</f>
        <v>889840.28874113306</v>
      </c>
      <c r="F75" s="298">
        <f>IFERROR(IF(Loan_Not_Paid*Values_Entered,Principal,""), "")</f>
        <v>304847.86421076342</v>
      </c>
      <c r="G75" s="298">
        <f>IFERROR(IF(Loan_Not_Paid*Values_Entered,Interest,""), "")</f>
        <v>584992.4245303697</v>
      </c>
      <c r="H75" s="298">
        <f>IFERROR(IF(Loan_Not_Paid*Values_Entered,Ending_Balance,""), "")</f>
        <v>164869483.76789299</v>
      </c>
    </row>
    <row r="76" spans="2:8">
      <c r="B76" s="300">
        <f>IFERROR(IF(Loan_Not_Paid*Values_Entered,Payment_Number,""), "")</f>
        <v>59</v>
      </c>
      <c r="C76" s="299"/>
      <c r="D76" s="298">
        <f>IFERROR(IF(Loan_Not_Paid*Values_Entered,Beginning_Balance,""), "")</f>
        <v>164869483.76789299</v>
      </c>
      <c r="E76" s="298">
        <f>IFERROR(IF(Loan_Not_Paid*Values_Entered,Monthly_Payment,""), "")</f>
        <v>889840.28874113306</v>
      </c>
      <c r="F76" s="298">
        <f>IFERROR(IF(Loan_Not_Paid*Values_Entered,Principal,""), "")</f>
        <v>305927.53372984316</v>
      </c>
      <c r="G76" s="298">
        <f>IFERROR(IF(Loan_Not_Paid*Values_Entered,Interest,""), "")</f>
        <v>583912.75501128996</v>
      </c>
      <c r="H76" s="298">
        <f>IFERROR(IF(Loan_Not_Paid*Values_Entered,Ending_Balance,""), "")</f>
        <v>164563556.23416311</v>
      </c>
    </row>
    <row r="77" spans="2:8">
      <c r="B77" s="300">
        <f>IFERROR(IF(Loan_Not_Paid*Values_Entered,Payment_Number,""), "")</f>
        <v>60</v>
      </c>
      <c r="C77" s="299"/>
      <c r="D77" s="298">
        <f>IFERROR(IF(Loan_Not_Paid*Values_Entered,Beginning_Balance,""), "")</f>
        <v>164563556.23416311</v>
      </c>
      <c r="E77" s="298">
        <f>IFERROR(IF(Loan_Not_Paid*Values_Entered,Monthly_Payment,""), "")</f>
        <v>889840.28874113306</v>
      </c>
      <c r="F77" s="298">
        <f>IFERROR(IF(Loan_Not_Paid*Values_Entered,Principal,""), "")</f>
        <v>307011.02707846975</v>
      </c>
      <c r="G77" s="298">
        <f>IFERROR(IF(Loan_Not_Paid*Values_Entered,Interest,""), "")</f>
        <v>582829.26166266331</v>
      </c>
      <c r="H77" s="298">
        <f>IFERROR(IF(Loan_Not_Paid*Values_Entered,Ending_Balance,""), "")</f>
        <v>164256545.20708466</v>
      </c>
    </row>
    <row r="78" spans="2:8">
      <c r="B78" s="300">
        <f>IFERROR(IF(Loan_Not_Paid*Values_Entered,Payment_Number,""), "")</f>
        <v>61</v>
      </c>
      <c r="C78" s="299"/>
      <c r="D78" s="298">
        <f>IFERROR(IF(Loan_Not_Paid*Values_Entered,Beginning_Balance,""), "")</f>
        <v>164256545.20708466</v>
      </c>
      <c r="E78" s="298">
        <f>IFERROR(IF(Loan_Not_Paid*Values_Entered,Monthly_Payment,""), "")</f>
        <v>889840.28874113306</v>
      </c>
      <c r="F78" s="298">
        <f>IFERROR(IF(Loan_Not_Paid*Values_Entered,Principal,""), "")</f>
        <v>308098.35779937264</v>
      </c>
      <c r="G78" s="298">
        <f>IFERROR(IF(Loan_Not_Paid*Values_Entered,Interest,""), "")</f>
        <v>581741.93094176054</v>
      </c>
      <c r="H78" s="298">
        <f>IFERROR(IF(Loan_Not_Paid*Values_Entered,Ending_Balance,""), "")</f>
        <v>163948446.84928527</v>
      </c>
    </row>
    <row r="79" spans="2:8">
      <c r="B79" s="300">
        <f>IFERROR(IF(Loan_Not_Paid*Values_Entered,Payment_Number,""), "")</f>
        <v>62</v>
      </c>
      <c r="C79" s="299"/>
      <c r="D79" s="298">
        <f>IFERROR(IF(Loan_Not_Paid*Values_Entered,Beginning_Balance,""), "")</f>
        <v>163948446.84928527</v>
      </c>
      <c r="E79" s="298">
        <f>IFERROR(IF(Loan_Not_Paid*Values_Entered,Monthly_Payment,""), "")</f>
        <v>889840.28874113306</v>
      </c>
      <c r="F79" s="298">
        <f>IFERROR(IF(Loan_Not_Paid*Values_Entered,Principal,""), "")</f>
        <v>309189.5394832454</v>
      </c>
      <c r="G79" s="298">
        <f>IFERROR(IF(Loan_Not_Paid*Values_Entered,Interest,""), "")</f>
        <v>580650.7492578876</v>
      </c>
      <c r="H79" s="298">
        <f>IFERROR(IF(Loan_Not_Paid*Values_Entered,Ending_Balance,""), "")</f>
        <v>163639257.30980203</v>
      </c>
    </row>
    <row r="80" spans="2:8">
      <c r="B80" s="300">
        <f>IFERROR(IF(Loan_Not_Paid*Values_Entered,Payment_Number,""), "")</f>
        <v>63</v>
      </c>
      <c r="C80" s="299"/>
      <c r="D80" s="298">
        <f>IFERROR(IF(Loan_Not_Paid*Values_Entered,Beginning_Balance,""), "")</f>
        <v>163639257.30980203</v>
      </c>
      <c r="E80" s="298">
        <f>IFERROR(IF(Loan_Not_Paid*Values_Entered,Monthly_Payment,""), "")</f>
        <v>889840.28874113306</v>
      </c>
      <c r="F80" s="298">
        <f>IFERROR(IF(Loan_Not_Paid*Values_Entered,Principal,""), "")</f>
        <v>310284.58576891525</v>
      </c>
      <c r="G80" s="298">
        <f>IFERROR(IF(Loan_Not_Paid*Values_Entered,Interest,""), "")</f>
        <v>579555.70297221793</v>
      </c>
      <c r="H80" s="298">
        <f>IFERROR(IF(Loan_Not_Paid*Values_Entered,Ending_Balance,""), "")</f>
        <v>163328972.72403306</v>
      </c>
    </row>
    <row r="81" spans="2:8">
      <c r="B81" s="300">
        <f>IFERROR(IF(Loan_Not_Paid*Values_Entered,Payment_Number,""), "")</f>
        <v>64</v>
      </c>
      <c r="C81" s="299"/>
      <c r="D81" s="298">
        <f>IFERROR(IF(Loan_Not_Paid*Values_Entered,Beginning_Balance,""), "")</f>
        <v>163328972.72403306</v>
      </c>
      <c r="E81" s="298">
        <f>IFERROR(IF(Loan_Not_Paid*Values_Entered,Monthly_Payment,""), "")</f>
        <v>889840.28874113306</v>
      </c>
      <c r="F81" s="298">
        <f>IFERROR(IF(Loan_Not_Paid*Values_Entered,Principal,""), "")</f>
        <v>311383.51034351351</v>
      </c>
      <c r="G81" s="298">
        <f>IFERROR(IF(Loan_Not_Paid*Values_Entered,Interest,""), "")</f>
        <v>578456.77839761949</v>
      </c>
      <c r="H81" s="298">
        <f>IFERROR(IF(Loan_Not_Paid*Values_Entered,Ending_Balance,""), "")</f>
        <v>163017589.21368957</v>
      </c>
    </row>
    <row r="82" spans="2:8">
      <c r="B82" s="300">
        <f>IFERROR(IF(Loan_Not_Paid*Values_Entered,Payment_Number,""), "")</f>
        <v>65</v>
      </c>
      <c r="C82" s="299"/>
      <c r="D82" s="298">
        <f>IFERROR(IF(Loan_Not_Paid*Values_Entered,Beginning_Balance,""), "")</f>
        <v>163017589.21368957</v>
      </c>
      <c r="E82" s="298">
        <f>IFERROR(IF(Loan_Not_Paid*Values_Entered,Monthly_Payment,""), "")</f>
        <v>889840.28874113306</v>
      </c>
      <c r="F82" s="298">
        <f>IFERROR(IF(Loan_Not_Paid*Values_Entered,Principal,""), "")</f>
        <v>312486.32694264676</v>
      </c>
      <c r="G82" s="298">
        <f>IFERROR(IF(Loan_Not_Paid*Values_Entered,Interest,""), "")</f>
        <v>577353.9617984863</v>
      </c>
      <c r="H82" s="298">
        <f>IFERROR(IF(Loan_Not_Paid*Values_Entered,Ending_Balance,""), "")</f>
        <v>162705102.88674688</v>
      </c>
    </row>
    <row r="83" spans="2:8">
      <c r="B83" s="300">
        <f>IFERROR(IF(Loan_Not_Paid*Values_Entered,Payment_Number,""), "")</f>
        <v>66</v>
      </c>
      <c r="C83" s="299"/>
      <c r="D83" s="298">
        <f>IFERROR(IF(Loan_Not_Paid*Values_Entered,Beginning_Balance,""), "")</f>
        <v>162705102.88674688</v>
      </c>
      <c r="E83" s="298">
        <f>IFERROR(IF(Loan_Not_Paid*Values_Entered,Monthly_Payment,""), "")</f>
        <v>889840.28874113306</v>
      </c>
      <c r="F83" s="298">
        <f>IFERROR(IF(Loan_Not_Paid*Values_Entered,Principal,""), "")</f>
        <v>313593.04935056862</v>
      </c>
      <c r="G83" s="298">
        <f>IFERROR(IF(Loan_Not_Paid*Values_Entered,Interest,""), "")</f>
        <v>576247.2393905645</v>
      </c>
      <c r="H83" s="298">
        <f>IFERROR(IF(Loan_Not_Paid*Values_Entered,Ending_Balance,""), "")</f>
        <v>162391509.83739632</v>
      </c>
    </row>
    <row r="84" spans="2:8">
      <c r="B84" s="300">
        <f>IFERROR(IF(Loan_Not_Paid*Values_Entered,Payment_Number,""), "")</f>
        <v>67</v>
      </c>
      <c r="C84" s="299"/>
      <c r="D84" s="298">
        <f>IFERROR(IF(Loan_Not_Paid*Values_Entered,Beginning_Balance,""), "")</f>
        <v>162391509.83739632</v>
      </c>
      <c r="E84" s="298">
        <f>IFERROR(IF(Loan_Not_Paid*Values_Entered,Monthly_Payment,""), "")</f>
        <v>889840.28874113306</v>
      </c>
      <c r="F84" s="298">
        <f>IFERROR(IF(Loan_Not_Paid*Values_Entered,Principal,""), "")</f>
        <v>314703.69140035188</v>
      </c>
      <c r="G84" s="298">
        <f>IFERROR(IF(Loan_Not_Paid*Values_Entered,Interest,""), "")</f>
        <v>575136.59734078113</v>
      </c>
      <c r="H84" s="298">
        <f>IFERROR(IF(Loan_Not_Paid*Values_Entered,Ending_Balance,""), "")</f>
        <v>162076806.14599591</v>
      </c>
    </row>
    <row r="85" spans="2:8">
      <c r="B85" s="300">
        <f>IFERROR(IF(Loan_Not_Paid*Values_Entered,Payment_Number,""), "")</f>
        <v>68</v>
      </c>
      <c r="C85" s="299"/>
      <c r="D85" s="298">
        <f>IFERROR(IF(Loan_Not_Paid*Values_Entered,Beginning_Balance,""), "")</f>
        <v>162076806.14599591</v>
      </c>
      <c r="E85" s="298">
        <f>IFERROR(IF(Loan_Not_Paid*Values_Entered,Monthly_Payment,""), "")</f>
        <v>889840.28874113306</v>
      </c>
      <c r="F85" s="298">
        <f>IFERROR(IF(Loan_Not_Paid*Values_Entered,Principal,""), "")</f>
        <v>315818.26697406149</v>
      </c>
      <c r="G85" s="298">
        <f>IFERROR(IF(Loan_Not_Paid*Values_Entered,Interest,""), "")</f>
        <v>574022.02176707168</v>
      </c>
      <c r="H85" s="298">
        <f>IFERROR(IF(Loan_Not_Paid*Values_Entered,Ending_Balance,""), "")</f>
        <v>161760987.87902188</v>
      </c>
    </row>
    <row r="86" spans="2:8">
      <c r="B86" s="300">
        <f>IFERROR(IF(Loan_Not_Paid*Values_Entered,Payment_Number,""), "")</f>
        <v>69</v>
      </c>
      <c r="C86" s="299"/>
      <c r="D86" s="298">
        <f>IFERROR(IF(Loan_Not_Paid*Values_Entered,Beginning_Balance,""), "")</f>
        <v>161760987.87902188</v>
      </c>
      <c r="E86" s="298">
        <f>IFERROR(IF(Loan_Not_Paid*Values_Entered,Monthly_Payment,""), "")</f>
        <v>889840.28874113306</v>
      </c>
      <c r="F86" s="298">
        <f>IFERROR(IF(Loan_Not_Paid*Values_Entered,Principal,""), "")</f>
        <v>316936.79000292788</v>
      </c>
      <c r="G86" s="298">
        <f>IFERROR(IF(Loan_Not_Paid*Values_Entered,Interest,""), "")</f>
        <v>572903.49873820518</v>
      </c>
      <c r="H86" s="298">
        <f>IFERROR(IF(Loan_Not_Paid*Values_Entered,Ending_Balance,""), "")</f>
        <v>161444051.08901894</v>
      </c>
    </row>
    <row r="87" spans="2:8">
      <c r="B87" s="300">
        <f>IFERROR(IF(Loan_Not_Paid*Values_Entered,Payment_Number,""), "")</f>
        <v>70</v>
      </c>
      <c r="C87" s="299"/>
      <c r="D87" s="298">
        <f>IFERROR(IF(Loan_Not_Paid*Values_Entered,Beginning_Balance,""), "")</f>
        <v>161444051.08901894</v>
      </c>
      <c r="E87" s="298">
        <f>IFERROR(IF(Loan_Not_Paid*Values_Entered,Monthly_Payment,""), "")</f>
        <v>889840.28874113306</v>
      </c>
      <c r="F87" s="298">
        <f>IFERROR(IF(Loan_Not_Paid*Values_Entered,Principal,""), "")</f>
        <v>318059.27446752164</v>
      </c>
      <c r="G87" s="298">
        <f>IFERROR(IF(Loan_Not_Paid*Values_Entered,Interest,""), "")</f>
        <v>571781.01427361148</v>
      </c>
      <c r="H87" s="298">
        <f>IFERROR(IF(Loan_Not_Paid*Values_Entered,Ending_Balance,""), "")</f>
        <v>161125991.81455138</v>
      </c>
    </row>
    <row r="88" spans="2:8">
      <c r="B88" s="300">
        <f>IFERROR(IF(Loan_Not_Paid*Values_Entered,Payment_Number,""), "")</f>
        <v>71</v>
      </c>
      <c r="C88" s="299"/>
      <c r="D88" s="298">
        <f>IFERROR(IF(Loan_Not_Paid*Values_Entered,Beginning_Balance,""), "")</f>
        <v>161125991.81455138</v>
      </c>
      <c r="E88" s="298">
        <f>IFERROR(IF(Loan_Not_Paid*Values_Entered,Monthly_Payment,""), "")</f>
        <v>889840.28874113306</v>
      </c>
      <c r="F88" s="298">
        <f>IFERROR(IF(Loan_Not_Paid*Values_Entered,Principal,""), "")</f>
        <v>319185.73439792736</v>
      </c>
      <c r="G88" s="298">
        <f>IFERROR(IF(Loan_Not_Paid*Values_Entered,Interest,""), "")</f>
        <v>570654.55434320576</v>
      </c>
      <c r="H88" s="298">
        <f>IFERROR(IF(Loan_Not_Paid*Values_Entered,Ending_Balance,""), "")</f>
        <v>160806806.08015344</v>
      </c>
    </row>
    <row r="89" spans="2:8">
      <c r="B89" s="300">
        <f>IFERROR(IF(Loan_Not_Paid*Values_Entered,Payment_Number,""), "")</f>
        <v>72</v>
      </c>
      <c r="C89" s="299"/>
      <c r="D89" s="298">
        <f>IFERROR(IF(Loan_Not_Paid*Values_Entered,Beginning_Balance,""), "")</f>
        <v>160806806.08015344</v>
      </c>
      <c r="E89" s="298">
        <f>IFERROR(IF(Loan_Not_Paid*Values_Entered,Monthly_Payment,""), "")</f>
        <v>889840.28874113306</v>
      </c>
      <c r="F89" s="298">
        <f>IFERROR(IF(Loan_Not_Paid*Values_Entered,Principal,""), "")</f>
        <v>320316.18387392012</v>
      </c>
      <c r="G89" s="298">
        <f>IFERROR(IF(Loan_Not_Paid*Values_Entered,Interest,""), "")</f>
        <v>569524.10486721282</v>
      </c>
      <c r="H89" s="298">
        <f>IFERROR(IF(Loan_Not_Paid*Values_Entered,Ending_Balance,""), "")</f>
        <v>160486489.89627951</v>
      </c>
    </row>
    <row r="90" spans="2:8">
      <c r="B90" s="300">
        <f>IFERROR(IF(Loan_Not_Paid*Values_Entered,Payment_Number,""), "")</f>
        <v>73</v>
      </c>
      <c r="C90" s="299"/>
      <c r="D90" s="298">
        <f>IFERROR(IF(Loan_Not_Paid*Values_Entered,Beginning_Balance,""), "")</f>
        <v>160486489.89627951</v>
      </c>
      <c r="E90" s="298">
        <f>IFERROR(IF(Loan_Not_Paid*Values_Entered,Monthly_Payment,""), "")</f>
        <v>889840.28874113306</v>
      </c>
      <c r="F90" s="298">
        <f>IFERROR(IF(Loan_Not_Paid*Values_Entered,Principal,""), "")</f>
        <v>321450.63702514028</v>
      </c>
      <c r="G90" s="298">
        <f>IFERROR(IF(Loan_Not_Paid*Values_Entered,Interest,""), "")</f>
        <v>568389.65171599283</v>
      </c>
      <c r="H90" s="298">
        <f>IFERROR(IF(Loan_Not_Paid*Values_Entered,Ending_Balance,""), "")</f>
        <v>160165039.25925434</v>
      </c>
    </row>
    <row r="91" spans="2:8">
      <c r="B91" s="300">
        <f>IFERROR(IF(Loan_Not_Paid*Values_Entered,Payment_Number,""), "")</f>
        <v>74</v>
      </c>
      <c r="C91" s="299"/>
      <c r="D91" s="298">
        <f>IFERROR(IF(Loan_Not_Paid*Values_Entered,Beginning_Balance,""), "")</f>
        <v>160165039.25925434</v>
      </c>
      <c r="E91" s="298">
        <f>IFERROR(IF(Loan_Not_Paid*Values_Entered,Monthly_Payment,""), "")</f>
        <v>889840.28874113306</v>
      </c>
      <c r="F91" s="298">
        <f>IFERROR(IF(Loan_Not_Paid*Values_Entered,Principal,""), "")</f>
        <v>322589.10803127097</v>
      </c>
      <c r="G91" s="298">
        <f>IFERROR(IF(Loan_Not_Paid*Values_Entered,Interest,""), "")</f>
        <v>567251.18070986215</v>
      </c>
      <c r="H91" s="298">
        <f>IFERROR(IF(Loan_Not_Paid*Values_Entered,Ending_Balance,""), "")</f>
        <v>159842450.15122309</v>
      </c>
    </row>
    <row r="92" spans="2:8">
      <c r="B92" s="300">
        <f>IFERROR(IF(Loan_Not_Paid*Values_Entered,Payment_Number,""), "")</f>
        <v>75</v>
      </c>
      <c r="C92" s="299"/>
      <c r="D92" s="298">
        <f>IFERROR(IF(Loan_Not_Paid*Values_Entered,Beginning_Balance,""), "")</f>
        <v>159842450.15122309</v>
      </c>
      <c r="E92" s="298">
        <f>IFERROR(IF(Loan_Not_Paid*Values_Entered,Monthly_Payment,""), "")</f>
        <v>889840.28874113306</v>
      </c>
      <c r="F92" s="298">
        <f>IFERROR(IF(Loan_Not_Paid*Values_Entered,Principal,""), "")</f>
        <v>323731.61112221505</v>
      </c>
      <c r="G92" s="298">
        <f>IFERROR(IF(Loan_Not_Paid*Values_Entered,Interest,""), "")</f>
        <v>566108.67761891813</v>
      </c>
      <c r="H92" s="298">
        <f>IFERROR(IF(Loan_Not_Paid*Values_Entered,Ending_Balance,""), "")</f>
        <v>159518718.54010084</v>
      </c>
    </row>
    <row r="93" spans="2:8">
      <c r="B93" s="300">
        <f>IFERROR(IF(Loan_Not_Paid*Values_Entered,Payment_Number,""), "")</f>
        <v>76</v>
      </c>
      <c r="C93" s="299"/>
      <c r="D93" s="298">
        <f>IFERROR(IF(Loan_Not_Paid*Values_Entered,Beginning_Balance,""), "")</f>
        <v>159518718.54010084</v>
      </c>
      <c r="E93" s="298">
        <f>IFERROR(IF(Loan_Not_Paid*Values_Entered,Monthly_Payment,""), "")</f>
        <v>889840.28874113306</v>
      </c>
      <c r="F93" s="298">
        <f>IFERROR(IF(Loan_Not_Paid*Values_Entered,Principal,""), "")</f>
        <v>324878.16057827289</v>
      </c>
      <c r="G93" s="298">
        <f>IFERROR(IF(Loan_Not_Paid*Values_Entered,Interest,""), "")</f>
        <v>564962.12816286029</v>
      </c>
      <c r="H93" s="298">
        <f>IFERROR(IF(Loan_Not_Paid*Values_Entered,Ending_Balance,""), "")</f>
        <v>159193840.37952256</v>
      </c>
    </row>
    <row r="94" spans="2:8">
      <c r="B94" s="300">
        <f>IFERROR(IF(Loan_Not_Paid*Values_Entered,Payment_Number,""), "")</f>
        <v>77</v>
      </c>
      <c r="C94" s="299"/>
      <c r="D94" s="298">
        <f>IFERROR(IF(Loan_Not_Paid*Values_Entered,Beginning_Balance,""), "")</f>
        <v>159193840.37952256</v>
      </c>
      <c r="E94" s="298">
        <f>IFERROR(IF(Loan_Not_Paid*Values_Entered,Monthly_Payment,""), "")</f>
        <v>889840.28874113306</v>
      </c>
      <c r="F94" s="298">
        <f>IFERROR(IF(Loan_Not_Paid*Values_Entered,Principal,""), "")</f>
        <v>326028.77073032089</v>
      </c>
      <c r="G94" s="298">
        <f>IFERROR(IF(Loan_Not_Paid*Values_Entered,Interest,""), "")</f>
        <v>563811.51801081223</v>
      </c>
      <c r="H94" s="298">
        <f>IFERROR(IF(Loan_Not_Paid*Values_Entered,Ending_Balance,""), "")</f>
        <v>158867811.60879225</v>
      </c>
    </row>
    <row r="95" spans="2:8">
      <c r="B95" s="300">
        <f>IFERROR(IF(Loan_Not_Paid*Values_Entered,Payment_Number,""), "")</f>
        <v>78</v>
      </c>
      <c r="C95" s="299"/>
      <c r="D95" s="298">
        <f>IFERROR(IF(Loan_Not_Paid*Values_Entered,Beginning_Balance,""), "")</f>
        <v>158867811.60879225</v>
      </c>
      <c r="E95" s="298">
        <f>IFERROR(IF(Loan_Not_Paid*Values_Entered,Monthly_Payment,""), "")</f>
        <v>889840.28874113306</v>
      </c>
      <c r="F95" s="298">
        <f>IFERROR(IF(Loan_Not_Paid*Values_Entered,Principal,""), "")</f>
        <v>327183.4559599908</v>
      </c>
      <c r="G95" s="298">
        <f>IFERROR(IF(Loan_Not_Paid*Values_Entered,Interest,""), "")</f>
        <v>562656.83278114221</v>
      </c>
      <c r="H95" s="298">
        <f>IFERROR(IF(Loan_Not_Paid*Values_Entered,Ending_Balance,""), "")</f>
        <v>158540628.15283221</v>
      </c>
    </row>
    <row r="96" spans="2:8">
      <c r="B96" s="300">
        <f>IFERROR(IF(Loan_Not_Paid*Values_Entered,Payment_Number,""), "")</f>
        <v>79</v>
      </c>
      <c r="C96" s="299"/>
      <c r="D96" s="298">
        <f>IFERROR(IF(Loan_Not_Paid*Values_Entered,Beginning_Balance,""), "")</f>
        <v>158540628.15283221</v>
      </c>
      <c r="E96" s="298">
        <f>IFERROR(IF(Loan_Not_Paid*Values_Entered,Monthly_Payment,""), "")</f>
        <v>889840.28874113306</v>
      </c>
      <c r="F96" s="298">
        <f>IFERROR(IF(Loan_Not_Paid*Values_Entered,Principal,""), "")</f>
        <v>328342.23069984908</v>
      </c>
      <c r="G96" s="298">
        <f>IFERROR(IF(Loan_Not_Paid*Values_Entered,Interest,""), "")</f>
        <v>561498.05804128398</v>
      </c>
      <c r="H96" s="298">
        <f>IFERROR(IF(Loan_Not_Paid*Values_Entered,Ending_Balance,""), "")</f>
        <v>158212285.92213234</v>
      </c>
    </row>
    <row r="97" spans="2:8">
      <c r="B97" s="300">
        <f>IFERROR(IF(Loan_Not_Paid*Values_Entered,Payment_Number,""), "")</f>
        <v>80</v>
      </c>
      <c r="C97" s="299"/>
      <c r="D97" s="298">
        <f>IFERROR(IF(Loan_Not_Paid*Values_Entered,Beginning_Balance,""), "")</f>
        <v>158212285.92213234</v>
      </c>
      <c r="E97" s="298">
        <f>IFERROR(IF(Loan_Not_Paid*Values_Entered,Monthly_Payment,""), "")</f>
        <v>889840.28874113306</v>
      </c>
      <c r="F97" s="298">
        <f>IFERROR(IF(Loan_Not_Paid*Values_Entered,Principal,""), "")</f>
        <v>329505.1094335778</v>
      </c>
      <c r="G97" s="298">
        <f>IFERROR(IF(Loan_Not_Paid*Values_Entered,Interest,""), "")</f>
        <v>560335.1793075552</v>
      </c>
      <c r="H97" s="298">
        <f>IFERROR(IF(Loan_Not_Paid*Values_Entered,Ending_Balance,""), "")</f>
        <v>157882780.81269878</v>
      </c>
    </row>
    <row r="98" spans="2:8">
      <c r="B98" s="300">
        <f>IFERROR(IF(Loan_Not_Paid*Values_Entered,Payment_Number,""), "")</f>
        <v>81</v>
      </c>
      <c r="C98" s="299"/>
      <c r="D98" s="298">
        <f>IFERROR(IF(Loan_Not_Paid*Values_Entered,Beginning_Balance,""), "")</f>
        <v>157882780.81269878</v>
      </c>
      <c r="E98" s="298">
        <f>IFERROR(IF(Loan_Not_Paid*Values_Entered,Monthly_Payment,""), "")</f>
        <v>889840.28874113306</v>
      </c>
      <c r="F98" s="298">
        <f>IFERROR(IF(Loan_Not_Paid*Values_Entered,Principal,""), "")</f>
        <v>330672.10669615498</v>
      </c>
      <c r="G98" s="298">
        <f>IFERROR(IF(Loan_Not_Paid*Values_Entered,Interest,""), "")</f>
        <v>559168.18204497802</v>
      </c>
      <c r="H98" s="298">
        <f>IFERROR(IF(Loan_Not_Paid*Values_Entered,Ending_Balance,""), "")</f>
        <v>157552108.70600262</v>
      </c>
    </row>
    <row r="99" spans="2:8">
      <c r="B99" s="300">
        <f>IFERROR(IF(Loan_Not_Paid*Values_Entered,Payment_Number,""), "")</f>
        <v>82</v>
      </c>
      <c r="C99" s="299"/>
      <c r="D99" s="298">
        <f>IFERROR(IF(Loan_Not_Paid*Values_Entered,Beginning_Balance,""), "")</f>
        <v>157552108.70600262</v>
      </c>
      <c r="E99" s="298">
        <f>IFERROR(IF(Loan_Not_Paid*Values_Entered,Monthly_Payment,""), "")</f>
        <v>889840.28874113306</v>
      </c>
      <c r="F99" s="298">
        <f>IFERROR(IF(Loan_Not_Paid*Values_Entered,Principal,""), "")</f>
        <v>331843.2370740372</v>
      </c>
      <c r="G99" s="298">
        <f>IFERROR(IF(Loan_Not_Paid*Values_Entered,Interest,""), "")</f>
        <v>557997.05166709586</v>
      </c>
      <c r="H99" s="298">
        <f>IFERROR(IF(Loan_Not_Paid*Values_Entered,Ending_Balance,""), "")</f>
        <v>157220265.46892852</v>
      </c>
    </row>
    <row r="100" spans="2:8">
      <c r="B100" s="300">
        <f>IFERROR(IF(Loan_Not_Paid*Values_Entered,Payment_Number,""), "")</f>
        <v>83</v>
      </c>
      <c r="C100" s="299"/>
      <c r="D100" s="298">
        <f>IFERROR(IF(Loan_Not_Paid*Values_Entered,Beginning_Balance,""), "")</f>
        <v>157220265.46892852</v>
      </c>
      <c r="E100" s="298">
        <f>IFERROR(IF(Loan_Not_Paid*Values_Entered,Monthly_Payment,""), "")</f>
        <v>889840.28874113306</v>
      </c>
      <c r="F100" s="298">
        <f>IFERROR(IF(Loan_Not_Paid*Values_Entered,Principal,""), "")</f>
        <v>333018.5152053411</v>
      </c>
      <c r="G100" s="298">
        <f>IFERROR(IF(Loan_Not_Paid*Values_Entered,Interest,""), "")</f>
        <v>556821.77353579202</v>
      </c>
      <c r="H100" s="298">
        <f>IFERROR(IF(Loan_Not_Paid*Values_Entered,Ending_Balance,""), "")</f>
        <v>156887246.95372319</v>
      </c>
    </row>
    <row r="101" spans="2:8">
      <c r="B101" s="300">
        <f>IFERROR(IF(Loan_Not_Paid*Values_Entered,Payment_Number,""), "")</f>
        <v>84</v>
      </c>
      <c r="C101" s="299"/>
      <c r="D101" s="298">
        <f>IFERROR(IF(Loan_Not_Paid*Values_Entered,Beginning_Balance,""), "")</f>
        <v>156887246.95372319</v>
      </c>
      <c r="E101" s="298">
        <f>IFERROR(IF(Loan_Not_Paid*Values_Entered,Monthly_Payment,""), "")</f>
        <v>889840.28874113306</v>
      </c>
      <c r="F101" s="298">
        <f>IFERROR(IF(Loan_Not_Paid*Values_Entered,Principal,""), "")</f>
        <v>334197.95578002668</v>
      </c>
      <c r="G101" s="298">
        <f>IFERROR(IF(Loan_Not_Paid*Values_Entered,Interest,""), "")</f>
        <v>555642.33296110644</v>
      </c>
      <c r="H101" s="298">
        <f>IFERROR(IF(Loan_Not_Paid*Values_Entered,Ending_Balance,""), "")</f>
        <v>156553048.99794316</v>
      </c>
    </row>
    <row r="102" spans="2:8">
      <c r="B102" s="300">
        <f>IFERROR(IF(Loan_Not_Paid*Values_Entered,Payment_Number,""), "")</f>
        <v>85</v>
      </c>
      <c r="C102" s="299"/>
      <c r="D102" s="298">
        <f>IFERROR(IF(Loan_Not_Paid*Values_Entered,Beginning_Balance,""), "")</f>
        <v>156553048.99794316</v>
      </c>
      <c r="E102" s="298">
        <f>IFERROR(IF(Loan_Not_Paid*Values_Entered,Monthly_Payment,""), "")</f>
        <v>889840.28874113306</v>
      </c>
      <c r="F102" s="298">
        <f>IFERROR(IF(Loan_Not_Paid*Values_Entered,Principal,""), "")</f>
        <v>335381.57354008092</v>
      </c>
      <c r="G102" s="298">
        <f>IFERROR(IF(Loan_Not_Paid*Values_Entered,Interest,""), "")</f>
        <v>554458.71520105214</v>
      </c>
      <c r="H102" s="298">
        <f>IFERROR(IF(Loan_Not_Paid*Values_Entered,Ending_Balance,""), "")</f>
        <v>156217667.42440304</v>
      </c>
    </row>
    <row r="103" spans="2:8">
      <c r="B103" s="300">
        <f>IFERROR(IF(Loan_Not_Paid*Values_Entered,Payment_Number,""), "")</f>
        <v>86</v>
      </c>
      <c r="C103" s="299"/>
      <c r="D103" s="298">
        <f>IFERROR(IF(Loan_Not_Paid*Values_Entered,Beginning_Balance,""), "")</f>
        <v>156217667.42440304</v>
      </c>
      <c r="E103" s="298">
        <f>IFERROR(IF(Loan_Not_Paid*Values_Entered,Monthly_Payment,""), "")</f>
        <v>889840.28874113306</v>
      </c>
      <c r="F103" s="298">
        <f>IFERROR(IF(Loan_Not_Paid*Values_Entered,Principal,""), "")</f>
        <v>336569.3832797021</v>
      </c>
      <c r="G103" s="298">
        <f>IFERROR(IF(Loan_Not_Paid*Values_Entered,Interest,""), "")</f>
        <v>553270.90546143102</v>
      </c>
      <c r="H103" s="298">
        <f>IFERROR(IF(Loan_Not_Paid*Values_Entered,Ending_Balance,""), "")</f>
        <v>155881098.04112333</v>
      </c>
    </row>
    <row r="104" spans="2:8">
      <c r="B104" s="300">
        <f>IFERROR(IF(Loan_Not_Paid*Values_Entered,Payment_Number,""), "")</f>
        <v>87</v>
      </c>
      <c r="C104" s="299"/>
      <c r="D104" s="298">
        <f>IFERROR(IF(Loan_Not_Paid*Values_Entered,Beginning_Balance,""), "")</f>
        <v>155881098.04112333</v>
      </c>
      <c r="E104" s="298">
        <f>IFERROR(IF(Loan_Not_Paid*Values_Entered,Monthly_Payment,""), "")</f>
        <v>889840.28874113306</v>
      </c>
      <c r="F104" s="298">
        <f>IFERROR(IF(Loan_Not_Paid*Values_Entered,Principal,""), "")</f>
        <v>337761.39984548435</v>
      </c>
      <c r="G104" s="298">
        <f>IFERROR(IF(Loan_Not_Paid*Values_Entered,Interest,""), "")</f>
        <v>552078.88889564876</v>
      </c>
      <c r="H104" s="298">
        <f>IFERROR(IF(Loan_Not_Paid*Values_Entered,Ending_Balance,""), "")</f>
        <v>155543336.64127785</v>
      </c>
    </row>
    <row r="105" spans="2:8">
      <c r="B105" s="300">
        <f>IFERROR(IF(Loan_Not_Paid*Values_Entered,Payment_Number,""), "")</f>
        <v>88</v>
      </c>
      <c r="C105" s="299"/>
      <c r="D105" s="298">
        <f>IFERROR(IF(Loan_Not_Paid*Values_Entered,Beginning_Balance,""), "")</f>
        <v>155543336.64127785</v>
      </c>
      <c r="E105" s="298">
        <f>IFERROR(IF(Loan_Not_Paid*Values_Entered,Monthly_Payment,""), "")</f>
        <v>889840.28874113306</v>
      </c>
      <c r="F105" s="298">
        <f>IFERROR(IF(Loan_Not_Paid*Values_Entered,Principal,""), "")</f>
        <v>338957.63813660375</v>
      </c>
      <c r="G105" s="298">
        <f>IFERROR(IF(Loan_Not_Paid*Values_Entered,Interest,""), "")</f>
        <v>550882.65060452931</v>
      </c>
      <c r="H105" s="298">
        <f>IFERROR(IF(Loan_Not_Paid*Values_Entered,Ending_Balance,""), "")</f>
        <v>155204379.00314122</v>
      </c>
    </row>
    <row r="106" spans="2:8">
      <c r="B106" s="300">
        <f>IFERROR(IF(Loan_Not_Paid*Values_Entered,Payment_Number,""), "")</f>
        <v>89</v>
      </c>
      <c r="C106" s="299"/>
      <c r="D106" s="298">
        <f>IFERROR(IF(Loan_Not_Paid*Values_Entered,Beginning_Balance,""), "")</f>
        <v>155204379.00314122</v>
      </c>
      <c r="E106" s="298">
        <f>IFERROR(IF(Loan_Not_Paid*Values_Entered,Monthly_Payment,""), "")</f>
        <v>889840.28874113306</v>
      </c>
      <c r="F106" s="298">
        <f>IFERROR(IF(Loan_Not_Paid*Values_Entered,Principal,""), "")</f>
        <v>340158.11310500425</v>
      </c>
      <c r="G106" s="298">
        <f>IFERROR(IF(Loan_Not_Paid*Values_Entered,Interest,""), "")</f>
        <v>549682.17563612876</v>
      </c>
      <c r="H106" s="298">
        <f>IFERROR(IF(Loan_Not_Paid*Values_Entered,Ending_Balance,""), "")</f>
        <v>154864220.89003623</v>
      </c>
    </row>
    <row r="107" spans="2:8">
      <c r="B107" s="300">
        <f>IFERROR(IF(Loan_Not_Paid*Values_Entered,Payment_Number,""), "")</f>
        <v>90</v>
      </c>
      <c r="C107" s="299"/>
      <c r="D107" s="298">
        <f>IFERROR(IF(Loan_Not_Paid*Values_Entered,Beginning_Balance,""), "")</f>
        <v>154864220.89003623</v>
      </c>
      <c r="E107" s="298">
        <f>IFERROR(IF(Loan_Not_Paid*Values_Entered,Monthly_Payment,""), "")</f>
        <v>889840.28874113306</v>
      </c>
      <c r="F107" s="298">
        <f>IFERROR(IF(Loan_Not_Paid*Values_Entered,Principal,""), "")</f>
        <v>341362.83975558443</v>
      </c>
      <c r="G107" s="298">
        <f>IFERROR(IF(Loan_Not_Paid*Values_Entered,Interest,""), "")</f>
        <v>548477.44898554869</v>
      </c>
      <c r="H107" s="298">
        <f>IFERROR(IF(Loan_Not_Paid*Values_Entered,Ending_Balance,""), "")</f>
        <v>154522858.05028063</v>
      </c>
    </row>
    <row r="108" spans="2:8">
      <c r="B108" s="300">
        <f>IFERROR(IF(Loan_Not_Paid*Values_Entered,Payment_Number,""), "")</f>
        <v>91</v>
      </c>
      <c r="C108" s="299"/>
      <c r="D108" s="298">
        <f>IFERROR(IF(Loan_Not_Paid*Values_Entered,Beginning_Balance,""), "")</f>
        <v>154522858.05028063</v>
      </c>
      <c r="E108" s="298">
        <f>IFERROR(IF(Loan_Not_Paid*Values_Entered,Monthly_Payment,""), "")</f>
        <v>889840.28874113306</v>
      </c>
      <c r="F108" s="298">
        <f>IFERROR(IF(Loan_Not_Paid*Values_Entered,Principal,""), "")</f>
        <v>342571.83314638544</v>
      </c>
      <c r="G108" s="298">
        <f>IFERROR(IF(Loan_Not_Paid*Values_Entered,Interest,""), "")</f>
        <v>547268.45559474756</v>
      </c>
      <c r="H108" s="298">
        <f>IFERROR(IF(Loan_Not_Paid*Values_Entered,Ending_Balance,""), "")</f>
        <v>154180286.21713418</v>
      </c>
    </row>
    <row r="109" spans="2:8">
      <c r="B109" s="300">
        <f>IFERROR(IF(Loan_Not_Paid*Values_Entered,Payment_Number,""), "")</f>
        <v>92</v>
      </c>
      <c r="C109" s="299"/>
      <c r="D109" s="298">
        <f>IFERROR(IF(Loan_Not_Paid*Values_Entered,Beginning_Balance,""), "")</f>
        <v>154180286.21713418</v>
      </c>
      <c r="E109" s="298">
        <f>IFERROR(IF(Loan_Not_Paid*Values_Entered,Monthly_Payment,""), "")</f>
        <v>889840.28874113306</v>
      </c>
      <c r="F109" s="298">
        <f>IFERROR(IF(Loan_Not_Paid*Values_Entered,Principal,""), "")</f>
        <v>343785.10838877893</v>
      </c>
      <c r="G109" s="298">
        <f>IFERROR(IF(Loan_Not_Paid*Values_Entered,Interest,""), "")</f>
        <v>546055.18035235419</v>
      </c>
      <c r="H109" s="298">
        <f>IFERROR(IF(Loan_Not_Paid*Values_Entered,Ending_Balance,""), "")</f>
        <v>153836501.1087454</v>
      </c>
    </row>
    <row r="110" spans="2:8">
      <c r="B110" s="300">
        <f>IFERROR(IF(Loan_Not_Paid*Values_Entered,Payment_Number,""), "")</f>
        <v>93</v>
      </c>
      <c r="C110" s="299"/>
      <c r="D110" s="298">
        <f>IFERROR(IF(Loan_Not_Paid*Values_Entered,Beginning_Balance,""), "")</f>
        <v>153836501.1087454</v>
      </c>
      <c r="E110" s="298">
        <f>IFERROR(IF(Loan_Not_Paid*Values_Entered,Monthly_Payment,""), "")</f>
        <v>889840.28874113306</v>
      </c>
      <c r="F110" s="298">
        <f>IFERROR(IF(Loan_Not_Paid*Values_Entered,Principal,""), "")</f>
        <v>345002.68064765586</v>
      </c>
      <c r="G110" s="298">
        <f>IFERROR(IF(Loan_Not_Paid*Values_Entered,Interest,""), "")</f>
        <v>544837.60809347709</v>
      </c>
      <c r="H110" s="298">
        <f>IFERROR(IF(Loan_Not_Paid*Values_Entered,Ending_Balance,""), "")</f>
        <v>153491498.42809772</v>
      </c>
    </row>
    <row r="111" spans="2:8">
      <c r="B111" s="300">
        <f>IFERROR(IF(Loan_Not_Paid*Values_Entered,Payment_Number,""), "")</f>
        <v>94</v>
      </c>
      <c r="C111" s="299"/>
      <c r="D111" s="298">
        <f>IFERROR(IF(Loan_Not_Paid*Values_Entered,Beginning_Balance,""), "")</f>
        <v>153491498.42809772</v>
      </c>
      <c r="E111" s="298">
        <f>IFERROR(IF(Loan_Not_Paid*Values_Entered,Monthly_Payment,""), "")</f>
        <v>889840.28874113306</v>
      </c>
      <c r="F111" s="298">
        <f>IFERROR(IF(Loan_Not_Paid*Values_Entered,Principal,""), "")</f>
        <v>346224.56514161633</v>
      </c>
      <c r="G111" s="298">
        <f>IFERROR(IF(Loan_Not_Paid*Values_Entered,Interest,""), "")</f>
        <v>543615.72359951679</v>
      </c>
      <c r="H111" s="298">
        <f>IFERROR(IF(Loan_Not_Paid*Values_Entered,Ending_Balance,""), "")</f>
        <v>153145273.86295611</v>
      </c>
    </row>
    <row r="112" spans="2:8">
      <c r="B112" s="300">
        <f>IFERROR(IF(Loan_Not_Paid*Values_Entered,Payment_Number,""), "")</f>
        <v>95</v>
      </c>
      <c r="C112" s="299"/>
      <c r="D112" s="298">
        <f>IFERROR(IF(Loan_Not_Paid*Values_Entered,Beginning_Balance,""), "")</f>
        <v>153145273.86295611</v>
      </c>
      <c r="E112" s="298">
        <f>IFERROR(IF(Loan_Not_Paid*Values_Entered,Monthly_Payment,""), "")</f>
        <v>889840.28874113306</v>
      </c>
      <c r="F112" s="298">
        <f>IFERROR(IF(Loan_Not_Paid*Values_Entered,Principal,""), "")</f>
        <v>347450.77714315953</v>
      </c>
      <c r="G112" s="298">
        <f>IFERROR(IF(Loan_Not_Paid*Values_Entered,Interest,""), "")</f>
        <v>542389.51159797364</v>
      </c>
      <c r="H112" s="298">
        <f>IFERROR(IF(Loan_Not_Paid*Values_Entered,Ending_Balance,""), "")</f>
        <v>152797823.08581293</v>
      </c>
    </row>
    <row r="113" spans="2:8">
      <c r="B113" s="300">
        <f>IFERROR(IF(Loan_Not_Paid*Values_Entered,Payment_Number,""), "")</f>
        <v>96</v>
      </c>
      <c r="C113" s="299"/>
      <c r="D113" s="298">
        <f>IFERROR(IF(Loan_Not_Paid*Values_Entered,Beginning_Balance,""), "")</f>
        <v>152797823.08581293</v>
      </c>
      <c r="E113" s="298">
        <f>IFERROR(IF(Loan_Not_Paid*Values_Entered,Monthly_Payment,""), "")</f>
        <v>889840.28874113306</v>
      </c>
      <c r="F113" s="298">
        <f>IFERROR(IF(Loan_Not_Paid*Values_Entered,Principal,""), "")</f>
        <v>348681.33197887486</v>
      </c>
      <c r="G113" s="298">
        <f>IFERROR(IF(Loan_Not_Paid*Values_Entered,Interest,""), "")</f>
        <v>541158.95676225808</v>
      </c>
      <c r="H113" s="298">
        <f>IFERROR(IF(Loan_Not_Paid*Values_Entered,Ending_Balance,""), "")</f>
        <v>152449141.75383401</v>
      </c>
    </row>
    <row r="114" spans="2:8">
      <c r="B114" s="300">
        <f>IFERROR(IF(Loan_Not_Paid*Values_Entered,Payment_Number,""), "")</f>
        <v>97</v>
      </c>
      <c r="C114" s="299"/>
      <c r="D114" s="298">
        <f>IFERROR(IF(Loan_Not_Paid*Values_Entered,Beginning_Balance,""), "")</f>
        <v>152449141.75383401</v>
      </c>
      <c r="E114" s="298">
        <f>IFERROR(IF(Loan_Not_Paid*Values_Entered,Monthly_Payment,""), "")</f>
        <v>889840.28874113306</v>
      </c>
      <c r="F114" s="298">
        <f>IFERROR(IF(Loan_Not_Paid*Values_Entered,Principal,""), "")</f>
        <v>349916.24502963346</v>
      </c>
      <c r="G114" s="298">
        <f>IFERROR(IF(Loan_Not_Paid*Values_Entered,Interest,""), "")</f>
        <v>539924.04371149966</v>
      </c>
      <c r="H114" s="298">
        <f>IFERROR(IF(Loan_Not_Paid*Values_Entered,Ending_Balance,""), "")</f>
        <v>152099225.50880438</v>
      </c>
    </row>
    <row r="115" spans="2:8">
      <c r="B115" s="300">
        <f>IFERROR(IF(Loan_Not_Paid*Values_Entered,Payment_Number,""), "")</f>
        <v>98</v>
      </c>
      <c r="C115" s="299"/>
      <c r="D115" s="298">
        <f>IFERROR(IF(Loan_Not_Paid*Values_Entered,Beginning_Balance,""), "")</f>
        <v>152099225.50880438</v>
      </c>
      <c r="E115" s="298">
        <f>IFERROR(IF(Loan_Not_Paid*Values_Entered,Monthly_Payment,""), "")</f>
        <v>889840.28874113306</v>
      </c>
      <c r="F115" s="298">
        <f>IFERROR(IF(Loan_Not_Paid*Values_Entered,Principal,""), "")</f>
        <v>351155.53173077997</v>
      </c>
      <c r="G115" s="298">
        <f>IFERROR(IF(Loan_Not_Paid*Values_Entered,Interest,""), "")</f>
        <v>538684.75701035303</v>
      </c>
      <c r="H115" s="298">
        <f>IFERROR(IF(Loan_Not_Paid*Values_Entered,Ending_Balance,""), "")</f>
        <v>151748069.97707361</v>
      </c>
    </row>
    <row r="116" spans="2:8">
      <c r="B116" s="300">
        <f>IFERROR(IF(Loan_Not_Paid*Values_Entered,Payment_Number,""), "")</f>
        <v>99</v>
      </c>
      <c r="C116" s="299"/>
      <c r="D116" s="298">
        <f>IFERROR(IF(Loan_Not_Paid*Values_Entered,Beginning_Balance,""), "")</f>
        <v>151748069.97707361</v>
      </c>
      <c r="E116" s="298">
        <f>IFERROR(IF(Loan_Not_Paid*Values_Entered,Monthly_Payment,""), "")</f>
        <v>889840.28874113306</v>
      </c>
      <c r="F116" s="298">
        <f>IFERROR(IF(Loan_Not_Paid*Values_Entered,Principal,""), "")</f>
        <v>352399.20757232653</v>
      </c>
      <c r="G116" s="298">
        <f>IFERROR(IF(Loan_Not_Paid*Values_Entered,Interest,""), "")</f>
        <v>537441.08116880665</v>
      </c>
      <c r="H116" s="298">
        <f>IFERROR(IF(Loan_Not_Paid*Values_Entered,Ending_Balance,""), "")</f>
        <v>151395670.76950127</v>
      </c>
    </row>
    <row r="117" spans="2:8">
      <c r="B117" s="300">
        <f>IFERROR(IF(Loan_Not_Paid*Values_Entered,Payment_Number,""), "")</f>
        <v>100</v>
      </c>
      <c r="C117" s="299"/>
      <c r="D117" s="298">
        <f>IFERROR(IF(Loan_Not_Paid*Values_Entered,Beginning_Balance,""), "")</f>
        <v>151395670.76950127</v>
      </c>
      <c r="E117" s="298">
        <f>IFERROR(IF(Loan_Not_Paid*Values_Entered,Monthly_Payment,""), "")</f>
        <v>889840.28874113306</v>
      </c>
      <c r="F117" s="298">
        <f>IFERROR(IF(Loan_Not_Paid*Values_Entered,Principal,""), "")</f>
        <v>353647.28809914517</v>
      </c>
      <c r="G117" s="298">
        <f>IFERROR(IF(Loan_Not_Paid*Values_Entered,Interest,""), "")</f>
        <v>536193.00064198789</v>
      </c>
      <c r="H117" s="298">
        <f>IFERROR(IF(Loan_Not_Paid*Values_Entered,Ending_Balance,""), "")</f>
        <v>151042023.4814021</v>
      </c>
    </row>
    <row r="118" spans="2:8">
      <c r="B118" s="300">
        <f>IFERROR(IF(Loan_Not_Paid*Values_Entered,Payment_Number,""), "")</f>
        <v>101</v>
      </c>
      <c r="C118" s="299"/>
      <c r="D118" s="298">
        <f>IFERROR(IF(Loan_Not_Paid*Values_Entered,Beginning_Balance,""), "")</f>
        <v>151042023.4814021</v>
      </c>
      <c r="E118" s="298">
        <f>IFERROR(IF(Loan_Not_Paid*Values_Entered,Monthly_Payment,""), "")</f>
        <v>889840.28874113306</v>
      </c>
      <c r="F118" s="298">
        <f>IFERROR(IF(Loan_Not_Paid*Values_Entered,Principal,""), "")</f>
        <v>354899.78891116299</v>
      </c>
      <c r="G118" s="298">
        <f>IFERROR(IF(Loan_Not_Paid*Values_Entered,Interest,""), "")</f>
        <v>534940.49982997007</v>
      </c>
      <c r="H118" s="298">
        <f>IFERROR(IF(Loan_Not_Paid*Values_Entered,Ending_Balance,""), "")</f>
        <v>150687123.69249091</v>
      </c>
    </row>
    <row r="119" spans="2:8">
      <c r="B119" s="300">
        <f>IFERROR(IF(Loan_Not_Paid*Values_Entered,Payment_Number,""), "")</f>
        <v>102</v>
      </c>
      <c r="C119" s="299"/>
      <c r="D119" s="298">
        <f>IFERROR(IF(Loan_Not_Paid*Values_Entered,Beginning_Balance,""), "")</f>
        <v>150687123.69249091</v>
      </c>
      <c r="E119" s="298">
        <f>IFERROR(IF(Loan_Not_Paid*Values_Entered,Monthly_Payment,""), "")</f>
        <v>889840.28874113306</v>
      </c>
      <c r="F119" s="298">
        <f>IFERROR(IF(Loan_Not_Paid*Values_Entered,Principal,""), "")</f>
        <v>356156.72566355666</v>
      </c>
      <c r="G119" s="298">
        <f>IFERROR(IF(Loan_Not_Paid*Values_Entered,Interest,""), "")</f>
        <v>533683.56307757646</v>
      </c>
      <c r="H119" s="298">
        <f>IFERROR(IF(Loan_Not_Paid*Values_Entered,Ending_Balance,""), "")</f>
        <v>150330966.96682733</v>
      </c>
    </row>
    <row r="120" spans="2:8">
      <c r="B120" s="300">
        <f>IFERROR(IF(Loan_Not_Paid*Values_Entered,Payment_Number,""), "")</f>
        <v>103</v>
      </c>
      <c r="C120" s="299"/>
      <c r="D120" s="298">
        <f>IFERROR(IF(Loan_Not_Paid*Values_Entered,Beginning_Balance,""), "")</f>
        <v>150330966.96682733</v>
      </c>
      <c r="E120" s="298">
        <f>IFERROR(IF(Loan_Not_Paid*Values_Entered,Monthly_Payment,""), "")</f>
        <v>889840.28874113306</v>
      </c>
      <c r="F120" s="298">
        <f>IFERROR(IF(Loan_Not_Paid*Values_Entered,Principal,""), "")</f>
        <v>357418.11406694847</v>
      </c>
      <c r="G120" s="298">
        <f>IFERROR(IF(Loan_Not_Paid*Values_Entered,Interest,""), "")</f>
        <v>532422.17467418476</v>
      </c>
      <c r="H120" s="298">
        <f>IFERROR(IF(Loan_Not_Paid*Values_Entered,Ending_Balance,""), "")</f>
        <v>149973548.85276037</v>
      </c>
    </row>
    <row r="121" spans="2:8">
      <c r="B121" s="300">
        <f>IFERROR(IF(Loan_Not_Paid*Values_Entered,Payment_Number,""), "")</f>
        <v>104</v>
      </c>
      <c r="C121" s="299"/>
      <c r="D121" s="298">
        <f>IFERROR(IF(Loan_Not_Paid*Values_Entered,Beginning_Balance,""), "")</f>
        <v>149973548.85276037</v>
      </c>
      <c r="E121" s="298">
        <f>IFERROR(IF(Loan_Not_Paid*Values_Entered,Monthly_Payment,""), "")</f>
        <v>889840.28874113306</v>
      </c>
      <c r="F121" s="298">
        <f>IFERROR(IF(Loan_Not_Paid*Values_Entered,Principal,""), "")</f>
        <v>358683.96988760226</v>
      </c>
      <c r="G121" s="298">
        <f>IFERROR(IF(Loan_Not_Paid*Values_Entered,Interest,""), "")</f>
        <v>531156.3188535308</v>
      </c>
      <c r="H121" s="298">
        <f>IFERROR(IF(Loan_Not_Paid*Values_Entered,Ending_Balance,""), "")</f>
        <v>149614864.88287276</v>
      </c>
    </row>
    <row r="122" spans="2:8">
      <c r="B122" s="300">
        <f>IFERROR(IF(Loan_Not_Paid*Values_Entered,Payment_Number,""), "")</f>
        <v>105</v>
      </c>
      <c r="C122" s="299"/>
      <c r="D122" s="298">
        <f>IFERROR(IF(Loan_Not_Paid*Values_Entered,Beginning_Balance,""), "")</f>
        <v>149614864.88287276</v>
      </c>
      <c r="E122" s="298">
        <f>IFERROR(IF(Loan_Not_Paid*Values_Entered,Monthly_Payment,""), "")</f>
        <v>889840.28874113306</v>
      </c>
      <c r="F122" s="298">
        <f>IFERROR(IF(Loan_Not_Paid*Values_Entered,Principal,""), "")</f>
        <v>359954.3089476208</v>
      </c>
      <c r="G122" s="298">
        <f>IFERROR(IF(Loan_Not_Paid*Values_Entered,Interest,""), "")</f>
        <v>529885.97979351226</v>
      </c>
      <c r="H122" s="298">
        <f>IFERROR(IF(Loan_Not_Paid*Values_Entered,Ending_Balance,""), "")</f>
        <v>149254910.57392511</v>
      </c>
    </row>
    <row r="123" spans="2:8">
      <c r="B123" s="300">
        <f>IFERROR(IF(Loan_Not_Paid*Values_Entered,Payment_Number,""), "")</f>
        <v>106</v>
      </c>
      <c r="C123" s="299"/>
      <c r="D123" s="298">
        <f>IFERROR(IF(Loan_Not_Paid*Values_Entered,Beginning_Balance,""), "")</f>
        <v>149254910.57392511</v>
      </c>
      <c r="E123" s="298">
        <f>IFERROR(IF(Loan_Not_Paid*Values_Entered,Monthly_Payment,""), "")</f>
        <v>889840.28874113306</v>
      </c>
      <c r="F123" s="298">
        <f>IFERROR(IF(Loan_Not_Paid*Values_Entered,Principal,""), "")</f>
        <v>361229.14712514367</v>
      </c>
      <c r="G123" s="298">
        <f>IFERROR(IF(Loan_Not_Paid*Values_Entered,Interest,""), "")</f>
        <v>528611.14161598939</v>
      </c>
      <c r="H123" s="298">
        <f>IFERROR(IF(Loan_Not_Paid*Values_Entered,Ending_Balance,""), "")</f>
        <v>148893681.42679992</v>
      </c>
    </row>
    <row r="124" spans="2:8">
      <c r="B124" s="300">
        <f>IFERROR(IF(Loan_Not_Paid*Values_Entered,Payment_Number,""), "")</f>
        <v>107</v>
      </c>
      <c r="C124" s="299"/>
      <c r="D124" s="298">
        <f>IFERROR(IF(Loan_Not_Paid*Values_Entered,Beginning_Balance,""), "")</f>
        <v>148893681.42679992</v>
      </c>
      <c r="E124" s="298">
        <f>IFERROR(IF(Loan_Not_Paid*Values_Entered,Monthly_Payment,""), "")</f>
        <v>889840.28874113306</v>
      </c>
      <c r="F124" s="298">
        <f>IFERROR(IF(Loan_Not_Paid*Values_Entered,Principal,""), "")</f>
        <v>362508.50035454519</v>
      </c>
      <c r="G124" s="298">
        <f>IFERROR(IF(Loan_Not_Paid*Values_Entered,Interest,""), "")</f>
        <v>527331.78838658787</v>
      </c>
      <c r="H124" s="298">
        <f>IFERROR(IF(Loan_Not_Paid*Values_Entered,Ending_Balance,""), "")</f>
        <v>148531172.92644542</v>
      </c>
    </row>
    <row r="125" spans="2:8">
      <c r="B125" s="300">
        <f>IFERROR(IF(Loan_Not_Paid*Values_Entered,Payment_Number,""), "")</f>
        <v>108</v>
      </c>
      <c r="C125" s="299"/>
      <c r="D125" s="298">
        <f>IFERROR(IF(Loan_Not_Paid*Values_Entered,Beginning_Balance,""), "")</f>
        <v>148531172.92644542</v>
      </c>
      <c r="E125" s="298">
        <f>IFERROR(IF(Loan_Not_Paid*Values_Entered,Monthly_Payment,""), "")</f>
        <v>889840.28874113306</v>
      </c>
      <c r="F125" s="298">
        <f>IFERROR(IF(Loan_Not_Paid*Values_Entered,Principal,""), "")</f>
        <v>363792.38462663419</v>
      </c>
      <c r="G125" s="298">
        <f>IFERROR(IF(Loan_Not_Paid*Values_Entered,Interest,""), "")</f>
        <v>526047.90411449887</v>
      </c>
      <c r="H125" s="298">
        <f>IFERROR(IF(Loan_Not_Paid*Values_Entered,Ending_Balance,""), "")</f>
        <v>148167380.54181874</v>
      </c>
    </row>
    <row r="126" spans="2:8">
      <c r="B126" s="300">
        <f>IFERROR(IF(Loan_Not_Paid*Values_Entered,Payment_Number,""), "")</f>
        <v>109</v>
      </c>
      <c r="C126" s="299"/>
      <c r="D126" s="298">
        <f>IFERROR(IF(Loan_Not_Paid*Values_Entered,Beginning_Balance,""), "")</f>
        <v>148167380.54181874</v>
      </c>
      <c r="E126" s="298">
        <f>IFERROR(IF(Loan_Not_Paid*Values_Entered,Monthly_Payment,""), "")</f>
        <v>889840.28874113306</v>
      </c>
      <c r="F126" s="298">
        <f>IFERROR(IF(Loan_Not_Paid*Values_Entered,Principal,""), "")</f>
        <v>365080.81598885357</v>
      </c>
      <c r="G126" s="298">
        <f>IFERROR(IF(Loan_Not_Paid*Values_Entered,Interest,""), "")</f>
        <v>524759.47275227949</v>
      </c>
      <c r="H126" s="298">
        <f>IFERROR(IF(Loan_Not_Paid*Values_Entered,Ending_Balance,""), "")</f>
        <v>147802299.7258299</v>
      </c>
    </row>
    <row r="127" spans="2:8">
      <c r="B127" s="300">
        <f>IFERROR(IF(Loan_Not_Paid*Values_Entered,Payment_Number,""), "")</f>
        <v>110</v>
      </c>
      <c r="C127" s="299"/>
      <c r="D127" s="298">
        <f>IFERROR(IF(Loan_Not_Paid*Values_Entered,Beginning_Balance,""), "")</f>
        <v>147802299.7258299</v>
      </c>
      <c r="E127" s="298">
        <f>IFERROR(IF(Loan_Not_Paid*Values_Entered,Monthly_Payment,""), "")</f>
        <v>889840.28874113306</v>
      </c>
      <c r="F127" s="298">
        <f>IFERROR(IF(Loan_Not_Paid*Values_Entered,Principal,""), "")</f>
        <v>366373.81054548075</v>
      </c>
      <c r="G127" s="298">
        <f>IFERROR(IF(Loan_Not_Paid*Values_Entered,Interest,""), "")</f>
        <v>523466.47819565237</v>
      </c>
      <c r="H127" s="298">
        <f>IFERROR(IF(Loan_Not_Paid*Values_Entered,Ending_Balance,""), "")</f>
        <v>147435925.9152844</v>
      </c>
    </row>
    <row r="128" spans="2:8">
      <c r="B128" s="300">
        <f>IFERROR(IF(Loan_Not_Paid*Values_Entered,Payment_Number,""), "")</f>
        <v>111</v>
      </c>
      <c r="C128" s="299"/>
      <c r="D128" s="298">
        <f>IFERROR(IF(Loan_Not_Paid*Values_Entered,Beginning_Balance,""), "")</f>
        <v>147435925.9152844</v>
      </c>
      <c r="E128" s="298">
        <f>IFERROR(IF(Loan_Not_Paid*Values_Entered,Monthly_Payment,""), "")</f>
        <v>889840.28874113306</v>
      </c>
      <c r="F128" s="298">
        <f>IFERROR(IF(Loan_Not_Paid*Values_Entered,Principal,""), "")</f>
        <v>367671.38445782929</v>
      </c>
      <c r="G128" s="298">
        <f>IFERROR(IF(Loan_Not_Paid*Values_Entered,Interest,""), "")</f>
        <v>522168.90428330377</v>
      </c>
      <c r="H128" s="298">
        <f>IFERROR(IF(Loan_Not_Paid*Values_Entered,Ending_Balance,""), "")</f>
        <v>147068254.53082651</v>
      </c>
    </row>
    <row r="129" spans="2:8">
      <c r="B129" s="300">
        <f>IFERROR(IF(Loan_Not_Paid*Values_Entered,Payment_Number,""), "")</f>
        <v>112</v>
      </c>
      <c r="C129" s="299"/>
      <c r="D129" s="298">
        <f>IFERROR(IF(Loan_Not_Paid*Values_Entered,Beginning_Balance,""), "")</f>
        <v>147068254.53082651</v>
      </c>
      <c r="E129" s="298">
        <f>IFERROR(IF(Loan_Not_Paid*Values_Entered,Monthly_Payment,""), "")</f>
        <v>889840.28874113306</v>
      </c>
      <c r="F129" s="298">
        <f>IFERROR(IF(Loan_Not_Paid*Values_Entered,Principal,""), "")</f>
        <v>368973.55394445074</v>
      </c>
      <c r="G129" s="298">
        <f>IFERROR(IF(Loan_Not_Paid*Values_Entered,Interest,""), "")</f>
        <v>520866.7347966822</v>
      </c>
      <c r="H129" s="298">
        <f>IFERROR(IF(Loan_Not_Paid*Values_Entered,Ending_Balance,""), "")</f>
        <v>146699280.9768821</v>
      </c>
    </row>
    <row r="130" spans="2:8">
      <c r="B130" s="300">
        <f>IFERROR(IF(Loan_Not_Paid*Values_Entered,Payment_Number,""), "")</f>
        <v>113</v>
      </c>
      <c r="C130" s="299"/>
      <c r="D130" s="298">
        <f>IFERROR(IF(Loan_Not_Paid*Values_Entered,Beginning_Balance,""), "")</f>
        <v>146699280.9768821</v>
      </c>
      <c r="E130" s="298">
        <f>IFERROR(IF(Loan_Not_Paid*Values_Entered,Monthly_Payment,""), "")</f>
        <v>889840.28874113306</v>
      </c>
      <c r="F130" s="298">
        <f>IFERROR(IF(Loan_Not_Paid*Values_Entered,Principal,""), "")</f>
        <v>370280.33528133738</v>
      </c>
      <c r="G130" s="298">
        <f>IFERROR(IF(Loan_Not_Paid*Values_Entered,Interest,""), "")</f>
        <v>519559.95345979556</v>
      </c>
      <c r="H130" s="298">
        <f>IFERROR(IF(Loan_Not_Paid*Values_Entered,Ending_Balance,""), "")</f>
        <v>146329000.6416007</v>
      </c>
    </row>
    <row r="131" spans="2:8">
      <c r="B131" s="300">
        <f>IFERROR(IF(Loan_Not_Paid*Values_Entered,Payment_Number,""), "")</f>
        <v>114</v>
      </c>
      <c r="C131" s="299"/>
      <c r="D131" s="298">
        <f>IFERROR(IF(Loan_Not_Paid*Values_Entered,Beginning_Balance,""), "")</f>
        <v>146329000.6416007</v>
      </c>
      <c r="E131" s="298">
        <f>IFERROR(IF(Loan_Not_Paid*Values_Entered,Monthly_Payment,""), "")</f>
        <v>889840.28874113306</v>
      </c>
      <c r="F131" s="298">
        <f>IFERROR(IF(Loan_Not_Paid*Values_Entered,Principal,""), "")</f>
        <v>371591.74480212544</v>
      </c>
      <c r="G131" s="298">
        <f>IFERROR(IF(Loan_Not_Paid*Values_Entered,Interest,""), "")</f>
        <v>518248.54393900756</v>
      </c>
      <c r="H131" s="298">
        <f>IFERROR(IF(Loan_Not_Paid*Values_Entered,Ending_Balance,""), "")</f>
        <v>145957408.89679858</v>
      </c>
    </row>
    <row r="132" spans="2:8">
      <c r="B132" s="300">
        <f>IFERROR(IF(Loan_Not_Paid*Values_Entered,Payment_Number,""), "")</f>
        <v>115</v>
      </c>
      <c r="C132" s="299"/>
      <c r="D132" s="298">
        <f>IFERROR(IF(Loan_Not_Paid*Values_Entered,Beginning_Balance,""), "")</f>
        <v>145957408.89679858</v>
      </c>
      <c r="E132" s="298">
        <f>IFERROR(IF(Loan_Not_Paid*Values_Entered,Monthly_Payment,""), "")</f>
        <v>889840.28874113306</v>
      </c>
      <c r="F132" s="298">
        <f>IFERROR(IF(Loan_Not_Paid*Values_Entered,Principal,""), "")</f>
        <v>372907.79889829963</v>
      </c>
      <c r="G132" s="298">
        <f>IFERROR(IF(Loan_Not_Paid*Values_Entered,Interest,""), "")</f>
        <v>516932.48984283354</v>
      </c>
      <c r="H132" s="298">
        <f>IFERROR(IF(Loan_Not_Paid*Values_Entered,Ending_Balance,""), "")</f>
        <v>145584501.09790021</v>
      </c>
    </row>
    <row r="133" spans="2:8">
      <c r="B133" s="300">
        <f>IFERROR(IF(Loan_Not_Paid*Values_Entered,Payment_Number,""), "")</f>
        <v>116</v>
      </c>
      <c r="C133" s="299"/>
      <c r="D133" s="298">
        <f>IFERROR(IF(Loan_Not_Paid*Values_Entered,Beginning_Balance,""), "")</f>
        <v>145584501.09790021</v>
      </c>
      <c r="E133" s="298">
        <f>IFERROR(IF(Loan_Not_Paid*Values_Entered,Monthly_Payment,""), "")</f>
        <v>889840.28874113306</v>
      </c>
      <c r="F133" s="298">
        <f>IFERROR(IF(Loan_Not_Paid*Values_Entered,Principal,""), "")</f>
        <v>374228.51401939779</v>
      </c>
      <c r="G133" s="298">
        <f>IFERROR(IF(Loan_Not_Paid*Values_Entered,Interest,""), "")</f>
        <v>515611.77472173533</v>
      </c>
      <c r="H133" s="298">
        <f>IFERROR(IF(Loan_Not_Paid*Values_Entered,Ending_Balance,""), "")</f>
        <v>145210272.58388084</v>
      </c>
    </row>
    <row r="134" spans="2:8">
      <c r="B134" s="300">
        <f>IFERROR(IF(Loan_Not_Paid*Values_Entered,Payment_Number,""), "")</f>
        <v>117</v>
      </c>
      <c r="C134" s="299"/>
      <c r="D134" s="298">
        <f>IFERROR(IF(Loan_Not_Paid*Values_Entered,Beginning_Balance,""), "")</f>
        <v>145210272.58388084</v>
      </c>
      <c r="E134" s="298">
        <f>IFERROR(IF(Loan_Not_Paid*Values_Entered,Monthly_Payment,""), "")</f>
        <v>889840.28874113306</v>
      </c>
      <c r="F134" s="298">
        <f>IFERROR(IF(Loan_Not_Paid*Values_Entered,Principal,""), "")</f>
        <v>375553.90667321649</v>
      </c>
      <c r="G134" s="298">
        <f>IFERROR(IF(Loan_Not_Paid*Values_Entered,Interest,""), "")</f>
        <v>514286.38206791662</v>
      </c>
      <c r="H134" s="298">
        <f>IFERROR(IF(Loan_Not_Paid*Values_Entered,Ending_Balance,""), "")</f>
        <v>144834718.67720759</v>
      </c>
    </row>
    <row r="135" spans="2:8">
      <c r="B135" s="300">
        <f>IFERROR(IF(Loan_Not_Paid*Values_Entered,Payment_Number,""), "")</f>
        <v>118</v>
      </c>
      <c r="C135" s="299"/>
      <c r="D135" s="298">
        <f>IFERROR(IF(Loan_Not_Paid*Values_Entered,Beginning_Balance,""), "")</f>
        <v>144834718.67720759</v>
      </c>
      <c r="E135" s="298">
        <f>IFERROR(IF(Loan_Not_Paid*Values_Entered,Monthly_Payment,""), "")</f>
        <v>889840.28874113306</v>
      </c>
      <c r="F135" s="298">
        <f>IFERROR(IF(Loan_Not_Paid*Values_Entered,Principal,""), "")</f>
        <v>376883.99342601752</v>
      </c>
      <c r="G135" s="298">
        <f>IFERROR(IF(Loan_Not_Paid*Values_Entered,Interest,""), "")</f>
        <v>512956.29531511571</v>
      </c>
      <c r="H135" s="298">
        <f>IFERROR(IF(Loan_Not_Paid*Values_Entered,Ending_Balance,""), "")</f>
        <v>144457834.6837815</v>
      </c>
    </row>
    <row r="136" spans="2:8">
      <c r="B136" s="300">
        <f>IFERROR(IF(Loan_Not_Paid*Values_Entered,Payment_Number,""), "")</f>
        <v>119</v>
      </c>
      <c r="C136" s="299"/>
      <c r="D136" s="298">
        <f>IFERROR(IF(Loan_Not_Paid*Values_Entered,Beginning_Balance,""), "")</f>
        <v>144457834.6837815</v>
      </c>
      <c r="E136" s="298">
        <f>IFERROR(IF(Loan_Not_Paid*Values_Entered,Monthly_Payment,""), "")</f>
        <v>889840.28874113306</v>
      </c>
      <c r="F136" s="298">
        <f>IFERROR(IF(Loan_Not_Paid*Values_Entered,Principal,""), "")</f>
        <v>378218.79090273462</v>
      </c>
      <c r="G136" s="298">
        <f>IFERROR(IF(Loan_Not_Paid*Values_Entered,Interest,""), "")</f>
        <v>511621.49783839856</v>
      </c>
      <c r="H136" s="298">
        <f>IFERROR(IF(Loan_Not_Paid*Values_Entered,Ending_Balance,""), "")</f>
        <v>144079615.8928788</v>
      </c>
    </row>
    <row r="137" spans="2:8">
      <c r="B137" s="300">
        <f>IFERROR(IF(Loan_Not_Paid*Values_Entered,Payment_Number,""), "")</f>
        <v>120</v>
      </c>
      <c r="C137" s="299"/>
      <c r="D137" s="298">
        <f>IFERROR(IF(Loan_Not_Paid*Values_Entered,Beginning_Balance,""), "")</f>
        <v>144079615.8928788</v>
      </c>
      <c r="E137" s="298">
        <f>IFERROR(IF(Loan_Not_Paid*Values_Entered,Monthly_Payment,""), "")</f>
        <v>889840.28874113306</v>
      </c>
      <c r="F137" s="298">
        <f>IFERROR(IF(Loan_Not_Paid*Values_Entered,Principal,""), "")</f>
        <v>379558.31578718178</v>
      </c>
      <c r="G137" s="298">
        <f>IFERROR(IF(Loan_Not_Paid*Values_Entered,Interest,""), "")</f>
        <v>510281.97295395116</v>
      </c>
      <c r="H137" s="298">
        <f>IFERROR(IF(Loan_Not_Paid*Values_Entered,Ending_Balance,""), "")</f>
        <v>143700057.57709163</v>
      </c>
    </row>
    <row r="138" spans="2:8">
      <c r="B138" s="300">
        <f>IFERROR(IF(Loan_Not_Paid*Values_Entered,Payment_Number,""), "")</f>
        <v>121</v>
      </c>
      <c r="C138" s="299"/>
      <c r="D138" s="298">
        <f>IFERROR(IF(Loan_Not_Paid*Values_Entered,Beginning_Balance,""), "")</f>
        <v>143700057.57709163</v>
      </c>
      <c r="E138" s="298">
        <f>IFERROR(IF(Loan_Not_Paid*Values_Entered,Monthly_Payment,""), "")</f>
        <v>889840.28874113306</v>
      </c>
      <c r="F138" s="298">
        <f>IFERROR(IF(Loan_Not_Paid*Values_Entered,Principal,""), "")</f>
        <v>380902.58482226141</v>
      </c>
      <c r="G138" s="298">
        <f>IFERROR(IF(Loan_Not_Paid*Values_Entered,Interest,""), "")</f>
        <v>508937.7039188717</v>
      </c>
      <c r="H138" s="298">
        <f>IFERROR(IF(Loan_Not_Paid*Values_Entered,Ending_Balance,""), "")</f>
        <v>143319154.99226934</v>
      </c>
    </row>
    <row r="139" spans="2:8">
      <c r="B139" s="300">
        <f>IFERROR(IF(Loan_Not_Paid*Values_Entered,Payment_Number,""), "")</f>
        <v>122</v>
      </c>
      <c r="C139" s="299"/>
      <c r="D139" s="298">
        <f>IFERROR(IF(Loan_Not_Paid*Values_Entered,Beginning_Balance,""), "")</f>
        <v>143319154.99226934</v>
      </c>
      <c r="E139" s="298">
        <f>IFERROR(IF(Loan_Not_Paid*Values_Entered,Monthly_Payment,""), "")</f>
        <v>889840.28874113306</v>
      </c>
      <c r="F139" s="298">
        <f>IFERROR(IF(Loan_Not_Paid*Values_Entered,Principal,""), "")</f>
        <v>382251.61481017363</v>
      </c>
      <c r="G139" s="298">
        <f>IFERROR(IF(Loan_Not_Paid*Values_Entered,Interest,""), "")</f>
        <v>507588.67393095954</v>
      </c>
      <c r="H139" s="298">
        <f>IFERROR(IF(Loan_Not_Paid*Values_Entered,Ending_Balance,""), "")</f>
        <v>142936903.37745914</v>
      </c>
    </row>
    <row r="140" spans="2:8">
      <c r="B140" s="300">
        <f>IFERROR(IF(Loan_Not_Paid*Values_Entered,Payment_Number,""), "")</f>
        <v>123</v>
      </c>
      <c r="C140" s="299"/>
      <c r="D140" s="298">
        <f>IFERROR(IF(Loan_Not_Paid*Values_Entered,Beginning_Balance,""), "")</f>
        <v>142936903.37745914</v>
      </c>
      <c r="E140" s="298">
        <f>IFERROR(IF(Loan_Not_Paid*Values_Entered,Monthly_Payment,""), "")</f>
        <v>889840.28874113306</v>
      </c>
      <c r="F140" s="298">
        <f>IFERROR(IF(Loan_Not_Paid*Values_Entered,Principal,""), "")</f>
        <v>383605.42261262628</v>
      </c>
      <c r="G140" s="298">
        <f>IFERROR(IF(Loan_Not_Paid*Values_Entered,Interest,""), "")</f>
        <v>506234.86612850672</v>
      </c>
      <c r="H140" s="298">
        <f>IFERROR(IF(Loan_Not_Paid*Values_Entered,Ending_Balance,""), "")</f>
        <v>142553297.95484644</v>
      </c>
    </row>
    <row r="141" spans="2:8">
      <c r="B141" s="300">
        <f>IFERROR(IF(Loan_Not_Paid*Values_Entered,Payment_Number,""), "")</f>
        <v>124</v>
      </c>
      <c r="C141" s="299"/>
      <c r="D141" s="298">
        <f>IFERROR(IF(Loan_Not_Paid*Values_Entered,Beginning_Balance,""), "")</f>
        <v>142553297.95484644</v>
      </c>
      <c r="E141" s="298">
        <f>IFERROR(IF(Loan_Not_Paid*Values_Entered,Monthly_Payment,""), "")</f>
        <v>889840.28874113306</v>
      </c>
      <c r="F141" s="298">
        <f>IFERROR(IF(Loan_Not_Paid*Values_Entered,Principal,""), "")</f>
        <v>384964.02515104599</v>
      </c>
      <c r="G141" s="298">
        <f>IFERROR(IF(Loan_Not_Paid*Values_Entered,Interest,""), "")</f>
        <v>504876.26359008707</v>
      </c>
      <c r="H141" s="298">
        <f>IFERROR(IF(Loan_Not_Paid*Values_Entered,Ending_Balance,""), "")</f>
        <v>142168333.92969543</v>
      </c>
    </row>
    <row r="142" spans="2:8">
      <c r="B142" s="300">
        <f>IFERROR(IF(Loan_Not_Paid*Values_Entered,Payment_Number,""), "")</f>
        <v>125</v>
      </c>
      <c r="C142" s="299"/>
      <c r="D142" s="298">
        <f>IFERROR(IF(Loan_Not_Paid*Values_Entered,Beginning_Balance,""), "")</f>
        <v>142168333.92969543</v>
      </c>
      <c r="E142" s="298">
        <f>IFERROR(IF(Loan_Not_Paid*Values_Entered,Monthly_Payment,""), "")</f>
        <v>889840.28874113306</v>
      </c>
      <c r="F142" s="298">
        <f>IFERROR(IF(Loan_Not_Paid*Values_Entered,Principal,""), "")</f>
        <v>386327.43940678926</v>
      </c>
      <c r="G142" s="298">
        <f>IFERROR(IF(Loan_Not_Paid*Values_Entered,Interest,""), "")</f>
        <v>503512.8493343438</v>
      </c>
      <c r="H142" s="298">
        <f>IFERROR(IF(Loan_Not_Paid*Values_Entered,Ending_Balance,""), "")</f>
        <v>141782006.49028862</v>
      </c>
    </row>
    <row r="143" spans="2:8">
      <c r="B143" s="300">
        <f>IFERROR(IF(Loan_Not_Paid*Values_Entered,Payment_Number,""), "")</f>
        <v>126</v>
      </c>
      <c r="C143" s="299"/>
      <c r="D143" s="298">
        <f>IFERROR(IF(Loan_Not_Paid*Values_Entered,Beginning_Balance,""), "")</f>
        <v>141782006.49028862</v>
      </c>
      <c r="E143" s="298">
        <f>IFERROR(IF(Loan_Not_Paid*Values_Entered,Monthly_Payment,""), "")</f>
        <v>889840.28874113306</v>
      </c>
      <c r="F143" s="298">
        <f>IFERROR(IF(Loan_Not_Paid*Values_Entered,Principal,""), "")</f>
        <v>387695.68242135498</v>
      </c>
      <c r="G143" s="298">
        <f>IFERROR(IF(Loan_Not_Paid*Values_Entered,Interest,""), "")</f>
        <v>502144.60631977802</v>
      </c>
      <c r="H143" s="298">
        <f>IFERROR(IF(Loan_Not_Paid*Values_Entered,Ending_Balance,""), "")</f>
        <v>141394310.80786723</v>
      </c>
    </row>
    <row r="144" spans="2:8">
      <c r="B144" s="300">
        <f>IFERROR(IF(Loan_Not_Paid*Values_Entered,Payment_Number,""), "")</f>
        <v>127</v>
      </c>
      <c r="C144" s="299"/>
      <c r="D144" s="298">
        <f>IFERROR(IF(Loan_Not_Paid*Values_Entered,Beginning_Balance,""), "")</f>
        <v>141394310.80786723</v>
      </c>
      <c r="E144" s="298">
        <f>IFERROR(IF(Loan_Not_Paid*Values_Entered,Monthly_Payment,""), "")</f>
        <v>889840.28874113306</v>
      </c>
      <c r="F144" s="298">
        <f>IFERROR(IF(Loan_Not_Paid*Values_Entered,Principal,""), "")</f>
        <v>389068.77129659732</v>
      </c>
      <c r="G144" s="298">
        <f>IFERROR(IF(Loan_Not_Paid*Values_Entered,Interest,""), "")</f>
        <v>500771.5174445358</v>
      </c>
      <c r="H144" s="298">
        <f>IFERROR(IF(Loan_Not_Paid*Values_Entered,Ending_Balance,""), "")</f>
        <v>141005242.03657064</v>
      </c>
    </row>
    <row r="145" spans="2:8">
      <c r="B145" s="300">
        <f>IFERROR(IF(Loan_Not_Paid*Values_Entered,Payment_Number,""), "")</f>
        <v>128</v>
      </c>
      <c r="C145" s="299"/>
      <c r="D145" s="298">
        <f>IFERROR(IF(Loan_Not_Paid*Values_Entered,Beginning_Balance,""), "")</f>
        <v>141005242.03657064</v>
      </c>
      <c r="E145" s="298">
        <f>IFERROR(IF(Loan_Not_Paid*Values_Entered,Monthly_Payment,""), "")</f>
        <v>889840.28874113306</v>
      </c>
      <c r="F145" s="298">
        <f>IFERROR(IF(Loan_Not_Paid*Values_Entered,Principal,""), "")</f>
        <v>390446.72319493943</v>
      </c>
      <c r="G145" s="298">
        <f>IFERROR(IF(Loan_Not_Paid*Values_Entered,Interest,""), "")</f>
        <v>499393.56554619386</v>
      </c>
      <c r="H145" s="298">
        <f>IFERROR(IF(Loan_Not_Paid*Values_Entered,Ending_Balance,""), "")</f>
        <v>140614795.31337568</v>
      </c>
    </row>
    <row r="146" spans="2:8">
      <c r="B146" s="300">
        <f>IFERROR(IF(Loan_Not_Paid*Values_Entered,Payment_Number,""), "")</f>
        <v>129</v>
      </c>
      <c r="C146" s="299"/>
      <c r="D146" s="298">
        <f>IFERROR(IF(Loan_Not_Paid*Values_Entered,Beginning_Balance,""), "")</f>
        <v>140614795.31337568</v>
      </c>
      <c r="E146" s="298">
        <f>IFERROR(IF(Loan_Not_Paid*Values_Entered,Monthly_Payment,""), "")</f>
        <v>889840.28874113306</v>
      </c>
      <c r="F146" s="298">
        <f>IFERROR(IF(Loan_Not_Paid*Values_Entered,Principal,""), "")</f>
        <v>391829.55533958814</v>
      </c>
      <c r="G146" s="298">
        <f>IFERROR(IF(Loan_Not_Paid*Values_Entered,Interest,""), "")</f>
        <v>498010.7334015448</v>
      </c>
      <c r="H146" s="298">
        <f>IFERROR(IF(Loan_Not_Paid*Values_Entered,Ending_Balance,""), "")</f>
        <v>140222965.75803608</v>
      </c>
    </row>
    <row r="147" spans="2:8">
      <c r="B147" s="300">
        <f>IFERROR(IF(Loan_Not_Paid*Values_Entered,Payment_Number,""), "")</f>
        <v>130</v>
      </c>
      <c r="C147" s="299"/>
      <c r="D147" s="298">
        <f>IFERROR(IF(Loan_Not_Paid*Values_Entered,Beginning_Balance,""), "")</f>
        <v>140222965.75803608</v>
      </c>
      <c r="E147" s="298">
        <f>IFERROR(IF(Loan_Not_Paid*Values_Entered,Monthly_Payment,""), "")</f>
        <v>889840.28874113306</v>
      </c>
      <c r="F147" s="298">
        <f>IFERROR(IF(Loan_Not_Paid*Values_Entered,Principal,""), "")</f>
        <v>393217.28501474921</v>
      </c>
      <c r="G147" s="298">
        <f>IFERROR(IF(Loan_Not_Paid*Values_Entered,Interest,""), "")</f>
        <v>496623.0037263839</v>
      </c>
      <c r="H147" s="298">
        <f>IFERROR(IF(Loan_Not_Paid*Values_Entered,Ending_Balance,""), "")</f>
        <v>139829748.4730213</v>
      </c>
    </row>
    <row r="148" spans="2:8">
      <c r="B148" s="300">
        <f>IFERROR(IF(Loan_Not_Paid*Values_Entered,Payment_Number,""), "")</f>
        <v>131</v>
      </c>
      <c r="C148" s="299"/>
      <c r="D148" s="298">
        <f>IFERROR(IF(Loan_Not_Paid*Values_Entered,Beginning_Balance,""), "")</f>
        <v>139829748.4730213</v>
      </c>
      <c r="E148" s="298">
        <f>IFERROR(IF(Loan_Not_Paid*Values_Entered,Monthly_Payment,""), "")</f>
        <v>889840.28874113306</v>
      </c>
      <c r="F148" s="298">
        <f>IFERROR(IF(Loan_Not_Paid*Values_Entered,Principal,""), "")</f>
        <v>394609.92956584314</v>
      </c>
      <c r="G148" s="298">
        <f>IFERROR(IF(Loan_Not_Paid*Values_Entered,Interest,""), "")</f>
        <v>495230.35917529004</v>
      </c>
      <c r="H148" s="298">
        <f>IFERROR(IF(Loan_Not_Paid*Values_Entered,Ending_Balance,""), "")</f>
        <v>139435138.54345542</v>
      </c>
    </row>
    <row r="149" spans="2:8">
      <c r="B149" s="300">
        <f>IFERROR(IF(Loan_Not_Paid*Values_Entered,Payment_Number,""), "")</f>
        <v>132</v>
      </c>
      <c r="C149" s="299"/>
      <c r="D149" s="298">
        <f>IFERROR(IF(Loan_Not_Paid*Values_Entered,Beginning_Balance,""), "")</f>
        <v>139435138.54345542</v>
      </c>
      <c r="E149" s="298">
        <f>IFERROR(IF(Loan_Not_Paid*Values_Entered,Monthly_Payment,""), "")</f>
        <v>889840.28874113306</v>
      </c>
      <c r="F149" s="298">
        <f>IFERROR(IF(Loan_Not_Paid*Values_Entered,Principal,""), "")</f>
        <v>396007.50639972213</v>
      </c>
      <c r="G149" s="298">
        <f>IFERROR(IF(Loan_Not_Paid*Values_Entered,Interest,""), "")</f>
        <v>493832.78234141087</v>
      </c>
      <c r="H149" s="298">
        <f>IFERROR(IF(Loan_Not_Paid*Values_Entered,Ending_Balance,""), "")</f>
        <v>139039131.03705567</v>
      </c>
    </row>
    <row r="150" spans="2:8">
      <c r="B150" s="300">
        <f>IFERROR(IF(Loan_Not_Paid*Values_Entered,Payment_Number,""), "")</f>
        <v>133</v>
      </c>
      <c r="C150" s="299"/>
      <c r="D150" s="298">
        <f>IFERROR(IF(Loan_Not_Paid*Values_Entered,Beginning_Balance,""), "")</f>
        <v>139039131.03705567</v>
      </c>
      <c r="E150" s="298">
        <f>IFERROR(IF(Loan_Not_Paid*Values_Entered,Monthly_Payment,""), "")</f>
        <v>889840.28874113306</v>
      </c>
      <c r="F150" s="298">
        <f>IFERROR(IF(Loan_Not_Paid*Values_Entered,Principal,""), "")</f>
        <v>397410.03298488783</v>
      </c>
      <c r="G150" s="298">
        <f>IFERROR(IF(Loan_Not_Paid*Values_Entered,Interest,""), "")</f>
        <v>492430.25575624529</v>
      </c>
      <c r="H150" s="298">
        <f>IFERROR(IF(Loan_Not_Paid*Values_Entered,Ending_Balance,""), "")</f>
        <v>138641721.00407079</v>
      </c>
    </row>
    <row r="151" spans="2:8">
      <c r="B151" s="300">
        <f>IFERROR(IF(Loan_Not_Paid*Values_Entered,Payment_Number,""), "")</f>
        <v>134</v>
      </c>
      <c r="C151" s="299"/>
      <c r="D151" s="298">
        <f>IFERROR(IF(Loan_Not_Paid*Values_Entered,Beginning_Balance,""), "")</f>
        <v>138641721.00407079</v>
      </c>
      <c r="E151" s="298">
        <f>IFERROR(IF(Loan_Not_Paid*Values_Entered,Monthly_Payment,""), "")</f>
        <v>889840.28874113306</v>
      </c>
      <c r="F151" s="298">
        <f>IFERROR(IF(Loan_Not_Paid*Values_Entered,Principal,""), "")</f>
        <v>398817.52685170929</v>
      </c>
      <c r="G151" s="298">
        <f>IFERROR(IF(Loan_Not_Paid*Values_Entered,Interest,""), "")</f>
        <v>491022.76188942383</v>
      </c>
      <c r="H151" s="298">
        <f>IFERROR(IF(Loan_Not_Paid*Values_Entered,Ending_Balance,""), "")</f>
        <v>138242903.47721902</v>
      </c>
    </row>
    <row r="152" spans="2:8">
      <c r="B152" s="300">
        <f>IFERROR(IF(Loan_Not_Paid*Values_Entered,Payment_Number,""), "")</f>
        <v>135</v>
      </c>
      <c r="C152" s="299"/>
      <c r="D152" s="298">
        <f>IFERROR(IF(Loan_Not_Paid*Values_Entered,Beginning_Balance,""), "")</f>
        <v>138242903.47721902</v>
      </c>
      <c r="E152" s="298">
        <f>IFERROR(IF(Loan_Not_Paid*Values_Entered,Monthly_Payment,""), "")</f>
        <v>889840.28874113306</v>
      </c>
      <c r="F152" s="298">
        <f>IFERROR(IF(Loan_Not_Paid*Values_Entered,Principal,""), "")</f>
        <v>400230.00559264247</v>
      </c>
      <c r="G152" s="298">
        <f>IFERROR(IF(Loan_Not_Paid*Values_Entered,Interest,""), "")</f>
        <v>489610.28314849071</v>
      </c>
      <c r="H152" s="298">
        <f>IFERROR(IF(Loan_Not_Paid*Values_Entered,Ending_Balance,""), "")</f>
        <v>137842673.47162637</v>
      </c>
    </row>
    <row r="153" spans="2:8">
      <c r="B153" s="300">
        <f>IFERROR(IF(Loan_Not_Paid*Values_Entered,Payment_Number,""), "")</f>
        <v>136</v>
      </c>
      <c r="C153" s="299"/>
      <c r="D153" s="298">
        <f>IFERROR(IF(Loan_Not_Paid*Values_Entered,Beginning_Balance,""), "")</f>
        <v>137842673.47162637</v>
      </c>
      <c r="E153" s="298">
        <f>IFERROR(IF(Loan_Not_Paid*Values_Entered,Monthly_Payment,""), "")</f>
        <v>889840.28874113306</v>
      </c>
      <c r="F153" s="298">
        <f>IFERROR(IF(Loan_Not_Paid*Values_Entered,Principal,""), "")</f>
        <v>401647.48686244967</v>
      </c>
      <c r="G153" s="298">
        <f>IFERROR(IF(Loan_Not_Paid*Values_Entered,Interest,""), "")</f>
        <v>488192.80187868333</v>
      </c>
      <c r="H153" s="298">
        <f>IFERROR(IF(Loan_Not_Paid*Values_Entered,Ending_Balance,""), "")</f>
        <v>137441025.98476392</v>
      </c>
    </row>
    <row r="154" spans="2:8">
      <c r="B154" s="300">
        <f>IFERROR(IF(Loan_Not_Paid*Values_Entered,Payment_Number,""), "")</f>
        <v>137</v>
      </c>
      <c r="C154" s="299"/>
      <c r="D154" s="298">
        <f>IFERROR(IF(Loan_Not_Paid*Values_Entered,Beginning_Balance,""), "")</f>
        <v>137441025.98476392</v>
      </c>
      <c r="E154" s="298">
        <f>IFERROR(IF(Loan_Not_Paid*Values_Entered,Monthly_Payment,""), "")</f>
        <v>889840.28874113306</v>
      </c>
      <c r="F154" s="298">
        <f>IFERROR(IF(Loan_Not_Paid*Values_Entered,Principal,""), "")</f>
        <v>403069.98837842088</v>
      </c>
      <c r="G154" s="298">
        <f>IFERROR(IF(Loan_Not_Paid*Values_Entered,Interest,""), "")</f>
        <v>486770.30036271224</v>
      </c>
      <c r="H154" s="298">
        <f>IFERROR(IF(Loan_Not_Paid*Values_Entered,Ending_Balance,""), "")</f>
        <v>137037955.99638548</v>
      </c>
    </row>
    <row r="155" spans="2:8">
      <c r="B155" s="300">
        <f>IFERROR(IF(Loan_Not_Paid*Values_Entered,Payment_Number,""), "")</f>
        <v>138</v>
      </c>
      <c r="C155" s="299"/>
      <c r="D155" s="298">
        <f>IFERROR(IF(Loan_Not_Paid*Values_Entered,Beginning_Balance,""), "")</f>
        <v>137037955.99638548</v>
      </c>
      <c r="E155" s="298">
        <f>IFERROR(IF(Loan_Not_Paid*Values_Entered,Monthly_Payment,""), "")</f>
        <v>889840.28874113306</v>
      </c>
      <c r="F155" s="298">
        <f>IFERROR(IF(Loan_Not_Paid*Values_Entered,Principal,""), "")</f>
        <v>404497.52792059444</v>
      </c>
      <c r="G155" s="298">
        <f>IFERROR(IF(Loan_Not_Paid*Values_Entered,Interest,""), "")</f>
        <v>485342.76082053862</v>
      </c>
      <c r="H155" s="298">
        <f>IFERROR(IF(Loan_Not_Paid*Values_Entered,Ending_Balance,""), "")</f>
        <v>136633458.46846485</v>
      </c>
    </row>
    <row r="156" spans="2:8">
      <c r="B156" s="300">
        <f>IFERROR(IF(Loan_Not_Paid*Values_Entered,Payment_Number,""), "")</f>
        <v>139</v>
      </c>
      <c r="C156" s="299"/>
      <c r="D156" s="298">
        <f>IFERROR(IF(Loan_Not_Paid*Values_Entered,Beginning_Balance,""), "")</f>
        <v>136633458.46846485</v>
      </c>
      <c r="E156" s="298">
        <f>IFERROR(IF(Loan_Not_Paid*Values_Entered,Monthly_Payment,""), "")</f>
        <v>889840.28874113306</v>
      </c>
      <c r="F156" s="298">
        <f>IFERROR(IF(Loan_Not_Paid*Values_Entered,Principal,""), "")</f>
        <v>405930.12333197985</v>
      </c>
      <c r="G156" s="298">
        <f>IFERROR(IF(Loan_Not_Paid*Values_Entered,Interest,""), "")</f>
        <v>483910.16540915315</v>
      </c>
      <c r="H156" s="298">
        <f>IFERROR(IF(Loan_Not_Paid*Values_Entered,Ending_Balance,""), "")</f>
        <v>136227528.34513286</v>
      </c>
    </row>
    <row r="157" spans="2:8">
      <c r="B157" s="300">
        <f>IFERROR(IF(Loan_Not_Paid*Values_Entered,Payment_Number,""), "")</f>
        <v>140</v>
      </c>
      <c r="C157" s="299"/>
      <c r="D157" s="298">
        <f>IFERROR(IF(Loan_Not_Paid*Values_Entered,Beginning_Balance,""), "")</f>
        <v>136227528.34513286</v>
      </c>
      <c r="E157" s="298">
        <f>IFERROR(IF(Loan_Not_Paid*Values_Entered,Monthly_Payment,""), "")</f>
        <v>889840.28874113306</v>
      </c>
      <c r="F157" s="298">
        <f>IFERROR(IF(Loan_Not_Paid*Values_Entered,Principal,""), "")</f>
        <v>407367.79251878068</v>
      </c>
      <c r="G157" s="298">
        <f>IFERROR(IF(Loan_Not_Paid*Values_Entered,Interest,""), "")</f>
        <v>482472.49622235243</v>
      </c>
      <c r="H157" s="298">
        <f>IFERROR(IF(Loan_Not_Paid*Values_Entered,Ending_Balance,""), "")</f>
        <v>135820160.55261409</v>
      </c>
    </row>
    <row r="158" spans="2:8">
      <c r="B158" s="300">
        <f>IFERROR(IF(Loan_Not_Paid*Values_Entered,Payment_Number,""), "")</f>
        <v>141</v>
      </c>
      <c r="C158" s="299"/>
      <c r="D158" s="298">
        <f>IFERROR(IF(Loan_Not_Paid*Values_Entered,Beginning_Balance,""), "")</f>
        <v>135820160.55261409</v>
      </c>
      <c r="E158" s="298">
        <f>IFERROR(IF(Loan_Not_Paid*Values_Entered,Monthly_Payment,""), "")</f>
        <v>889840.28874113306</v>
      </c>
      <c r="F158" s="298">
        <f>IFERROR(IF(Loan_Not_Paid*Values_Entered,Principal,""), "")</f>
        <v>408810.553450618</v>
      </c>
      <c r="G158" s="298">
        <f>IFERROR(IF(Loan_Not_Paid*Values_Entered,Interest,""), "")</f>
        <v>481029.73529051506</v>
      </c>
      <c r="H158" s="298">
        <f>IFERROR(IF(Loan_Not_Paid*Values_Entered,Ending_Balance,""), "")</f>
        <v>135411349.99916342</v>
      </c>
    </row>
    <row r="159" spans="2:8">
      <c r="B159" s="300">
        <f>IFERROR(IF(Loan_Not_Paid*Values_Entered,Payment_Number,""), "")</f>
        <v>142</v>
      </c>
      <c r="C159" s="299"/>
      <c r="D159" s="298">
        <f>IFERROR(IF(Loan_Not_Paid*Values_Entered,Beginning_Balance,""), "")</f>
        <v>135411349.99916342</v>
      </c>
      <c r="E159" s="298">
        <f>IFERROR(IF(Loan_Not_Paid*Values_Entered,Monthly_Payment,""), "")</f>
        <v>889840.28874113306</v>
      </c>
      <c r="F159" s="298">
        <f>IFERROR(IF(Loan_Not_Paid*Values_Entered,Principal,""), "")</f>
        <v>410258.42416075559</v>
      </c>
      <c r="G159" s="298">
        <f>IFERROR(IF(Loan_Not_Paid*Values_Entered,Interest,""), "")</f>
        <v>479581.86458037753</v>
      </c>
      <c r="H159" s="298">
        <f>IFERROR(IF(Loan_Not_Paid*Values_Entered,Ending_Balance,""), "")</f>
        <v>135001091.57500267</v>
      </c>
    </row>
    <row r="160" spans="2:8">
      <c r="B160" s="300">
        <f>IFERROR(IF(Loan_Not_Paid*Values_Entered,Payment_Number,""), "")</f>
        <v>143</v>
      </c>
      <c r="C160" s="299"/>
      <c r="D160" s="298">
        <f>IFERROR(IF(Loan_Not_Paid*Values_Entered,Beginning_Balance,""), "")</f>
        <v>135001091.57500267</v>
      </c>
      <c r="E160" s="298">
        <f>IFERROR(IF(Loan_Not_Paid*Values_Entered,Monthly_Payment,""), "")</f>
        <v>889840.28874113306</v>
      </c>
      <c r="F160" s="298">
        <f>IFERROR(IF(Loan_Not_Paid*Values_Entered,Principal,""), "")</f>
        <v>411711.42274632491</v>
      </c>
      <c r="G160" s="298">
        <f>IFERROR(IF(Loan_Not_Paid*Values_Entered,Interest,""), "")</f>
        <v>478128.86599480821</v>
      </c>
      <c r="H160" s="298">
        <f>IFERROR(IF(Loan_Not_Paid*Values_Entered,Ending_Balance,""), "")</f>
        <v>134589380.15225625</v>
      </c>
    </row>
    <row r="161" spans="2:8">
      <c r="B161" s="300">
        <f>IFERROR(IF(Loan_Not_Paid*Values_Entered,Payment_Number,""), "")</f>
        <v>144</v>
      </c>
      <c r="C161" s="299"/>
      <c r="D161" s="298">
        <f>IFERROR(IF(Loan_Not_Paid*Values_Entered,Beginning_Balance,""), "")</f>
        <v>134589380.15225625</v>
      </c>
      <c r="E161" s="298">
        <f>IFERROR(IF(Loan_Not_Paid*Values_Entered,Monthly_Payment,""), "")</f>
        <v>889840.28874113306</v>
      </c>
      <c r="F161" s="298">
        <f>IFERROR(IF(Loan_Not_Paid*Values_Entered,Principal,""), "")</f>
        <v>413169.56736855151</v>
      </c>
      <c r="G161" s="298">
        <f>IFERROR(IF(Loan_Not_Paid*Values_Entered,Interest,""), "")</f>
        <v>476670.72137258155</v>
      </c>
      <c r="H161" s="298">
        <f>IFERROR(IF(Loan_Not_Paid*Values_Entered,Ending_Balance,""), "")</f>
        <v>134176210.58488771</v>
      </c>
    </row>
    <row r="162" spans="2:8">
      <c r="B162" s="300">
        <f>IFERROR(IF(Loan_Not_Paid*Values_Entered,Payment_Number,""), "")</f>
        <v>145</v>
      </c>
      <c r="C162" s="299"/>
      <c r="D162" s="298">
        <f>IFERROR(IF(Loan_Not_Paid*Values_Entered,Beginning_Balance,""), "")</f>
        <v>134176210.58488771</v>
      </c>
      <c r="E162" s="298">
        <f>IFERROR(IF(Loan_Not_Paid*Values_Entered,Monthly_Payment,""), "")</f>
        <v>889840.28874113306</v>
      </c>
      <c r="F162" s="298">
        <f>IFERROR(IF(Loan_Not_Paid*Values_Entered,Principal,""), "")</f>
        <v>414632.87625298183</v>
      </c>
      <c r="G162" s="298">
        <f>IFERROR(IF(Loan_Not_Paid*Values_Entered,Interest,""), "")</f>
        <v>475207.41248815123</v>
      </c>
      <c r="H162" s="298">
        <f>IFERROR(IF(Loan_Not_Paid*Values_Entered,Ending_Balance,""), "")</f>
        <v>133761577.70863476</v>
      </c>
    </row>
    <row r="163" spans="2:8">
      <c r="B163" s="300">
        <f>IFERROR(IF(Loan_Not_Paid*Values_Entered,Payment_Number,""), "")</f>
        <v>146</v>
      </c>
      <c r="C163" s="299"/>
      <c r="D163" s="298">
        <f>IFERROR(IF(Loan_Not_Paid*Values_Entered,Beginning_Balance,""), "")</f>
        <v>133761577.70863476</v>
      </c>
      <c r="E163" s="298">
        <f>IFERROR(IF(Loan_Not_Paid*Values_Entered,Monthly_Payment,""), "")</f>
        <v>889840.28874113306</v>
      </c>
      <c r="F163" s="298">
        <f>IFERROR(IF(Loan_Not_Paid*Values_Entered,Principal,""), "")</f>
        <v>416101.3676897111</v>
      </c>
      <c r="G163" s="298">
        <f>IFERROR(IF(Loan_Not_Paid*Values_Entered,Interest,""), "")</f>
        <v>473738.92105142208</v>
      </c>
      <c r="H163" s="298">
        <f>IFERROR(IF(Loan_Not_Paid*Values_Entered,Ending_Balance,""), "")</f>
        <v>133345476.34094501</v>
      </c>
    </row>
    <row r="164" spans="2:8">
      <c r="B164" s="300">
        <f>IFERROR(IF(Loan_Not_Paid*Values_Entered,Payment_Number,""), "")</f>
        <v>147</v>
      </c>
      <c r="C164" s="299"/>
      <c r="D164" s="298">
        <f>IFERROR(IF(Loan_Not_Paid*Values_Entered,Beginning_Balance,""), "")</f>
        <v>133345476.34094501</v>
      </c>
      <c r="E164" s="298">
        <f>IFERROR(IF(Loan_Not_Paid*Values_Entered,Monthly_Payment,""), "")</f>
        <v>889840.28874113306</v>
      </c>
      <c r="F164" s="298">
        <f>IFERROR(IF(Loan_Not_Paid*Values_Entered,Principal,""), "")</f>
        <v>417575.06003361219</v>
      </c>
      <c r="G164" s="298">
        <f>IFERROR(IF(Loan_Not_Paid*Values_Entered,Interest,""), "")</f>
        <v>472265.22870752099</v>
      </c>
      <c r="H164" s="298">
        <f>IFERROR(IF(Loan_Not_Paid*Values_Entered,Ending_Balance,""), "")</f>
        <v>132927901.28091133</v>
      </c>
    </row>
    <row r="165" spans="2:8">
      <c r="B165" s="300">
        <f>IFERROR(IF(Loan_Not_Paid*Values_Entered,Payment_Number,""), "")</f>
        <v>148</v>
      </c>
      <c r="C165" s="299"/>
      <c r="D165" s="298">
        <f>IFERROR(IF(Loan_Not_Paid*Values_Entered,Beginning_Balance,""), "")</f>
        <v>132927901.28091133</v>
      </c>
      <c r="E165" s="298">
        <f>IFERROR(IF(Loan_Not_Paid*Values_Entered,Monthly_Payment,""), "")</f>
        <v>889840.28874113306</v>
      </c>
      <c r="F165" s="298">
        <f>IFERROR(IF(Loan_Not_Paid*Values_Entered,Principal,""), "")</f>
        <v>419053.97170456464</v>
      </c>
      <c r="G165" s="298">
        <f>IFERROR(IF(Loan_Not_Paid*Values_Entered,Interest,""), "")</f>
        <v>470786.31703656848</v>
      </c>
      <c r="H165" s="298">
        <f>IFERROR(IF(Loan_Not_Paid*Values_Entered,Ending_Balance,""), "")</f>
        <v>132508847.30920678</v>
      </c>
    </row>
    <row r="166" spans="2:8">
      <c r="B166" s="300">
        <f>IFERROR(IF(Loan_Not_Paid*Values_Entered,Payment_Number,""), "")</f>
        <v>149</v>
      </c>
      <c r="C166" s="299"/>
      <c r="D166" s="298">
        <f>IFERROR(IF(Loan_Not_Paid*Values_Entered,Beginning_Balance,""), "")</f>
        <v>132508847.30920678</v>
      </c>
      <c r="E166" s="298">
        <f>IFERROR(IF(Loan_Not_Paid*Values_Entered,Monthly_Payment,""), "")</f>
        <v>889840.28874113306</v>
      </c>
      <c r="F166" s="298">
        <f>IFERROR(IF(Loan_Not_Paid*Values_Entered,Principal,""), "")</f>
        <v>420538.12118768494</v>
      </c>
      <c r="G166" s="298">
        <f>IFERROR(IF(Loan_Not_Paid*Values_Entered,Interest,""), "")</f>
        <v>469302.16755344823</v>
      </c>
      <c r="H166" s="298">
        <f>IFERROR(IF(Loan_Not_Paid*Values_Entered,Ending_Balance,""), "")</f>
        <v>132088309.18801907</v>
      </c>
    </row>
    <row r="167" spans="2:8">
      <c r="B167" s="300">
        <f>IFERROR(IF(Loan_Not_Paid*Values_Entered,Payment_Number,""), "")</f>
        <v>150</v>
      </c>
      <c r="C167" s="299"/>
      <c r="D167" s="298">
        <f>IFERROR(IF(Loan_Not_Paid*Values_Entered,Beginning_Balance,""), "")</f>
        <v>132088309.18801907</v>
      </c>
      <c r="E167" s="298">
        <f>IFERROR(IF(Loan_Not_Paid*Values_Entered,Monthly_Payment,""), "")</f>
        <v>889840.28874113306</v>
      </c>
      <c r="F167" s="298">
        <f>IFERROR(IF(Loan_Not_Paid*Values_Entered,Principal,""), "")</f>
        <v>422027.52703355794</v>
      </c>
      <c r="G167" s="298">
        <f>IFERROR(IF(Loan_Not_Paid*Values_Entered,Interest,""), "")</f>
        <v>467812.76170757512</v>
      </c>
      <c r="H167" s="298">
        <f>IFERROR(IF(Loan_Not_Paid*Values_Entered,Ending_Balance,""), "")</f>
        <v>131666281.66098547</v>
      </c>
    </row>
    <row r="168" spans="2:8">
      <c r="B168" s="300">
        <f>IFERROR(IF(Loan_Not_Paid*Values_Entered,Payment_Number,""), "")</f>
        <v>151</v>
      </c>
      <c r="C168" s="299"/>
      <c r="D168" s="298">
        <f>IFERROR(IF(Loan_Not_Paid*Values_Entered,Beginning_Balance,""), "")</f>
        <v>131666281.66098547</v>
      </c>
      <c r="E168" s="298">
        <f>IFERROR(IF(Loan_Not_Paid*Values_Entered,Monthly_Payment,""), "")</f>
        <v>889840.28874113306</v>
      </c>
      <c r="F168" s="298">
        <f>IFERROR(IF(Loan_Not_Paid*Values_Entered,Principal,""), "")</f>
        <v>423522.20785846846</v>
      </c>
      <c r="G168" s="298">
        <f>IFERROR(IF(Loan_Not_Paid*Values_Entered,Interest,""), "")</f>
        <v>466318.0808826646</v>
      </c>
      <c r="H168" s="298">
        <f>IFERROR(IF(Loan_Not_Paid*Values_Entered,Ending_Balance,""), "")</f>
        <v>131242759.45312697</v>
      </c>
    </row>
    <row r="169" spans="2:8">
      <c r="B169" s="300">
        <f>IFERROR(IF(Loan_Not_Paid*Values_Entered,Payment_Number,""), "")</f>
        <v>152</v>
      </c>
      <c r="C169" s="299"/>
      <c r="D169" s="298">
        <f>IFERROR(IF(Loan_Not_Paid*Values_Entered,Beginning_Balance,""), "")</f>
        <v>131242759.45312697</v>
      </c>
      <c r="E169" s="298">
        <f>IFERROR(IF(Loan_Not_Paid*Values_Entered,Monthly_Payment,""), "")</f>
        <v>889840.28874113306</v>
      </c>
      <c r="F169" s="298">
        <f>IFERROR(IF(Loan_Not_Paid*Values_Entered,Principal,""), "")</f>
        <v>425022.18234463391</v>
      </c>
      <c r="G169" s="298">
        <f>IFERROR(IF(Loan_Not_Paid*Values_Entered,Interest,""), "")</f>
        <v>464818.10639649926</v>
      </c>
      <c r="H169" s="298">
        <f>IFERROR(IF(Loan_Not_Paid*Values_Entered,Ending_Balance,""), "")</f>
        <v>130817737.27078232</v>
      </c>
    </row>
    <row r="170" spans="2:8">
      <c r="B170" s="300">
        <f>IFERROR(IF(Loan_Not_Paid*Values_Entered,Payment_Number,""), "")</f>
        <v>153</v>
      </c>
      <c r="C170" s="299"/>
      <c r="D170" s="298">
        <f>IFERROR(IF(Loan_Not_Paid*Values_Entered,Beginning_Balance,""), "")</f>
        <v>130817737.27078232</v>
      </c>
      <c r="E170" s="298">
        <f>IFERROR(IF(Loan_Not_Paid*Values_Entered,Monthly_Payment,""), "")</f>
        <v>889840.28874113306</v>
      </c>
      <c r="F170" s="298">
        <f>IFERROR(IF(Loan_Not_Paid*Values_Entered,Principal,""), "")</f>
        <v>426527.46924043779</v>
      </c>
      <c r="G170" s="298">
        <f>IFERROR(IF(Loan_Not_Paid*Values_Entered,Interest,""), "")</f>
        <v>463312.81950069527</v>
      </c>
      <c r="H170" s="298">
        <f>IFERROR(IF(Loan_Not_Paid*Values_Entered,Ending_Balance,""), "")</f>
        <v>130391209.80154186</v>
      </c>
    </row>
    <row r="171" spans="2:8">
      <c r="B171" s="300">
        <f>IFERROR(IF(Loan_Not_Paid*Values_Entered,Payment_Number,""), "")</f>
        <v>154</v>
      </c>
      <c r="C171" s="299"/>
      <c r="D171" s="298">
        <f>IFERROR(IF(Loan_Not_Paid*Values_Entered,Beginning_Balance,""), "")</f>
        <v>130391209.80154186</v>
      </c>
      <c r="E171" s="298">
        <f>IFERROR(IF(Loan_Not_Paid*Values_Entered,Monthly_Payment,""), "")</f>
        <v>889840.28874113306</v>
      </c>
      <c r="F171" s="298">
        <f>IFERROR(IF(Loan_Not_Paid*Values_Entered,Principal,""), "")</f>
        <v>428038.08736066433</v>
      </c>
      <c r="G171" s="298">
        <f>IFERROR(IF(Loan_Not_Paid*Values_Entered,Interest,""), "")</f>
        <v>461802.20138046879</v>
      </c>
      <c r="H171" s="298">
        <f>IFERROR(IF(Loan_Not_Paid*Values_Entered,Ending_Balance,""), "")</f>
        <v>129963171.71418121</v>
      </c>
    </row>
    <row r="172" spans="2:8">
      <c r="B172" s="300">
        <f>IFERROR(IF(Loan_Not_Paid*Values_Entered,Payment_Number,""), "")</f>
        <v>155</v>
      </c>
      <c r="C172" s="299"/>
      <c r="D172" s="298">
        <f>IFERROR(IF(Loan_Not_Paid*Values_Entered,Beginning_Balance,""), "")</f>
        <v>129963171.71418121</v>
      </c>
      <c r="E172" s="298">
        <f>IFERROR(IF(Loan_Not_Paid*Values_Entered,Monthly_Payment,""), "")</f>
        <v>889840.28874113306</v>
      </c>
      <c r="F172" s="298">
        <f>IFERROR(IF(Loan_Not_Paid*Values_Entered,Principal,""), "")</f>
        <v>429554.05558673339</v>
      </c>
      <c r="G172" s="298">
        <f>IFERROR(IF(Loan_Not_Paid*Values_Entered,Interest,""), "")</f>
        <v>460286.23315439967</v>
      </c>
      <c r="H172" s="298">
        <f>IFERROR(IF(Loan_Not_Paid*Values_Entered,Ending_Balance,""), "")</f>
        <v>129533617.6585944</v>
      </c>
    </row>
    <row r="173" spans="2:8">
      <c r="B173" s="300">
        <f>IFERROR(IF(Loan_Not_Paid*Values_Entered,Payment_Number,""), "")</f>
        <v>156</v>
      </c>
      <c r="C173" s="299"/>
      <c r="D173" s="298">
        <f>IFERROR(IF(Loan_Not_Paid*Values_Entered,Beginning_Balance,""), "")</f>
        <v>129533617.6585944</v>
      </c>
      <c r="E173" s="298">
        <f>IFERROR(IF(Loan_Not_Paid*Values_Entered,Monthly_Payment,""), "")</f>
        <v>889840.28874113306</v>
      </c>
      <c r="F173" s="298">
        <f>IFERROR(IF(Loan_Not_Paid*Values_Entered,Principal,""), "")</f>
        <v>431075.39286693645</v>
      </c>
      <c r="G173" s="298">
        <f>IFERROR(IF(Loan_Not_Paid*Values_Entered,Interest,""), "")</f>
        <v>458764.89587419666</v>
      </c>
      <c r="H173" s="298">
        <f>IFERROR(IF(Loan_Not_Paid*Values_Entered,Ending_Balance,""), "")</f>
        <v>129102542.26572746</v>
      </c>
    </row>
    <row r="174" spans="2:8">
      <c r="B174" s="300">
        <f>IFERROR(IF(Loan_Not_Paid*Values_Entered,Payment_Number,""), "")</f>
        <v>157</v>
      </c>
      <c r="C174" s="299"/>
      <c r="D174" s="298">
        <f>IFERROR(IF(Loan_Not_Paid*Values_Entered,Beginning_Balance,""), "")</f>
        <v>129102542.26572746</v>
      </c>
      <c r="E174" s="298">
        <f>IFERROR(IF(Loan_Not_Paid*Values_Entered,Monthly_Payment,""), "")</f>
        <v>889840.28874113306</v>
      </c>
      <c r="F174" s="298">
        <f>IFERROR(IF(Loan_Not_Paid*Values_Entered,Principal,""), "")</f>
        <v>432602.11821667344</v>
      </c>
      <c r="G174" s="298">
        <f>IFERROR(IF(Loan_Not_Paid*Values_Entered,Interest,""), "")</f>
        <v>457238.17052445962</v>
      </c>
      <c r="H174" s="298">
        <f>IFERROR(IF(Loan_Not_Paid*Values_Entered,Ending_Balance,""), "")</f>
        <v>128669940.1475108</v>
      </c>
    </row>
    <row r="175" spans="2:8">
      <c r="B175" s="300">
        <f>IFERROR(IF(Loan_Not_Paid*Values_Entered,Payment_Number,""), "")</f>
        <v>158</v>
      </c>
      <c r="C175" s="299"/>
      <c r="D175" s="298">
        <f>IFERROR(IF(Loan_Not_Paid*Values_Entered,Beginning_Balance,""), "")</f>
        <v>128669940.1475108</v>
      </c>
      <c r="E175" s="298">
        <f>IFERROR(IF(Loan_Not_Paid*Values_Entered,Monthly_Payment,""), "")</f>
        <v>889840.28874113306</v>
      </c>
      <c r="F175" s="298">
        <f>IFERROR(IF(Loan_Not_Paid*Values_Entered,Principal,""), "")</f>
        <v>434134.25071869086</v>
      </c>
      <c r="G175" s="298">
        <f>IFERROR(IF(Loan_Not_Paid*Values_Entered,Interest,""), "")</f>
        <v>455706.03802244226</v>
      </c>
      <c r="H175" s="298">
        <f>IFERROR(IF(Loan_Not_Paid*Values_Entered,Ending_Balance,""), "")</f>
        <v>128235805.89679205</v>
      </c>
    </row>
    <row r="176" spans="2:8">
      <c r="B176" s="300">
        <f>IFERROR(IF(Loan_Not_Paid*Values_Entered,Payment_Number,""), "")</f>
        <v>159</v>
      </c>
      <c r="C176" s="299"/>
      <c r="D176" s="298">
        <f>IFERROR(IF(Loan_Not_Paid*Values_Entered,Beginning_Balance,""), "")</f>
        <v>128235805.89679205</v>
      </c>
      <c r="E176" s="298">
        <f>IFERROR(IF(Loan_Not_Paid*Values_Entered,Monthly_Payment,""), "")</f>
        <v>889840.28874113306</v>
      </c>
      <c r="F176" s="298">
        <f>IFERROR(IF(Loan_Not_Paid*Values_Entered,Principal,""), "")</f>
        <v>435671.80952331953</v>
      </c>
      <c r="G176" s="298">
        <f>IFERROR(IF(Loan_Not_Paid*Values_Entered,Interest,""), "")</f>
        <v>454168.47921781358</v>
      </c>
      <c r="H176" s="298">
        <f>IFERROR(IF(Loan_Not_Paid*Values_Entered,Ending_Balance,""), "")</f>
        <v>127800134.08726868</v>
      </c>
    </row>
    <row r="177" spans="2:8">
      <c r="B177" s="300">
        <f>IFERROR(IF(Loan_Not_Paid*Values_Entered,Payment_Number,""), "")</f>
        <v>160</v>
      </c>
      <c r="C177" s="299"/>
      <c r="D177" s="298">
        <f>IFERROR(IF(Loan_Not_Paid*Values_Entered,Beginning_Balance,""), "")</f>
        <v>127800134.08726868</v>
      </c>
      <c r="E177" s="298">
        <f>IFERROR(IF(Loan_Not_Paid*Values_Entered,Monthly_Payment,""), "")</f>
        <v>889840.28874113306</v>
      </c>
      <c r="F177" s="298">
        <f>IFERROR(IF(Loan_Not_Paid*Values_Entered,Principal,""), "")</f>
        <v>437214.81384871464</v>
      </c>
      <c r="G177" s="298">
        <f>IFERROR(IF(Loan_Not_Paid*Values_Entered,Interest,""), "")</f>
        <v>452625.47489241837</v>
      </c>
      <c r="H177" s="298">
        <f>IFERROR(IF(Loan_Not_Paid*Values_Entered,Ending_Balance,""), "")</f>
        <v>127362919.27342001</v>
      </c>
    </row>
    <row r="178" spans="2:8">
      <c r="B178" s="300">
        <f>IFERROR(IF(Loan_Not_Paid*Values_Entered,Payment_Number,""), "")</f>
        <v>161</v>
      </c>
      <c r="C178" s="299"/>
      <c r="D178" s="298">
        <f>IFERROR(IF(Loan_Not_Paid*Values_Entered,Beginning_Balance,""), "")</f>
        <v>127362919.27342001</v>
      </c>
      <c r="E178" s="298">
        <f>IFERROR(IF(Loan_Not_Paid*Values_Entered,Monthly_Payment,""), "")</f>
        <v>889840.28874113306</v>
      </c>
      <c r="F178" s="298">
        <f>IFERROR(IF(Loan_Not_Paid*Values_Entered,Principal,""), "")</f>
        <v>438763.28298109549</v>
      </c>
      <c r="G178" s="298">
        <f>IFERROR(IF(Loan_Not_Paid*Values_Entered,Interest,""), "")</f>
        <v>451077.00576003769</v>
      </c>
      <c r="H178" s="298">
        <f>IFERROR(IF(Loan_Not_Paid*Values_Entered,Ending_Balance,""), "")</f>
        <v>126924155.99043891</v>
      </c>
    </row>
    <row r="179" spans="2:8">
      <c r="B179" s="300">
        <f>IFERROR(IF(Loan_Not_Paid*Values_Entered,Payment_Number,""), "")</f>
        <v>162</v>
      </c>
      <c r="C179" s="299"/>
      <c r="D179" s="298">
        <f>IFERROR(IF(Loan_Not_Paid*Values_Entered,Beginning_Balance,""), "")</f>
        <v>126924155.99043891</v>
      </c>
      <c r="E179" s="298">
        <f>IFERROR(IF(Loan_Not_Paid*Values_Entered,Monthly_Payment,""), "")</f>
        <v>889840.28874113306</v>
      </c>
      <c r="F179" s="298">
        <f>IFERROR(IF(Loan_Not_Paid*Values_Entered,Principal,""), "")</f>
        <v>440317.23627498688</v>
      </c>
      <c r="G179" s="298">
        <f>IFERROR(IF(Loan_Not_Paid*Values_Entered,Interest,""), "")</f>
        <v>449523.05246614618</v>
      </c>
      <c r="H179" s="298">
        <f>IFERROR(IF(Loan_Not_Paid*Values_Entered,Ending_Balance,""), "")</f>
        <v>126483838.75416383</v>
      </c>
    </row>
    <row r="180" spans="2:8">
      <c r="B180" s="300">
        <f>IFERROR(IF(Loan_Not_Paid*Values_Entered,Payment_Number,""), "")</f>
        <v>163</v>
      </c>
      <c r="C180" s="299"/>
      <c r="D180" s="298">
        <f>IFERROR(IF(Loan_Not_Paid*Values_Entered,Beginning_Balance,""), "")</f>
        <v>126483838.75416383</v>
      </c>
      <c r="E180" s="298">
        <f>IFERROR(IF(Loan_Not_Paid*Values_Entered,Monthly_Payment,""), "")</f>
        <v>889840.28874113306</v>
      </c>
      <c r="F180" s="298">
        <f>IFERROR(IF(Loan_Not_Paid*Values_Entered,Principal,""), "")</f>
        <v>441876.6931534608</v>
      </c>
      <c r="G180" s="298">
        <f>IFERROR(IF(Loan_Not_Paid*Values_Entered,Interest,""), "")</f>
        <v>447963.59558767226</v>
      </c>
      <c r="H180" s="298">
        <f>IFERROR(IF(Loan_Not_Paid*Values_Entered,Ending_Balance,""), "")</f>
        <v>126041962.06101033</v>
      </c>
    </row>
    <row r="181" spans="2:8">
      <c r="B181" s="300">
        <f>IFERROR(IF(Loan_Not_Paid*Values_Entered,Payment_Number,""), "")</f>
        <v>164</v>
      </c>
      <c r="C181" s="299"/>
      <c r="D181" s="298">
        <f>IFERROR(IF(Loan_Not_Paid*Values_Entered,Beginning_Balance,""), "")</f>
        <v>126041962.06101033</v>
      </c>
      <c r="E181" s="298">
        <f>IFERROR(IF(Loan_Not_Paid*Values_Entered,Monthly_Payment,""), "")</f>
        <v>889840.28874113306</v>
      </c>
      <c r="F181" s="298">
        <f>IFERROR(IF(Loan_Not_Paid*Values_Entered,Principal,""), "")</f>
        <v>443441.6731083793</v>
      </c>
      <c r="G181" s="298">
        <f>IFERROR(IF(Loan_Not_Paid*Values_Entered,Interest,""), "")</f>
        <v>446398.61563275382</v>
      </c>
      <c r="H181" s="298">
        <f>IFERROR(IF(Loan_Not_Paid*Values_Entered,Ending_Balance,""), "")</f>
        <v>125598520.38790196</v>
      </c>
    </row>
    <row r="182" spans="2:8">
      <c r="B182" s="300">
        <f>IFERROR(IF(Loan_Not_Paid*Values_Entered,Payment_Number,""), "")</f>
        <v>165</v>
      </c>
      <c r="C182" s="299"/>
      <c r="D182" s="298">
        <f>IFERROR(IF(Loan_Not_Paid*Values_Entered,Beginning_Balance,""), "")</f>
        <v>125598520.38790196</v>
      </c>
      <c r="E182" s="298">
        <f>IFERROR(IF(Loan_Not_Paid*Values_Entered,Monthly_Payment,""), "")</f>
        <v>889840.28874113306</v>
      </c>
      <c r="F182" s="298">
        <f>IFERROR(IF(Loan_Not_Paid*Values_Entered,Principal,""), "")</f>
        <v>445012.19570063811</v>
      </c>
      <c r="G182" s="298">
        <f>IFERROR(IF(Loan_Not_Paid*Values_Entered,Interest,""), "")</f>
        <v>444828.09304049495</v>
      </c>
      <c r="H182" s="298">
        <f>IFERROR(IF(Loan_Not_Paid*Values_Entered,Ending_Balance,""), "")</f>
        <v>125153508.19220129</v>
      </c>
    </row>
    <row r="183" spans="2:8">
      <c r="B183" s="300">
        <f>IFERROR(IF(Loan_Not_Paid*Values_Entered,Payment_Number,""), "")</f>
        <v>166</v>
      </c>
      <c r="C183" s="299"/>
      <c r="D183" s="298">
        <f>IFERROR(IF(Loan_Not_Paid*Values_Entered,Beginning_Balance,""), "")</f>
        <v>125153508.19220129</v>
      </c>
      <c r="E183" s="298">
        <f>IFERROR(IF(Loan_Not_Paid*Values_Entered,Monthly_Payment,""), "")</f>
        <v>889840.28874113306</v>
      </c>
      <c r="F183" s="298">
        <f>IFERROR(IF(Loan_Not_Paid*Values_Entered,Principal,""), "")</f>
        <v>446588.28056041122</v>
      </c>
      <c r="G183" s="298">
        <f>IFERROR(IF(Loan_Not_Paid*Values_Entered,Interest,""), "")</f>
        <v>443252.0081807219</v>
      </c>
      <c r="H183" s="298">
        <f>IFERROR(IF(Loan_Not_Paid*Values_Entered,Ending_Balance,""), "")</f>
        <v>124706919.91164085</v>
      </c>
    </row>
    <row r="184" spans="2:8">
      <c r="B184" s="300">
        <f>IFERROR(IF(Loan_Not_Paid*Values_Entered,Payment_Number,""), "")</f>
        <v>167</v>
      </c>
      <c r="C184" s="299"/>
      <c r="D184" s="298">
        <f>IFERROR(IF(Loan_Not_Paid*Values_Entered,Beginning_Balance,""), "")</f>
        <v>124706919.91164085</v>
      </c>
      <c r="E184" s="298">
        <f>IFERROR(IF(Loan_Not_Paid*Values_Entered,Monthly_Payment,""), "")</f>
        <v>889840.28874113306</v>
      </c>
      <c r="F184" s="298">
        <f>IFERROR(IF(Loan_Not_Paid*Values_Entered,Principal,""), "")</f>
        <v>448169.94738739601</v>
      </c>
      <c r="G184" s="298">
        <f>IFERROR(IF(Loan_Not_Paid*Values_Entered,Interest,""), "")</f>
        <v>441670.34135373705</v>
      </c>
      <c r="H184" s="298">
        <f>IFERROR(IF(Loan_Not_Paid*Values_Entered,Ending_Balance,""), "")</f>
        <v>124258749.9642534</v>
      </c>
    </row>
    <row r="185" spans="2:8">
      <c r="B185" s="300">
        <f>IFERROR(IF(Loan_Not_Paid*Values_Entered,Payment_Number,""), "")</f>
        <v>168</v>
      </c>
      <c r="C185" s="299"/>
      <c r="D185" s="298">
        <f>IFERROR(IF(Loan_Not_Paid*Values_Entered,Beginning_Balance,""), "")</f>
        <v>124258749.9642534</v>
      </c>
      <c r="E185" s="298">
        <f>IFERROR(IF(Loan_Not_Paid*Values_Entered,Monthly_Payment,""), "")</f>
        <v>889840.28874113306</v>
      </c>
      <c r="F185" s="298">
        <f>IFERROR(IF(Loan_Not_Paid*Values_Entered,Principal,""), "")</f>
        <v>449757.21595105965</v>
      </c>
      <c r="G185" s="298">
        <f>IFERROR(IF(Loan_Not_Paid*Values_Entered,Interest,""), "")</f>
        <v>440083.07279007335</v>
      </c>
      <c r="H185" s="298">
        <f>IFERROR(IF(Loan_Not_Paid*Values_Entered,Ending_Balance,""), "")</f>
        <v>123808992.74830237</v>
      </c>
    </row>
    <row r="186" spans="2:8">
      <c r="B186" s="300">
        <f>IFERROR(IF(Loan_Not_Paid*Values_Entered,Payment_Number,""), "")</f>
        <v>169</v>
      </c>
      <c r="C186" s="299"/>
      <c r="D186" s="298">
        <f>IFERROR(IF(Loan_Not_Paid*Values_Entered,Beginning_Balance,""), "")</f>
        <v>123808992.74830237</v>
      </c>
      <c r="E186" s="298">
        <f>IFERROR(IF(Loan_Not_Paid*Values_Entered,Monthly_Payment,""), "")</f>
        <v>889840.28874113306</v>
      </c>
      <c r="F186" s="298">
        <f>IFERROR(IF(Loan_Not_Paid*Values_Entered,Principal,""), "")</f>
        <v>451350.1060908864</v>
      </c>
      <c r="G186" s="298">
        <f>IFERROR(IF(Loan_Not_Paid*Values_Entered,Interest,""), "")</f>
        <v>438490.18265024672</v>
      </c>
      <c r="H186" s="298">
        <f>IFERROR(IF(Loan_Not_Paid*Values_Entered,Ending_Balance,""), "")</f>
        <v>123357642.64221144</v>
      </c>
    </row>
    <row r="187" spans="2:8">
      <c r="B187" s="300">
        <f>IFERROR(IF(Loan_Not_Paid*Values_Entered,Payment_Number,""), "")</f>
        <v>170</v>
      </c>
      <c r="C187" s="299"/>
      <c r="D187" s="298">
        <f>IFERROR(IF(Loan_Not_Paid*Values_Entered,Beginning_Balance,""), "")</f>
        <v>123357642.64221144</v>
      </c>
      <c r="E187" s="298">
        <f>IFERROR(IF(Loan_Not_Paid*Values_Entered,Monthly_Payment,""), "")</f>
        <v>889840.28874113306</v>
      </c>
      <c r="F187" s="298">
        <f>IFERROR(IF(Loan_Not_Paid*Values_Entered,Principal,""), "")</f>
        <v>452948.63771662489</v>
      </c>
      <c r="G187" s="298">
        <f>IFERROR(IF(Loan_Not_Paid*Values_Entered,Interest,""), "")</f>
        <v>436891.65102450812</v>
      </c>
      <c r="H187" s="298">
        <f>IFERROR(IF(Loan_Not_Paid*Values_Entered,Ending_Balance,""), "")</f>
        <v>122904694.00449482</v>
      </c>
    </row>
    <row r="188" spans="2:8">
      <c r="B188" s="300">
        <f>IFERROR(IF(Loan_Not_Paid*Values_Entered,Payment_Number,""), "")</f>
        <v>171</v>
      </c>
      <c r="C188" s="299"/>
      <c r="D188" s="298">
        <f>IFERROR(IF(Loan_Not_Paid*Values_Entered,Beginning_Balance,""), "")</f>
        <v>122904694.00449482</v>
      </c>
      <c r="E188" s="298">
        <f>IFERROR(IF(Loan_Not_Paid*Values_Entered,Monthly_Payment,""), "")</f>
        <v>889840.28874113306</v>
      </c>
      <c r="F188" s="298">
        <f>IFERROR(IF(Loan_Not_Paid*Values_Entered,Principal,""), "")</f>
        <v>454552.8308085379</v>
      </c>
      <c r="G188" s="298">
        <f>IFERROR(IF(Loan_Not_Paid*Values_Entered,Interest,""), "")</f>
        <v>435287.45793259511</v>
      </c>
      <c r="H188" s="298">
        <f>IFERROR(IF(Loan_Not_Paid*Values_Entered,Ending_Balance,""), "")</f>
        <v>122450141.17368624</v>
      </c>
    </row>
    <row r="189" spans="2:8">
      <c r="B189" s="300">
        <f>IFERROR(IF(Loan_Not_Paid*Values_Entered,Payment_Number,""), "")</f>
        <v>172</v>
      </c>
      <c r="C189" s="299"/>
      <c r="D189" s="298">
        <f>IFERROR(IF(Loan_Not_Paid*Values_Entered,Beginning_Balance,""), "")</f>
        <v>122450141.17368624</v>
      </c>
      <c r="E189" s="298">
        <f>IFERROR(IF(Loan_Not_Paid*Values_Entered,Monthly_Payment,""), "")</f>
        <v>889840.28874113306</v>
      </c>
      <c r="F189" s="298">
        <f>IFERROR(IF(Loan_Not_Paid*Values_Entered,Principal,""), "")</f>
        <v>456162.70541765151</v>
      </c>
      <c r="G189" s="298">
        <f>IFERROR(IF(Loan_Not_Paid*Values_Entered,Interest,""), "")</f>
        <v>433677.58332348155</v>
      </c>
      <c r="H189" s="298">
        <f>IFERROR(IF(Loan_Not_Paid*Values_Entered,Ending_Balance,""), "")</f>
        <v>121993978.46826857</v>
      </c>
    </row>
    <row r="190" spans="2:8">
      <c r="B190" s="300">
        <f>IFERROR(IF(Loan_Not_Paid*Values_Entered,Payment_Number,""), "")</f>
        <v>173</v>
      </c>
      <c r="C190" s="299"/>
      <c r="D190" s="298">
        <f>IFERROR(IF(Loan_Not_Paid*Values_Entered,Beginning_Balance,""), "")</f>
        <v>121993978.46826857</v>
      </c>
      <c r="E190" s="298">
        <f>IFERROR(IF(Loan_Not_Paid*Values_Entered,Monthly_Payment,""), "")</f>
        <v>889840.28874113306</v>
      </c>
      <c r="F190" s="298">
        <f>IFERROR(IF(Loan_Not_Paid*Values_Entered,Principal,""), "")</f>
        <v>457778.28166600567</v>
      </c>
      <c r="G190" s="298">
        <f>IFERROR(IF(Loan_Not_Paid*Values_Entered,Interest,""), "")</f>
        <v>432062.00707512739</v>
      </c>
      <c r="H190" s="298">
        <f>IFERROR(IF(Loan_Not_Paid*Values_Entered,Ending_Balance,""), "")</f>
        <v>121536200.18660253</v>
      </c>
    </row>
    <row r="191" spans="2:8">
      <c r="B191" s="300">
        <f>IFERROR(IF(Loan_Not_Paid*Values_Entered,Payment_Number,""), "")</f>
        <v>174</v>
      </c>
      <c r="C191" s="299"/>
      <c r="D191" s="298">
        <f>IFERROR(IF(Loan_Not_Paid*Values_Entered,Beginning_Balance,""), "")</f>
        <v>121536200.18660253</v>
      </c>
      <c r="E191" s="298">
        <f>IFERROR(IF(Loan_Not_Paid*Values_Entered,Monthly_Payment,""), "")</f>
        <v>889840.28874113306</v>
      </c>
      <c r="F191" s="298">
        <f>IFERROR(IF(Loan_Not_Paid*Values_Entered,Principal,""), "")</f>
        <v>459399.57974690618</v>
      </c>
      <c r="G191" s="298">
        <f>IFERROR(IF(Loan_Not_Paid*Values_Entered,Interest,""), "")</f>
        <v>430440.70899422688</v>
      </c>
      <c r="H191" s="298">
        <f>IFERROR(IF(Loan_Not_Paid*Values_Entered,Ending_Balance,""), "")</f>
        <v>121076800.6068556</v>
      </c>
    </row>
    <row r="192" spans="2:8">
      <c r="B192" s="300">
        <f>IFERROR(IF(Loan_Not_Paid*Values_Entered,Payment_Number,""), "")</f>
        <v>175</v>
      </c>
      <c r="C192" s="299"/>
      <c r="D192" s="298">
        <f>IFERROR(IF(Loan_Not_Paid*Values_Entered,Beginning_Balance,""), "")</f>
        <v>121076800.6068556</v>
      </c>
      <c r="E192" s="298">
        <f>IFERROR(IF(Loan_Not_Paid*Values_Entered,Monthly_Payment,""), "")</f>
        <v>889840.28874113306</v>
      </c>
      <c r="F192" s="298">
        <f>IFERROR(IF(Loan_Not_Paid*Values_Entered,Principal,""), "")</f>
        <v>461026.61992517649</v>
      </c>
      <c r="G192" s="298">
        <f>IFERROR(IF(Loan_Not_Paid*Values_Entered,Interest,""), "")</f>
        <v>428813.66881595668</v>
      </c>
      <c r="H192" s="298">
        <f>IFERROR(IF(Loan_Not_Paid*Values_Entered,Ending_Balance,""), "")</f>
        <v>120615773.9869304</v>
      </c>
    </row>
    <row r="193" spans="2:8">
      <c r="B193" s="300">
        <f>IFERROR(IF(Loan_Not_Paid*Values_Entered,Payment_Number,""), "")</f>
        <v>176</v>
      </c>
      <c r="C193" s="299"/>
      <c r="D193" s="298">
        <f>IFERROR(IF(Loan_Not_Paid*Values_Entered,Beginning_Balance,""), "")</f>
        <v>120615773.9869304</v>
      </c>
      <c r="E193" s="298">
        <f>IFERROR(IF(Loan_Not_Paid*Values_Entered,Monthly_Payment,""), "")</f>
        <v>889840.28874113306</v>
      </c>
      <c r="F193" s="298">
        <f>IFERROR(IF(Loan_Not_Paid*Values_Entered,Principal,""), "")</f>
        <v>462659.42253741145</v>
      </c>
      <c r="G193" s="298">
        <f>IFERROR(IF(Loan_Not_Paid*Values_Entered,Interest,""), "")</f>
        <v>427180.86620372161</v>
      </c>
      <c r="H193" s="298">
        <f>IFERROR(IF(Loan_Not_Paid*Values_Entered,Ending_Balance,""), "")</f>
        <v>120153114.56439295</v>
      </c>
    </row>
    <row r="194" spans="2:8">
      <c r="B194" s="300">
        <f>IFERROR(IF(Loan_Not_Paid*Values_Entered,Payment_Number,""), "")</f>
        <v>177</v>
      </c>
      <c r="C194" s="299"/>
      <c r="D194" s="298">
        <f>IFERROR(IF(Loan_Not_Paid*Values_Entered,Beginning_Balance,""), "")</f>
        <v>120153114.56439295</v>
      </c>
      <c r="E194" s="298">
        <f>IFERROR(IF(Loan_Not_Paid*Values_Entered,Monthly_Payment,""), "")</f>
        <v>889840.28874113306</v>
      </c>
      <c r="F194" s="298">
        <f>IFERROR(IF(Loan_Not_Paid*Values_Entered,Principal,""), "")</f>
        <v>464298.0079922314</v>
      </c>
      <c r="G194" s="298">
        <f>IFERROR(IF(Loan_Not_Paid*Values_Entered,Interest,""), "")</f>
        <v>425542.2807489016</v>
      </c>
      <c r="H194" s="298">
        <f>IFERROR(IF(Loan_Not_Paid*Values_Entered,Ending_Balance,""), "")</f>
        <v>119688816.55640072</v>
      </c>
    </row>
    <row r="195" spans="2:8">
      <c r="B195" s="300">
        <f>IFERROR(IF(Loan_Not_Paid*Values_Entered,Payment_Number,""), "")</f>
        <v>178</v>
      </c>
      <c r="C195" s="299"/>
      <c r="D195" s="298">
        <f>IFERROR(IF(Loan_Not_Paid*Values_Entered,Beginning_Balance,""), "")</f>
        <v>119688816.55640072</v>
      </c>
      <c r="E195" s="298">
        <f>IFERROR(IF(Loan_Not_Paid*Values_Entered,Monthly_Payment,""), "")</f>
        <v>889840.28874113306</v>
      </c>
      <c r="F195" s="298">
        <f>IFERROR(IF(Loan_Not_Paid*Values_Entered,Principal,""), "")</f>
        <v>465942.39677053725</v>
      </c>
      <c r="G195" s="298">
        <f>IFERROR(IF(Loan_Not_Paid*Values_Entered,Interest,""), "")</f>
        <v>423897.89197059581</v>
      </c>
      <c r="H195" s="298">
        <f>IFERROR(IF(Loan_Not_Paid*Values_Entered,Ending_Balance,""), "")</f>
        <v>119222874.15963015</v>
      </c>
    </row>
    <row r="196" spans="2:8">
      <c r="B196" s="300">
        <f>IFERROR(IF(Loan_Not_Paid*Values_Entered,Payment_Number,""), "")</f>
        <v>179</v>
      </c>
      <c r="C196" s="299"/>
      <c r="D196" s="298">
        <f>IFERROR(IF(Loan_Not_Paid*Values_Entered,Beginning_Balance,""), "")</f>
        <v>119222874.15963015</v>
      </c>
      <c r="E196" s="298">
        <f>IFERROR(IF(Loan_Not_Paid*Values_Entered,Monthly_Payment,""), "")</f>
        <v>889840.28874113306</v>
      </c>
      <c r="F196" s="298">
        <f>IFERROR(IF(Loan_Not_Paid*Values_Entered,Principal,""), "")</f>
        <v>467592.60942576628</v>
      </c>
      <c r="G196" s="298">
        <f>IFERROR(IF(Loan_Not_Paid*Values_Entered,Interest,""), "")</f>
        <v>422247.67931536678</v>
      </c>
      <c r="H196" s="298">
        <f>IFERROR(IF(Loan_Not_Paid*Values_Entered,Ending_Balance,""), "")</f>
        <v>118755281.55020434</v>
      </c>
    </row>
    <row r="197" spans="2:8">
      <c r="B197" s="300">
        <f>IFERROR(IF(Loan_Not_Paid*Values_Entered,Payment_Number,""), "")</f>
        <v>180</v>
      </c>
      <c r="C197" s="299"/>
      <c r="D197" s="298">
        <f>IFERROR(IF(Loan_Not_Paid*Values_Entered,Beginning_Balance,""), "")</f>
        <v>118755281.55020434</v>
      </c>
      <c r="E197" s="298">
        <f>IFERROR(IF(Loan_Not_Paid*Values_Entered,Monthly_Payment,""), "")</f>
        <v>889840.28874113306</v>
      </c>
      <c r="F197" s="298">
        <f>IFERROR(IF(Loan_Not_Paid*Values_Entered,Principal,""), "")</f>
        <v>469248.66658414918</v>
      </c>
      <c r="G197" s="298">
        <f>IFERROR(IF(Loan_Not_Paid*Values_Entered,Interest,""), "")</f>
        <v>420591.62215698394</v>
      </c>
      <c r="H197" s="298">
        <f>IFERROR(IF(Loan_Not_Paid*Values_Entered,Ending_Balance,""), "")</f>
        <v>118286032.88362023</v>
      </c>
    </row>
    <row r="198" spans="2:8">
      <c r="B198" s="300">
        <f>IFERROR(IF(Loan_Not_Paid*Values_Entered,Payment_Number,""), "")</f>
        <v>181</v>
      </c>
      <c r="C198" s="299"/>
      <c r="D198" s="298">
        <f>IFERROR(IF(Loan_Not_Paid*Values_Entered,Beginning_Balance,""), "")</f>
        <v>118286032.88362023</v>
      </c>
      <c r="E198" s="298">
        <f>IFERROR(IF(Loan_Not_Paid*Values_Entered,Monthly_Payment,""), "")</f>
        <v>889840.28874113306</v>
      </c>
      <c r="F198" s="298">
        <f>IFERROR(IF(Loan_Not_Paid*Values_Entered,Principal,""), "")</f>
        <v>470910.58894496807</v>
      </c>
      <c r="G198" s="298">
        <f>IFERROR(IF(Loan_Not_Paid*Values_Entered,Interest,""), "")</f>
        <v>418929.69979616511</v>
      </c>
      <c r="H198" s="298">
        <f>IFERROR(IF(Loan_Not_Paid*Values_Entered,Ending_Balance,""), "")</f>
        <v>117815122.2946752</v>
      </c>
    </row>
    <row r="199" spans="2:8">
      <c r="B199" s="300">
        <f>IFERROR(IF(Loan_Not_Paid*Values_Entered,Payment_Number,""), "")</f>
        <v>182</v>
      </c>
      <c r="C199" s="299"/>
      <c r="D199" s="298">
        <f>IFERROR(IF(Loan_Not_Paid*Values_Entered,Beginning_Balance,""), "")</f>
        <v>117815122.2946752</v>
      </c>
      <c r="E199" s="298">
        <f>IFERROR(IF(Loan_Not_Paid*Values_Entered,Monthly_Payment,""), "")</f>
        <v>889840.28874113306</v>
      </c>
      <c r="F199" s="298">
        <f>IFERROR(IF(Loan_Not_Paid*Values_Entered,Principal,""), "")</f>
        <v>472578.39728081477</v>
      </c>
      <c r="G199" s="298">
        <f>IFERROR(IF(Loan_Not_Paid*Values_Entered,Interest,""), "")</f>
        <v>417261.89146031823</v>
      </c>
      <c r="H199" s="298">
        <f>IFERROR(IF(Loan_Not_Paid*Values_Entered,Ending_Balance,""), "")</f>
        <v>117342543.89739433</v>
      </c>
    </row>
    <row r="200" spans="2:8">
      <c r="B200" s="300">
        <f>IFERROR(IF(Loan_Not_Paid*Values_Entered,Payment_Number,""), "")</f>
        <v>183</v>
      </c>
      <c r="C200" s="299"/>
      <c r="D200" s="298">
        <f>IFERROR(IF(Loan_Not_Paid*Values_Entered,Beginning_Balance,""), "")</f>
        <v>117342543.89739433</v>
      </c>
      <c r="E200" s="298">
        <f>IFERROR(IF(Loan_Not_Paid*Values_Entered,Monthly_Payment,""), "")</f>
        <v>889840.28874113306</v>
      </c>
      <c r="F200" s="298">
        <f>IFERROR(IF(Loan_Not_Paid*Values_Entered,Principal,""), "")</f>
        <v>474252.11243785109</v>
      </c>
      <c r="G200" s="298">
        <f>IFERROR(IF(Loan_Not_Paid*Values_Entered,Interest,""), "")</f>
        <v>415588.17630328209</v>
      </c>
      <c r="H200" s="298">
        <f>IFERROR(IF(Loan_Not_Paid*Values_Entered,Ending_Balance,""), "")</f>
        <v>116868291.78495643</v>
      </c>
    </row>
    <row r="201" spans="2:8">
      <c r="B201" s="300">
        <f>IFERROR(IF(Loan_Not_Paid*Values_Entered,Payment_Number,""), "")</f>
        <v>184</v>
      </c>
      <c r="C201" s="299"/>
      <c r="D201" s="298">
        <f>IFERROR(IF(Loan_Not_Paid*Values_Entered,Beginning_Balance,""), "")</f>
        <v>116868291.78495643</v>
      </c>
      <c r="E201" s="298">
        <f>IFERROR(IF(Loan_Not_Paid*Values_Entered,Monthly_Payment,""), "")</f>
        <v>889840.28874113306</v>
      </c>
      <c r="F201" s="298">
        <f>IFERROR(IF(Loan_Not_Paid*Values_Entered,Principal,""), "")</f>
        <v>475931.7553360684</v>
      </c>
      <c r="G201" s="298">
        <f>IFERROR(IF(Loan_Not_Paid*Values_Entered,Interest,""), "")</f>
        <v>413908.53340506466</v>
      </c>
      <c r="H201" s="298">
        <f>IFERROR(IF(Loan_Not_Paid*Values_Entered,Ending_Balance,""), "")</f>
        <v>116392360.02962038</v>
      </c>
    </row>
    <row r="202" spans="2:8">
      <c r="B202" s="300">
        <f>IFERROR(IF(Loan_Not_Paid*Values_Entered,Payment_Number,""), "")</f>
        <v>185</v>
      </c>
      <c r="C202" s="299"/>
      <c r="D202" s="298">
        <f>IFERROR(IF(Loan_Not_Paid*Values_Entered,Beginning_Balance,""), "")</f>
        <v>116392360.02962038</v>
      </c>
      <c r="E202" s="298">
        <f>IFERROR(IF(Loan_Not_Paid*Values_Entered,Monthly_Payment,""), "")</f>
        <v>889840.28874113306</v>
      </c>
      <c r="F202" s="298">
        <f>IFERROR(IF(Loan_Not_Paid*Values_Entered,Principal,""), "")</f>
        <v>477617.3469695503</v>
      </c>
      <c r="G202" s="298">
        <f>IFERROR(IF(Loan_Not_Paid*Values_Entered,Interest,""), "")</f>
        <v>412222.94177158276</v>
      </c>
      <c r="H202" s="298">
        <f>IFERROR(IF(Loan_Not_Paid*Values_Entered,Ending_Balance,""), "")</f>
        <v>115914742.68265077</v>
      </c>
    </row>
    <row r="203" spans="2:8">
      <c r="B203" s="300">
        <f>IFERROR(IF(Loan_Not_Paid*Values_Entered,Payment_Number,""), "")</f>
        <v>186</v>
      </c>
      <c r="C203" s="299"/>
      <c r="D203" s="298">
        <f>IFERROR(IF(Loan_Not_Paid*Values_Entered,Beginning_Balance,""), "")</f>
        <v>115914742.68265077</v>
      </c>
      <c r="E203" s="298">
        <f>IFERROR(IF(Loan_Not_Paid*Values_Entered,Monthly_Payment,""), "")</f>
        <v>889840.28874113306</v>
      </c>
      <c r="F203" s="298">
        <f>IFERROR(IF(Loan_Not_Paid*Values_Entered,Principal,""), "")</f>
        <v>479308.90840673412</v>
      </c>
      <c r="G203" s="298">
        <f>IFERROR(IF(Loan_Not_Paid*Values_Entered,Interest,""), "")</f>
        <v>410531.380334399</v>
      </c>
      <c r="H203" s="298">
        <f>IFERROR(IF(Loan_Not_Paid*Values_Entered,Ending_Balance,""), "")</f>
        <v>115435433.77424404</v>
      </c>
    </row>
    <row r="204" spans="2:8">
      <c r="B204" s="300">
        <f>IFERROR(IF(Loan_Not_Paid*Values_Entered,Payment_Number,""), "")</f>
        <v>187</v>
      </c>
      <c r="C204" s="299"/>
      <c r="D204" s="298">
        <f>IFERROR(IF(Loan_Not_Paid*Values_Entered,Beginning_Balance,""), "")</f>
        <v>115435433.77424404</v>
      </c>
      <c r="E204" s="298">
        <f>IFERROR(IF(Loan_Not_Paid*Values_Entered,Monthly_Payment,""), "")</f>
        <v>889840.28874113306</v>
      </c>
      <c r="F204" s="298">
        <f>IFERROR(IF(Loan_Not_Paid*Values_Entered,Principal,""), "")</f>
        <v>481006.46079067467</v>
      </c>
      <c r="G204" s="298">
        <f>IFERROR(IF(Loan_Not_Paid*Values_Entered,Interest,""), "")</f>
        <v>408833.82795045839</v>
      </c>
      <c r="H204" s="298">
        <f>IFERROR(IF(Loan_Not_Paid*Values_Entered,Ending_Balance,""), "")</f>
        <v>114954427.31345332</v>
      </c>
    </row>
    <row r="205" spans="2:8">
      <c r="B205" s="300">
        <f>IFERROR(IF(Loan_Not_Paid*Values_Entered,Payment_Number,""), "")</f>
        <v>188</v>
      </c>
      <c r="C205" s="299"/>
      <c r="D205" s="298">
        <f>IFERROR(IF(Loan_Not_Paid*Values_Entered,Beginning_Balance,""), "")</f>
        <v>114954427.31345332</v>
      </c>
      <c r="E205" s="298">
        <f>IFERROR(IF(Loan_Not_Paid*Values_Entered,Monthly_Payment,""), "")</f>
        <v>889840.28874113306</v>
      </c>
      <c r="F205" s="298">
        <f>IFERROR(IF(Loan_Not_Paid*Values_Entered,Principal,""), "")</f>
        <v>482710.02533930825</v>
      </c>
      <c r="G205" s="298">
        <f>IFERROR(IF(Loan_Not_Paid*Values_Entered,Interest,""), "")</f>
        <v>407130.26340182481</v>
      </c>
      <c r="H205" s="298">
        <f>IFERROR(IF(Loan_Not_Paid*Values_Entered,Ending_Balance,""), "")</f>
        <v>114471717.28811401</v>
      </c>
    </row>
    <row r="206" spans="2:8">
      <c r="B206" s="300">
        <f>IFERROR(IF(Loan_Not_Paid*Values_Entered,Payment_Number,""), "")</f>
        <v>189</v>
      </c>
      <c r="C206" s="299"/>
      <c r="D206" s="298">
        <f>IFERROR(IF(Loan_Not_Paid*Values_Entered,Beginning_Balance,""), "")</f>
        <v>114471717.28811401</v>
      </c>
      <c r="E206" s="298">
        <f>IFERROR(IF(Loan_Not_Paid*Values_Entered,Monthly_Payment,""), "")</f>
        <v>889840.28874113306</v>
      </c>
      <c r="F206" s="298">
        <f>IFERROR(IF(Loan_Not_Paid*Values_Entered,Principal,""), "")</f>
        <v>484419.62334571843</v>
      </c>
      <c r="G206" s="298">
        <f>IFERROR(IF(Loan_Not_Paid*Values_Entered,Interest,""), "")</f>
        <v>405420.66539541475</v>
      </c>
      <c r="H206" s="298">
        <f>IFERROR(IF(Loan_Not_Paid*Values_Entered,Ending_Balance,""), "")</f>
        <v>113987297.66476825</v>
      </c>
    </row>
    <row r="207" spans="2:8">
      <c r="B207" s="300">
        <f>IFERROR(IF(Loan_Not_Paid*Values_Entered,Payment_Number,""), "")</f>
        <v>190</v>
      </c>
      <c r="C207" s="299"/>
      <c r="D207" s="298">
        <f>IFERROR(IF(Loan_Not_Paid*Values_Entered,Beginning_Balance,""), "")</f>
        <v>113987297.66476825</v>
      </c>
      <c r="E207" s="298">
        <f>IFERROR(IF(Loan_Not_Paid*Values_Entered,Monthly_Payment,""), "")</f>
        <v>889840.28874113306</v>
      </c>
      <c r="F207" s="298">
        <f>IFERROR(IF(Loan_Not_Paid*Values_Entered,Principal,""), "")</f>
        <v>486135.27617840108</v>
      </c>
      <c r="G207" s="298">
        <f>IFERROR(IF(Loan_Not_Paid*Values_Entered,Interest,""), "")</f>
        <v>403705.01256273198</v>
      </c>
      <c r="H207" s="298">
        <f>IFERROR(IF(Loan_Not_Paid*Values_Entered,Ending_Balance,""), "")</f>
        <v>113501162.38858983</v>
      </c>
    </row>
    <row r="208" spans="2:8">
      <c r="B208" s="300">
        <f>IFERROR(IF(Loan_Not_Paid*Values_Entered,Payment_Number,""), "")</f>
        <v>191</v>
      </c>
      <c r="C208" s="299"/>
      <c r="D208" s="298">
        <f>IFERROR(IF(Loan_Not_Paid*Values_Entered,Beginning_Balance,""), "")</f>
        <v>113501162.38858983</v>
      </c>
      <c r="E208" s="298">
        <f>IFERROR(IF(Loan_Not_Paid*Values_Entered,Monthly_Payment,""), "")</f>
        <v>889840.28874113306</v>
      </c>
      <c r="F208" s="298">
        <f>IFERROR(IF(Loan_Not_Paid*Values_Entered,Principal,""), "")</f>
        <v>487857.00528153288</v>
      </c>
      <c r="G208" s="298">
        <f>IFERROR(IF(Loan_Not_Paid*Values_Entered,Interest,""), "")</f>
        <v>401983.28345960012</v>
      </c>
      <c r="H208" s="298">
        <f>IFERROR(IF(Loan_Not_Paid*Values_Entered,Ending_Balance,""), "")</f>
        <v>113013305.3833082</v>
      </c>
    </row>
    <row r="209" spans="2:8">
      <c r="B209" s="300">
        <f>IFERROR(IF(Loan_Not_Paid*Values_Entered,Payment_Number,""), "")</f>
        <v>192</v>
      </c>
      <c r="C209" s="299"/>
      <c r="D209" s="298">
        <f>IFERROR(IF(Loan_Not_Paid*Values_Entered,Beginning_Balance,""), "")</f>
        <v>113013305.3833082</v>
      </c>
      <c r="E209" s="298">
        <f>IFERROR(IF(Loan_Not_Paid*Values_Entered,Monthly_Payment,""), "")</f>
        <v>889840.28874113306</v>
      </c>
      <c r="F209" s="298">
        <f>IFERROR(IF(Loan_Not_Paid*Values_Entered,Principal,""), "")</f>
        <v>489584.83217523835</v>
      </c>
      <c r="G209" s="298">
        <f>IFERROR(IF(Loan_Not_Paid*Values_Entered,Interest,""), "")</f>
        <v>400255.45656589477</v>
      </c>
      <c r="H209" s="298">
        <f>IFERROR(IF(Loan_Not_Paid*Values_Entered,Ending_Balance,""), "")</f>
        <v>112523720.55113295</v>
      </c>
    </row>
    <row r="210" spans="2:8">
      <c r="B210" s="300">
        <f>IFERROR(IF(Loan_Not_Paid*Values_Entered,Payment_Number,""), "")</f>
        <v>193</v>
      </c>
      <c r="C210" s="299"/>
      <c r="D210" s="298">
        <f>IFERROR(IF(Loan_Not_Paid*Values_Entered,Beginning_Balance,""), "")</f>
        <v>112523720.55113295</v>
      </c>
      <c r="E210" s="298">
        <f>IFERROR(IF(Loan_Not_Paid*Values_Entered,Monthly_Payment,""), "")</f>
        <v>889840.28874113306</v>
      </c>
      <c r="F210" s="298">
        <f>IFERROR(IF(Loan_Not_Paid*Values_Entered,Principal,""), "")</f>
        <v>491318.77845585893</v>
      </c>
      <c r="G210" s="298">
        <f>IFERROR(IF(Loan_Not_Paid*Values_Entered,Interest,""), "")</f>
        <v>398521.51028527401</v>
      </c>
      <c r="H210" s="298">
        <f>IFERROR(IF(Loan_Not_Paid*Values_Entered,Ending_Balance,""), "")</f>
        <v>112032401.77267709</v>
      </c>
    </row>
    <row r="211" spans="2:8">
      <c r="B211" s="300">
        <f>IFERROR(IF(Loan_Not_Paid*Values_Entered,Payment_Number,""), "")</f>
        <v>194</v>
      </c>
      <c r="C211" s="299"/>
      <c r="D211" s="298">
        <f>IFERROR(IF(Loan_Not_Paid*Values_Entered,Beginning_Balance,""), "")</f>
        <v>112032401.77267709</v>
      </c>
      <c r="E211" s="298">
        <f>IFERROR(IF(Loan_Not_Paid*Values_Entered,Monthly_Payment,""), "")</f>
        <v>889840.28874113306</v>
      </c>
      <c r="F211" s="298">
        <f>IFERROR(IF(Loan_Not_Paid*Values_Entered,Principal,""), "")</f>
        <v>493058.86579622352</v>
      </c>
      <c r="G211" s="298">
        <f>IFERROR(IF(Loan_Not_Paid*Values_Entered,Interest,""), "")</f>
        <v>396781.4229449096</v>
      </c>
      <c r="H211" s="298">
        <f>IFERROR(IF(Loan_Not_Paid*Values_Entered,Ending_Balance,""), "")</f>
        <v>111539342.90688086</v>
      </c>
    </row>
    <row r="212" spans="2:8">
      <c r="B212" s="300">
        <f>IFERROR(IF(Loan_Not_Paid*Values_Entered,Payment_Number,""), "")</f>
        <v>195</v>
      </c>
      <c r="C212" s="299"/>
      <c r="D212" s="298">
        <f>IFERROR(IF(Loan_Not_Paid*Values_Entered,Beginning_Balance,""), "")</f>
        <v>111539342.90688086</v>
      </c>
      <c r="E212" s="298">
        <f>IFERROR(IF(Loan_Not_Paid*Values_Entered,Monthly_Payment,""), "")</f>
        <v>889840.28874113306</v>
      </c>
      <c r="F212" s="298">
        <f>IFERROR(IF(Loan_Not_Paid*Values_Entered,Principal,""), "")</f>
        <v>494805.11594591843</v>
      </c>
      <c r="G212" s="298">
        <f>IFERROR(IF(Loan_Not_Paid*Values_Entered,Interest,""), "")</f>
        <v>395035.17279521457</v>
      </c>
      <c r="H212" s="298">
        <f>IFERROR(IF(Loan_Not_Paid*Values_Entered,Ending_Balance,""), "")</f>
        <v>111044537.79093492</v>
      </c>
    </row>
    <row r="213" spans="2:8">
      <c r="B213" s="300">
        <f>IFERROR(IF(Loan_Not_Paid*Values_Entered,Payment_Number,""), "")</f>
        <v>196</v>
      </c>
      <c r="C213" s="299"/>
      <c r="D213" s="298">
        <f>IFERROR(IF(Loan_Not_Paid*Values_Entered,Beginning_Balance,""), "")</f>
        <v>111044537.79093492</v>
      </c>
      <c r="E213" s="298">
        <f>IFERROR(IF(Loan_Not_Paid*Values_Entered,Monthly_Payment,""), "")</f>
        <v>889840.28874113306</v>
      </c>
      <c r="F213" s="298">
        <f>IFERROR(IF(Loan_Not_Paid*Values_Entered,Principal,""), "")</f>
        <v>496557.55073156027</v>
      </c>
      <c r="G213" s="298">
        <f>IFERROR(IF(Loan_Not_Paid*Values_Entered,Interest,""), "")</f>
        <v>393282.73800957284</v>
      </c>
      <c r="H213" s="298">
        <f>IFERROR(IF(Loan_Not_Paid*Values_Entered,Ending_Balance,""), "")</f>
        <v>110547980.24020332</v>
      </c>
    </row>
    <row r="214" spans="2:8">
      <c r="B214" s="300">
        <f>IFERROR(IF(Loan_Not_Paid*Values_Entered,Payment_Number,""), "")</f>
        <v>197</v>
      </c>
      <c r="C214" s="299"/>
      <c r="D214" s="298">
        <f>IFERROR(IF(Loan_Not_Paid*Values_Entered,Beginning_Balance,""), "")</f>
        <v>110547980.24020332</v>
      </c>
      <c r="E214" s="298">
        <f>IFERROR(IF(Loan_Not_Paid*Values_Entered,Monthly_Payment,""), "")</f>
        <v>889840.28874113306</v>
      </c>
      <c r="F214" s="298">
        <f>IFERROR(IF(Loan_Not_Paid*Values_Entered,Principal,""), "")</f>
        <v>498316.19205706794</v>
      </c>
      <c r="G214" s="298">
        <f>IFERROR(IF(Loan_Not_Paid*Values_Entered,Interest,""), "")</f>
        <v>391524.09668406524</v>
      </c>
      <c r="H214" s="298">
        <f>IFERROR(IF(Loan_Not_Paid*Values_Entered,Ending_Balance,""), "")</f>
        <v>110049664.04814619</v>
      </c>
    </row>
    <row r="215" spans="2:8">
      <c r="B215" s="300">
        <f>IFERROR(IF(Loan_Not_Paid*Values_Entered,Payment_Number,""), "")</f>
        <v>198</v>
      </c>
      <c r="C215" s="299"/>
      <c r="D215" s="298">
        <f>IFERROR(IF(Loan_Not_Paid*Values_Entered,Beginning_Balance,""), "")</f>
        <v>110049664.04814619</v>
      </c>
      <c r="E215" s="298">
        <f>IFERROR(IF(Loan_Not_Paid*Values_Entered,Monthly_Payment,""), "")</f>
        <v>889840.28874113306</v>
      </c>
      <c r="F215" s="298">
        <f>IFERROR(IF(Loan_Not_Paid*Values_Entered,Principal,""), "")</f>
        <v>500081.06190393661</v>
      </c>
      <c r="G215" s="298">
        <f>IFERROR(IF(Loan_Not_Paid*Values_Entered,Interest,""), "")</f>
        <v>389759.2268371965</v>
      </c>
      <c r="H215" s="298">
        <f>IFERROR(IF(Loan_Not_Paid*Values_Entered,Ending_Balance,""), "")</f>
        <v>109549582.98624223</v>
      </c>
    </row>
    <row r="216" spans="2:8">
      <c r="B216" s="300">
        <f>IFERROR(IF(Loan_Not_Paid*Values_Entered,Payment_Number,""), "")</f>
        <v>199</v>
      </c>
      <c r="C216" s="299"/>
      <c r="D216" s="298">
        <f>IFERROR(IF(Loan_Not_Paid*Values_Entered,Beginning_Balance,""), "")</f>
        <v>109549582.98624223</v>
      </c>
      <c r="E216" s="298">
        <f>IFERROR(IF(Loan_Not_Paid*Values_Entered,Monthly_Payment,""), "")</f>
        <v>889840.28874113306</v>
      </c>
      <c r="F216" s="298">
        <f>IFERROR(IF(Loan_Not_Paid*Values_Entered,Principal,""), "")</f>
        <v>501852.18233151303</v>
      </c>
      <c r="G216" s="298">
        <f>IFERROR(IF(Loan_Not_Paid*Values_Entered,Interest,""), "")</f>
        <v>387988.10640961991</v>
      </c>
      <c r="H216" s="298">
        <f>IFERROR(IF(Loan_Not_Paid*Values_Entered,Ending_Balance,""), "")</f>
        <v>109047730.80391073</v>
      </c>
    </row>
    <row r="217" spans="2:8">
      <c r="B217" s="300">
        <f>IFERROR(IF(Loan_Not_Paid*Values_Entered,Payment_Number,""), "")</f>
        <v>200</v>
      </c>
      <c r="C217" s="299"/>
      <c r="D217" s="298">
        <f>IFERROR(IF(Loan_Not_Paid*Values_Entered,Beginning_Balance,""), "")</f>
        <v>109047730.80391073</v>
      </c>
      <c r="E217" s="298">
        <f>IFERROR(IF(Loan_Not_Paid*Values_Entered,Monthly_Payment,""), "")</f>
        <v>889840.28874113306</v>
      </c>
      <c r="F217" s="298">
        <f>IFERROR(IF(Loan_Not_Paid*Values_Entered,Principal,""), "")</f>
        <v>503629.57547727053</v>
      </c>
      <c r="G217" s="298">
        <f>IFERROR(IF(Loan_Not_Paid*Values_Entered,Interest,""), "")</f>
        <v>386210.71326386259</v>
      </c>
      <c r="H217" s="298">
        <f>IFERROR(IF(Loan_Not_Paid*Values_Entered,Ending_Balance,""), "")</f>
        <v>108544101.22843343</v>
      </c>
    </row>
    <row r="218" spans="2:8">
      <c r="B218" s="300">
        <f>IFERROR(IF(Loan_Not_Paid*Values_Entered,Payment_Number,""), "")</f>
        <v>201</v>
      </c>
      <c r="C218" s="299"/>
      <c r="D218" s="298">
        <f>IFERROR(IF(Loan_Not_Paid*Values_Entered,Beginning_Balance,""), "")</f>
        <v>108544101.22843343</v>
      </c>
      <c r="E218" s="298">
        <f>IFERROR(IF(Loan_Not_Paid*Values_Entered,Monthly_Payment,""), "")</f>
        <v>889840.28874113306</v>
      </c>
      <c r="F218" s="298">
        <f>IFERROR(IF(Loan_Not_Paid*Values_Entered,Principal,""), "")</f>
        <v>505413.26355708588</v>
      </c>
      <c r="G218" s="298">
        <f>IFERROR(IF(Loan_Not_Paid*Values_Entered,Interest,""), "")</f>
        <v>384427.02518404729</v>
      </c>
      <c r="H218" s="298">
        <f>IFERROR(IF(Loan_Not_Paid*Values_Entered,Ending_Balance,""), "")</f>
        <v>108038687.96487626</v>
      </c>
    </row>
    <row r="219" spans="2:8">
      <c r="B219" s="300">
        <f>IFERROR(IF(Loan_Not_Paid*Values_Entered,Payment_Number,""), "")</f>
        <v>202</v>
      </c>
      <c r="C219" s="299"/>
      <c r="D219" s="298">
        <f>IFERROR(IF(Loan_Not_Paid*Values_Entered,Beginning_Balance,""), "")</f>
        <v>108038687.96487626</v>
      </c>
      <c r="E219" s="298">
        <f>IFERROR(IF(Loan_Not_Paid*Values_Entered,Monthly_Payment,""), "")</f>
        <v>889840.28874113306</v>
      </c>
      <c r="F219" s="298">
        <f>IFERROR(IF(Loan_Not_Paid*Values_Entered,Principal,""), "")</f>
        <v>507203.26886551717</v>
      </c>
      <c r="G219" s="298">
        <f>IFERROR(IF(Loan_Not_Paid*Values_Entered,Interest,""), "")</f>
        <v>382637.01987561589</v>
      </c>
      <c r="H219" s="298">
        <f>IFERROR(IF(Loan_Not_Paid*Values_Entered,Ending_Balance,""), "")</f>
        <v>107531484.69601077</v>
      </c>
    </row>
    <row r="220" spans="2:8">
      <c r="B220" s="300">
        <f>IFERROR(IF(Loan_Not_Paid*Values_Entered,Payment_Number,""), "")</f>
        <v>203</v>
      </c>
      <c r="C220" s="299"/>
      <c r="D220" s="298">
        <f>IFERROR(IF(Loan_Not_Paid*Values_Entered,Beginning_Balance,""), "")</f>
        <v>107531484.69601077</v>
      </c>
      <c r="E220" s="298">
        <f>IFERROR(IF(Loan_Not_Paid*Values_Entered,Monthly_Payment,""), "")</f>
        <v>889840.28874113306</v>
      </c>
      <c r="F220" s="298">
        <f>IFERROR(IF(Loan_Not_Paid*Values_Entered,Principal,""), "")</f>
        <v>508999.61377608258</v>
      </c>
      <c r="G220" s="298">
        <f>IFERROR(IF(Loan_Not_Paid*Values_Entered,Interest,""), "")</f>
        <v>380840.67496505048</v>
      </c>
      <c r="H220" s="298">
        <f>IFERROR(IF(Loan_Not_Paid*Values_Entered,Ending_Balance,""), "")</f>
        <v>107022485.08223465</v>
      </c>
    </row>
    <row r="221" spans="2:8">
      <c r="B221" s="300">
        <f>IFERROR(IF(Loan_Not_Paid*Values_Entered,Payment_Number,""), "")</f>
        <v>204</v>
      </c>
      <c r="C221" s="299"/>
      <c r="D221" s="298">
        <f>IFERROR(IF(Loan_Not_Paid*Values_Entered,Beginning_Balance,""), "")</f>
        <v>107022485.08223465</v>
      </c>
      <c r="E221" s="298">
        <f>IFERROR(IF(Loan_Not_Paid*Values_Entered,Monthly_Payment,""), "")</f>
        <v>889840.28874113306</v>
      </c>
      <c r="F221" s="298">
        <f>IFERROR(IF(Loan_Not_Paid*Values_Entered,Principal,""), "")</f>
        <v>510802.32074153953</v>
      </c>
      <c r="G221" s="298">
        <f>IFERROR(IF(Loan_Not_Paid*Values_Entered,Interest,""), "")</f>
        <v>379037.96799959353</v>
      </c>
      <c r="H221" s="298">
        <f>IFERROR(IF(Loan_Not_Paid*Values_Entered,Ending_Balance,""), "")</f>
        <v>106511682.76149309</v>
      </c>
    </row>
    <row r="222" spans="2:8">
      <c r="B222" s="300">
        <f>IFERROR(IF(Loan_Not_Paid*Values_Entered,Payment_Number,""), "")</f>
        <v>205</v>
      </c>
      <c r="C222" s="299"/>
      <c r="D222" s="298">
        <f>IFERROR(IF(Loan_Not_Paid*Values_Entered,Beginning_Balance,""), "")</f>
        <v>106511682.76149309</v>
      </c>
      <c r="E222" s="298">
        <f>IFERROR(IF(Loan_Not_Paid*Values_Entered,Monthly_Payment,""), "")</f>
        <v>889840.28874113306</v>
      </c>
      <c r="F222" s="298">
        <f>IFERROR(IF(Loan_Not_Paid*Values_Entered,Principal,""), "")</f>
        <v>512611.41229416581</v>
      </c>
      <c r="G222" s="298">
        <f>IFERROR(IF(Loan_Not_Paid*Values_Entered,Interest,""), "")</f>
        <v>377228.87644696725</v>
      </c>
      <c r="H222" s="298">
        <f>IFERROR(IF(Loan_Not_Paid*Values_Entered,Ending_Balance,""), "")</f>
        <v>105999071.34919885</v>
      </c>
    </row>
    <row r="223" spans="2:8">
      <c r="B223" s="300">
        <f>IFERROR(IF(Loan_Not_Paid*Values_Entered,Payment_Number,""), "")</f>
        <v>206</v>
      </c>
      <c r="C223" s="299"/>
      <c r="D223" s="298">
        <f>IFERROR(IF(Loan_Not_Paid*Values_Entered,Beginning_Balance,""), "")</f>
        <v>105999071.34919885</v>
      </c>
      <c r="E223" s="298">
        <f>IFERROR(IF(Loan_Not_Paid*Values_Entered,Monthly_Payment,""), "")</f>
        <v>889840.28874113306</v>
      </c>
      <c r="F223" s="298">
        <f>IFERROR(IF(Loan_Not_Paid*Values_Entered,Principal,""), "")</f>
        <v>514426.91104604106</v>
      </c>
      <c r="G223" s="298">
        <f>IFERROR(IF(Loan_Not_Paid*Values_Entered,Interest,""), "")</f>
        <v>375413.37769509212</v>
      </c>
      <c r="H223" s="298">
        <f>IFERROR(IF(Loan_Not_Paid*Values_Entered,Ending_Balance,""), "")</f>
        <v>105484644.43815279</v>
      </c>
    </row>
    <row r="224" spans="2:8">
      <c r="B224" s="300">
        <f>IFERROR(IF(Loan_Not_Paid*Values_Entered,Payment_Number,""), "")</f>
        <v>207</v>
      </c>
      <c r="C224" s="299"/>
      <c r="D224" s="298">
        <f>IFERROR(IF(Loan_Not_Paid*Values_Entered,Beginning_Balance,""), "")</f>
        <v>105484644.43815279</v>
      </c>
      <c r="E224" s="298">
        <f>IFERROR(IF(Loan_Not_Paid*Values_Entered,Monthly_Payment,""), "")</f>
        <v>889840.28874113306</v>
      </c>
      <c r="F224" s="298">
        <f>IFERROR(IF(Loan_Not_Paid*Values_Entered,Principal,""), "")</f>
        <v>516248.83968932903</v>
      </c>
      <c r="G224" s="298">
        <f>IFERROR(IF(Loan_Not_Paid*Values_Entered,Interest,""), "")</f>
        <v>373591.44905180403</v>
      </c>
      <c r="H224" s="298">
        <f>IFERROR(IF(Loan_Not_Paid*Values_Entered,Ending_Balance,""), "")</f>
        <v>104968395.59846336</v>
      </c>
    </row>
    <row r="225" spans="2:8">
      <c r="B225" s="300">
        <f>IFERROR(IF(Loan_Not_Paid*Values_Entered,Payment_Number,""), "")</f>
        <v>208</v>
      </c>
      <c r="C225" s="299"/>
      <c r="D225" s="298">
        <f>IFERROR(IF(Loan_Not_Paid*Values_Entered,Beginning_Balance,""), "")</f>
        <v>104968395.59846336</v>
      </c>
      <c r="E225" s="298">
        <f>IFERROR(IF(Loan_Not_Paid*Values_Entered,Monthly_Payment,""), "")</f>
        <v>889840.28874113306</v>
      </c>
      <c r="F225" s="298">
        <f>IFERROR(IF(Loan_Not_Paid*Values_Entered,Principal,""), "")</f>
        <v>518077.22099656204</v>
      </c>
      <c r="G225" s="298">
        <f>IFERROR(IF(Loan_Not_Paid*Values_Entered,Interest,""), "")</f>
        <v>371763.06774457102</v>
      </c>
      <c r="H225" s="298">
        <f>IFERROR(IF(Loan_Not_Paid*Values_Entered,Ending_Balance,""), "")</f>
        <v>104450318.37746686</v>
      </c>
    </row>
    <row r="226" spans="2:8">
      <c r="B226" s="300">
        <f>IFERROR(IF(Loan_Not_Paid*Values_Entered,Payment_Number,""), "")</f>
        <v>209</v>
      </c>
      <c r="C226" s="299"/>
      <c r="D226" s="298">
        <f>IFERROR(IF(Loan_Not_Paid*Values_Entered,Beginning_Balance,""), "")</f>
        <v>104450318.37746686</v>
      </c>
      <c r="E226" s="298">
        <f>IFERROR(IF(Loan_Not_Paid*Values_Entered,Monthly_Payment,""), "")</f>
        <v>889840.28874113306</v>
      </c>
      <c r="F226" s="298">
        <f>IFERROR(IF(Loan_Not_Paid*Values_Entered,Principal,""), "")</f>
        <v>519912.07782092487</v>
      </c>
      <c r="G226" s="298">
        <f>IFERROR(IF(Loan_Not_Paid*Values_Entered,Interest,""), "")</f>
        <v>369928.21092020813</v>
      </c>
      <c r="H226" s="298">
        <f>IFERROR(IF(Loan_Not_Paid*Values_Entered,Ending_Balance,""), "")</f>
        <v>103930406.2996459</v>
      </c>
    </row>
    <row r="227" spans="2:8">
      <c r="B227" s="300">
        <f>IFERROR(IF(Loan_Not_Paid*Values_Entered,Payment_Number,""), "")</f>
        <v>210</v>
      </c>
      <c r="C227" s="299"/>
      <c r="D227" s="298">
        <f>IFERROR(IF(Loan_Not_Paid*Values_Entered,Beginning_Balance,""), "")</f>
        <v>103930406.2996459</v>
      </c>
      <c r="E227" s="298">
        <f>IFERROR(IF(Loan_Not_Paid*Values_Entered,Monthly_Payment,""), "")</f>
        <v>889840.28874113306</v>
      </c>
      <c r="F227" s="298">
        <f>IFERROR(IF(Loan_Not_Paid*Values_Entered,Principal,""), "")</f>
        <v>521753.43309654074</v>
      </c>
      <c r="G227" s="298">
        <f>IFERROR(IF(Loan_Not_Paid*Values_Entered,Interest,""), "")</f>
        <v>368086.85564459238</v>
      </c>
      <c r="H227" s="298">
        <f>IFERROR(IF(Loan_Not_Paid*Values_Entered,Ending_Balance,""), "")</f>
        <v>103408652.86654925</v>
      </c>
    </row>
    <row r="228" spans="2:8">
      <c r="B228" s="300">
        <f>IFERROR(IF(Loan_Not_Paid*Values_Entered,Payment_Number,""), "")</f>
        <v>211</v>
      </c>
      <c r="C228" s="299"/>
      <c r="D228" s="298">
        <f>IFERROR(IF(Loan_Not_Paid*Values_Entered,Beginning_Balance,""), "")</f>
        <v>103408652.86654925</v>
      </c>
      <c r="E228" s="298">
        <f>IFERROR(IF(Loan_Not_Paid*Values_Entered,Monthly_Payment,""), "")</f>
        <v>889840.28874113306</v>
      </c>
      <c r="F228" s="298">
        <f>IFERROR(IF(Loan_Not_Paid*Values_Entered,Principal,""), "")</f>
        <v>523601.30983875762</v>
      </c>
      <c r="G228" s="298">
        <f>IFERROR(IF(Loan_Not_Paid*Values_Entered,Interest,""), "")</f>
        <v>366238.97890237544</v>
      </c>
      <c r="H228" s="298">
        <f>IFERROR(IF(Loan_Not_Paid*Values_Entered,Ending_Balance,""), "")</f>
        <v>102885051.55671048</v>
      </c>
    </row>
    <row r="229" spans="2:8">
      <c r="B229" s="300">
        <f>IFERROR(IF(Loan_Not_Paid*Values_Entered,Payment_Number,""), "")</f>
        <v>212</v>
      </c>
      <c r="C229" s="299"/>
      <c r="D229" s="298">
        <f>IFERROR(IF(Loan_Not_Paid*Values_Entered,Beginning_Balance,""), "")</f>
        <v>102885051.55671048</v>
      </c>
      <c r="E229" s="298">
        <f>IFERROR(IF(Loan_Not_Paid*Values_Entered,Monthly_Payment,""), "")</f>
        <v>889840.28874113306</v>
      </c>
      <c r="F229" s="298">
        <f>IFERROR(IF(Loan_Not_Paid*Values_Entered,Principal,""), "")</f>
        <v>525455.73114443664</v>
      </c>
      <c r="G229" s="298">
        <f>IFERROR(IF(Loan_Not_Paid*Values_Entered,Interest,""), "")</f>
        <v>364384.5575966966</v>
      </c>
      <c r="H229" s="298">
        <f>IFERROR(IF(Loan_Not_Paid*Values_Entered,Ending_Balance,""), "")</f>
        <v>102359595.82556611</v>
      </c>
    </row>
    <row r="230" spans="2:8">
      <c r="B230" s="300">
        <f>IFERROR(IF(Loan_Not_Paid*Values_Entered,Payment_Number,""), "")</f>
        <v>213</v>
      </c>
      <c r="C230" s="299"/>
      <c r="D230" s="298">
        <f>IFERROR(IF(Loan_Not_Paid*Values_Entered,Beginning_Balance,""), "")</f>
        <v>102359595.82556611</v>
      </c>
      <c r="E230" s="298">
        <f>IFERROR(IF(Loan_Not_Paid*Values_Entered,Monthly_Payment,""), "")</f>
        <v>889840.28874113306</v>
      </c>
      <c r="F230" s="298">
        <f>IFERROR(IF(Loan_Not_Paid*Values_Entered,Principal,""), "")</f>
        <v>527316.72019223962</v>
      </c>
      <c r="G230" s="298">
        <f>IFERROR(IF(Loan_Not_Paid*Values_Entered,Interest,""), "")</f>
        <v>362523.56854889326</v>
      </c>
      <c r="H230" s="298">
        <f>IFERROR(IF(Loan_Not_Paid*Values_Entered,Ending_Balance,""), "")</f>
        <v>101832279.1053738</v>
      </c>
    </row>
    <row r="231" spans="2:8">
      <c r="B231" s="300">
        <f>IFERROR(IF(Loan_Not_Paid*Values_Entered,Payment_Number,""), "")</f>
        <v>214</v>
      </c>
      <c r="C231" s="299"/>
      <c r="D231" s="298">
        <f>IFERROR(IF(Loan_Not_Paid*Values_Entered,Beginning_Balance,""), "")</f>
        <v>101832279.1053738</v>
      </c>
      <c r="E231" s="298">
        <f>IFERROR(IF(Loan_Not_Paid*Values_Entered,Monthly_Payment,""), "")</f>
        <v>889840.28874113306</v>
      </c>
      <c r="F231" s="298">
        <f>IFERROR(IF(Loan_Not_Paid*Values_Entered,Principal,""), "")</f>
        <v>529184.30024292052</v>
      </c>
      <c r="G231" s="298">
        <f>IFERROR(IF(Loan_Not_Paid*Values_Entered,Interest,""), "")</f>
        <v>360655.98849821242</v>
      </c>
      <c r="H231" s="298">
        <f>IFERROR(IF(Loan_Not_Paid*Values_Entered,Ending_Balance,""), "")</f>
        <v>101303094.80513084</v>
      </c>
    </row>
    <row r="232" spans="2:8">
      <c r="B232" s="300">
        <f>IFERROR(IF(Loan_Not_Paid*Values_Entered,Payment_Number,""), "")</f>
        <v>215</v>
      </c>
      <c r="C232" s="299"/>
      <c r="D232" s="298">
        <f>IFERROR(IF(Loan_Not_Paid*Values_Entered,Beginning_Balance,""), "")</f>
        <v>101303094.80513084</v>
      </c>
      <c r="E232" s="298">
        <f>IFERROR(IF(Loan_Not_Paid*Values_Entered,Monthly_Payment,""), "")</f>
        <v>889840.28874113306</v>
      </c>
      <c r="F232" s="298">
        <f>IFERROR(IF(Loan_Not_Paid*Values_Entered,Principal,""), "")</f>
        <v>531058.49463961425</v>
      </c>
      <c r="G232" s="298">
        <f>IFERROR(IF(Loan_Not_Paid*Values_Entered,Interest,""), "")</f>
        <v>358781.79410151881</v>
      </c>
      <c r="H232" s="298">
        <f>IFERROR(IF(Loan_Not_Paid*Values_Entered,Ending_Balance,""), "")</f>
        <v>100772036.31049114</v>
      </c>
    </row>
    <row r="233" spans="2:8">
      <c r="B233" s="300">
        <f>IFERROR(IF(Loan_Not_Paid*Values_Entered,Payment_Number,""), "")</f>
        <v>216</v>
      </c>
      <c r="C233" s="299"/>
      <c r="D233" s="298">
        <f>IFERROR(IF(Loan_Not_Paid*Values_Entered,Beginning_Balance,""), "")</f>
        <v>100772036.31049114</v>
      </c>
      <c r="E233" s="298">
        <f>IFERROR(IF(Loan_Not_Paid*Values_Entered,Monthly_Payment,""), "")</f>
        <v>889840.28874113306</v>
      </c>
      <c r="F233" s="298">
        <f>IFERROR(IF(Loan_Not_Paid*Values_Entered,Principal,""), "")</f>
        <v>532939.32680812955</v>
      </c>
      <c r="G233" s="298">
        <f>IFERROR(IF(Loan_Not_Paid*Values_Entered,Interest,""), "")</f>
        <v>356900.96193300351</v>
      </c>
      <c r="H233" s="298">
        <f>IFERROR(IF(Loan_Not_Paid*Values_Entered,Ending_Balance,""), "")</f>
        <v>100239096.98368299</v>
      </c>
    </row>
    <row r="234" spans="2:8">
      <c r="B234" s="300">
        <f>IFERROR(IF(Loan_Not_Paid*Values_Entered,Payment_Number,""), "")</f>
        <v>217</v>
      </c>
      <c r="C234" s="299"/>
      <c r="D234" s="298">
        <f>IFERROR(IF(Loan_Not_Paid*Values_Entered,Beginning_Balance,""), "")</f>
        <v>100239096.98368299</v>
      </c>
      <c r="E234" s="298">
        <f>IFERROR(IF(Loan_Not_Paid*Values_Entered,Monthly_Payment,""), "")</f>
        <v>889840.28874113306</v>
      </c>
      <c r="F234" s="298">
        <f>IFERROR(IF(Loan_Not_Paid*Values_Entered,Principal,""), "")</f>
        <v>534826.82025724172</v>
      </c>
      <c r="G234" s="298">
        <f>IFERROR(IF(Loan_Not_Paid*Values_Entered,Interest,""), "")</f>
        <v>355013.46848389134</v>
      </c>
      <c r="H234" s="298">
        <f>IFERROR(IF(Loan_Not_Paid*Values_Entered,Ending_Balance,""), "")</f>
        <v>99704270.163425744</v>
      </c>
    </row>
    <row r="235" spans="2:8">
      <c r="B235" s="300">
        <f>IFERROR(IF(Loan_Not_Paid*Values_Entered,Payment_Number,""), "")</f>
        <v>218</v>
      </c>
      <c r="C235" s="299"/>
      <c r="D235" s="298">
        <f>IFERROR(IF(Loan_Not_Paid*Values_Entered,Beginning_Balance,""), "")</f>
        <v>99704270.163425744</v>
      </c>
      <c r="E235" s="298">
        <f>IFERROR(IF(Loan_Not_Paid*Values_Entered,Monthly_Payment,""), "")</f>
        <v>889840.28874113306</v>
      </c>
      <c r="F235" s="298">
        <f>IFERROR(IF(Loan_Not_Paid*Values_Entered,Principal,""), "")</f>
        <v>536720.99857898604</v>
      </c>
      <c r="G235" s="298">
        <f>IFERROR(IF(Loan_Not_Paid*Values_Entered,Interest,""), "")</f>
        <v>353119.29016214691</v>
      </c>
      <c r="H235" s="298">
        <f>IFERROR(IF(Loan_Not_Paid*Values_Entered,Ending_Balance,""), "")</f>
        <v>99167549.164846718</v>
      </c>
    </row>
    <row r="236" spans="2:8">
      <c r="B236" s="300">
        <f>IFERROR(IF(Loan_Not_Paid*Values_Entered,Payment_Number,""), "")</f>
        <v>219</v>
      </c>
      <c r="C236" s="299"/>
      <c r="D236" s="298">
        <f>IFERROR(IF(Loan_Not_Paid*Values_Entered,Beginning_Balance,""), "")</f>
        <v>99167549.164846718</v>
      </c>
      <c r="E236" s="298">
        <f>IFERROR(IF(Loan_Not_Paid*Values_Entered,Monthly_Payment,""), "")</f>
        <v>889840.28874113306</v>
      </c>
      <c r="F236" s="298">
        <f>IFERROR(IF(Loan_Not_Paid*Values_Entered,Principal,""), "")</f>
        <v>538621.88544895337</v>
      </c>
      <c r="G236" s="298">
        <f>IFERROR(IF(Loan_Not_Paid*Values_Entered,Interest,""), "")</f>
        <v>351218.40329217975</v>
      </c>
      <c r="H236" s="298">
        <f>IFERROR(IF(Loan_Not_Paid*Values_Entered,Ending_Balance,""), "")</f>
        <v>98628927.279397726</v>
      </c>
    </row>
    <row r="237" spans="2:8">
      <c r="B237" s="300">
        <f>IFERROR(IF(Loan_Not_Paid*Values_Entered,Payment_Number,""), "")</f>
        <v>220</v>
      </c>
      <c r="C237" s="299"/>
      <c r="D237" s="298">
        <f>IFERROR(IF(Loan_Not_Paid*Values_Entered,Beginning_Balance,""), "")</f>
        <v>98628927.279397726</v>
      </c>
      <c r="E237" s="298">
        <f>IFERROR(IF(Loan_Not_Paid*Values_Entered,Monthly_Payment,""), "")</f>
        <v>889840.28874113306</v>
      </c>
      <c r="F237" s="298">
        <f>IFERROR(IF(Loan_Not_Paid*Values_Entered,Principal,""), "")</f>
        <v>540529.50462658505</v>
      </c>
      <c r="G237" s="298">
        <f>IFERROR(IF(Loan_Not_Paid*Values_Entered,Interest,""), "")</f>
        <v>349310.78411454801</v>
      </c>
      <c r="H237" s="298">
        <f>IFERROR(IF(Loan_Not_Paid*Values_Entered,Ending_Balance,""), "")</f>
        <v>98088397.774771154</v>
      </c>
    </row>
    <row r="238" spans="2:8">
      <c r="B238" s="300">
        <f>IFERROR(IF(Loan_Not_Paid*Values_Entered,Payment_Number,""), "")</f>
        <v>221</v>
      </c>
      <c r="C238" s="299"/>
      <c r="D238" s="298">
        <f>IFERROR(IF(Loan_Not_Paid*Values_Entered,Beginning_Balance,""), "")</f>
        <v>98088397.774771154</v>
      </c>
      <c r="E238" s="298">
        <f>IFERROR(IF(Loan_Not_Paid*Values_Entered,Monthly_Payment,""), "")</f>
        <v>889840.28874113306</v>
      </c>
      <c r="F238" s="298">
        <f>IFERROR(IF(Loan_Not_Paid*Values_Entered,Principal,""), "")</f>
        <v>542443.87995547091</v>
      </c>
      <c r="G238" s="298">
        <f>IFERROR(IF(Loan_Not_Paid*Values_Entered,Interest,""), "")</f>
        <v>347396.40878566215</v>
      </c>
      <c r="H238" s="298">
        <f>IFERROR(IF(Loan_Not_Paid*Values_Entered,Ending_Balance,""), "")</f>
        <v>97545953.894815624</v>
      </c>
    </row>
    <row r="239" spans="2:8">
      <c r="B239" s="300">
        <f>IFERROR(IF(Loan_Not_Paid*Values_Entered,Payment_Number,""), "")</f>
        <v>222</v>
      </c>
      <c r="C239" s="299"/>
      <c r="D239" s="298">
        <f>IFERROR(IF(Loan_Not_Paid*Values_Entered,Beginning_Balance,""), "")</f>
        <v>97545953.894815624</v>
      </c>
      <c r="E239" s="298">
        <f>IFERROR(IF(Loan_Not_Paid*Values_Entered,Monthly_Payment,""), "")</f>
        <v>889840.28874113306</v>
      </c>
      <c r="F239" s="298">
        <f>IFERROR(IF(Loan_Not_Paid*Values_Entered,Principal,""), "")</f>
        <v>544365.03536364646</v>
      </c>
      <c r="G239" s="298">
        <f>IFERROR(IF(Loan_Not_Paid*Values_Entered,Interest,""), "")</f>
        <v>345475.25337748654</v>
      </c>
      <c r="H239" s="298">
        <f>IFERROR(IF(Loan_Not_Paid*Values_Entered,Ending_Balance,""), "")</f>
        <v>97001588.859452009</v>
      </c>
    </row>
    <row r="240" spans="2:8">
      <c r="B240" s="300">
        <f>IFERROR(IF(Loan_Not_Paid*Values_Entered,Payment_Number,""), "")</f>
        <v>223</v>
      </c>
      <c r="C240" s="299"/>
      <c r="D240" s="298">
        <f>IFERROR(IF(Loan_Not_Paid*Values_Entered,Beginning_Balance,""), "")</f>
        <v>97001588.859452009</v>
      </c>
      <c r="E240" s="298">
        <f>IFERROR(IF(Loan_Not_Paid*Values_Entered,Monthly_Payment,""), "")</f>
        <v>889840.28874113306</v>
      </c>
      <c r="F240" s="298">
        <f>IFERROR(IF(Loan_Not_Paid*Values_Entered,Principal,""), "")</f>
        <v>546292.99486389279</v>
      </c>
      <c r="G240" s="298">
        <f>IFERROR(IF(Loan_Not_Paid*Values_Entered,Interest,""), "")</f>
        <v>343547.29387724027</v>
      </c>
      <c r="H240" s="298">
        <f>IFERROR(IF(Loan_Not_Paid*Values_Entered,Ending_Balance,""), "")</f>
        <v>96455295.864588022</v>
      </c>
    </row>
    <row r="241" spans="2:8">
      <c r="B241" s="300">
        <f>IFERROR(IF(Loan_Not_Paid*Values_Entered,Payment_Number,""), "")</f>
        <v>224</v>
      </c>
      <c r="C241" s="299"/>
      <c r="D241" s="298">
        <f>IFERROR(IF(Loan_Not_Paid*Values_Entered,Beginning_Balance,""), "")</f>
        <v>96455295.864588022</v>
      </c>
      <c r="E241" s="298">
        <f>IFERROR(IF(Loan_Not_Paid*Values_Entered,Monthly_Payment,""), "")</f>
        <v>889840.28874113306</v>
      </c>
      <c r="F241" s="298">
        <f>IFERROR(IF(Loan_Not_Paid*Values_Entered,Principal,""), "")</f>
        <v>548227.78255403566</v>
      </c>
      <c r="G241" s="298">
        <f>IFERROR(IF(Loan_Not_Paid*Values_Entered,Interest,""), "")</f>
        <v>341612.50618709734</v>
      </c>
      <c r="H241" s="298">
        <f>IFERROR(IF(Loan_Not_Paid*Values_Entered,Ending_Balance,""), "")</f>
        <v>95907068.082033992</v>
      </c>
    </row>
    <row r="242" spans="2:8">
      <c r="B242" s="300">
        <f>IFERROR(IF(Loan_Not_Paid*Values_Entered,Payment_Number,""), "")</f>
        <v>225</v>
      </c>
      <c r="C242" s="299"/>
      <c r="D242" s="298">
        <f>IFERROR(IF(Loan_Not_Paid*Values_Entered,Beginning_Balance,""), "")</f>
        <v>95907068.082033992</v>
      </c>
      <c r="E242" s="298">
        <f>IFERROR(IF(Loan_Not_Paid*Values_Entered,Monthly_Payment,""), "")</f>
        <v>889840.28874113306</v>
      </c>
      <c r="F242" s="298">
        <f>IFERROR(IF(Loan_Not_Paid*Values_Entered,Principal,""), "")</f>
        <v>550169.42261724791</v>
      </c>
      <c r="G242" s="298">
        <f>IFERROR(IF(Loan_Not_Paid*Values_Entered,Interest,""), "")</f>
        <v>339670.86612388521</v>
      </c>
      <c r="H242" s="298">
        <f>IFERROR(IF(Loan_Not_Paid*Values_Entered,Ending_Balance,""), "")</f>
        <v>95356898.659416676</v>
      </c>
    </row>
    <row r="243" spans="2:8">
      <c r="B243" s="300">
        <f>IFERROR(IF(Loan_Not_Paid*Values_Entered,Payment_Number,""), "")</f>
        <v>226</v>
      </c>
      <c r="C243" s="299"/>
      <c r="D243" s="298">
        <f>IFERROR(IF(Loan_Not_Paid*Values_Entered,Beginning_Balance,""), "")</f>
        <v>95356898.659416676</v>
      </c>
      <c r="E243" s="298">
        <f>IFERROR(IF(Loan_Not_Paid*Values_Entered,Monthly_Payment,""), "")</f>
        <v>889840.28874113306</v>
      </c>
      <c r="F243" s="298">
        <f>IFERROR(IF(Loan_Not_Paid*Values_Entered,Principal,""), "")</f>
        <v>552117.93932235066</v>
      </c>
      <c r="G243" s="298">
        <f>IFERROR(IF(Loan_Not_Paid*Values_Entered,Interest,""), "")</f>
        <v>337722.3494187824</v>
      </c>
      <c r="H243" s="298">
        <f>IFERROR(IF(Loan_Not_Paid*Values_Entered,Ending_Balance,""), "")</f>
        <v>94804780.720094323</v>
      </c>
    </row>
    <row r="244" spans="2:8">
      <c r="B244" s="300">
        <f>IFERROR(IF(Loan_Not_Paid*Values_Entered,Payment_Number,""), "")</f>
        <v>227</v>
      </c>
      <c r="C244" s="299"/>
      <c r="D244" s="298">
        <f>IFERROR(IF(Loan_Not_Paid*Values_Entered,Beginning_Balance,""), "")</f>
        <v>94804780.720094323</v>
      </c>
      <c r="E244" s="298">
        <f>IFERROR(IF(Loan_Not_Paid*Values_Entered,Monthly_Payment,""), "")</f>
        <v>889840.28874113306</v>
      </c>
      <c r="F244" s="298">
        <f>IFERROR(IF(Loan_Not_Paid*Values_Entered,Principal,""), "")</f>
        <v>554073.35702411749</v>
      </c>
      <c r="G244" s="298">
        <f>IFERROR(IF(Loan_Not_Paid*Values_Entered,Interest,""), "")</f>
        <v>335766.93171701574</v>
      </c>
      <c r="H244" s="298">
        <f>IFERROR(IF(Loan_Not_Paid*Values_Entered,Ending_Balance,""), "")</f>
        <v>94250707.363070071</v>
      </c>
    </row>
    <row r="245" spans="2:8">
      <c r="B245" s="300">
        <f>IFERROR(IF(Loan_Not_Paid*Values_Entered,Payment_Number,""), "")</f>
        <v>228</v>
      </c>
      <c r="C245" s="299"/>
      <c r="D245" s="298">
        <f>IFERROR(IF(Loan_Not_Paid*Values_Entered,Beginning_Balance,""), "")</f>
        <v>94250707.363070071</v>
      </c>
      <c r="E245" s="298">
        <f>IFERROR(IF(Loan_Not_Paid*Values_Entered,Monthly_Payment,""), "")</f>
        <v>889840.28874113306</v>
      </c>
      <c r="F245" s="298">
        <f>IFERROR(IF(Loan_Not_Paid*Values_Entered,Principal,""), "")</f>
        <v>556035.7001635778</v>
      </c>
      <c r="G245" s="298">
        <f>IFERROR(IF(Loan_Not_Paid*Values_Entered,Interest,""), "")</f>
        <v>333804.58857755532</v>
      </c>
      <c r="H245" s="298">
        <f>IFERROR(IF(Loan_Not_Paid*Values_Entered,Ending_Balance,""), "")</f>
        <v>93694671.662906528</v>
      </c>
    </row>
    <row r="246" spans="2:8">
      <c r="B246" s="300">
        <f>IFERROR(IF(Loan_Not_Paid*Values_Entered,Payment_Number,""), "")</f>
        <v>229</v>
      </c>
      <c r="C246" s="299"/>
      <c r="D246" s="298">
        <f>IFERROR(IF(Loan_Not_Paid*Values_Entered,Beginning_Balance,""), "")</f>
        <v>93694671.662906528</v>
      </c>
      <c r="E246" s="298">
        <f>IFERROR(IF(Loan_Not_Paid*Values_Entered,Monthly_Payment,""), "")</f>
        <v>889840.28874113306</v>
      </c>
      <c r="F246" s="298">
        <f>IFERROR(IF(Loan_Not_Paid*Values_Entered,Principal,""), "")</f>
        <v>558004.99326832383</v>
      </c>
      <c r="G246" s="298">
        <f>IFERROR(IF(Loan_Not_Paid*Values_Entered,Interest,""), "")</f>
        <v>331835.29547280935</v>
      </c>
      <c r="H246" s="298">
        <f>IFERROR(IF(Loan_Not_Paid*Values_Entered,Ending_Balance,""), "")</f>
        <v>93136666.669638157</v>
      </c>
    </row>
    <row r="247" spans="2:8">
      <c r="B247" s="300">
        <f>IFERROR(IF(Loan_Not_Paid*Values_Entered,Payment_Number,""), "")</f>
        <v>230</v>
      </c>
      <c r="C247" s="299"/>
      <c r="D247" s="298">
        <f>IFERROR(IF(Loan_Not_Paid*Values_Entered,Beginning_Balance,""), "")</f>
        <v>93136666.669638157</v>
      </c>
      <c r="E247" s="298">
        <f>IFERROR(IF(Loan_Not_Paid*Values_Entered,Monthly_Payment,""), "")</f>
        <v>889840.28874113306</v>
      </c>
      <c r="F247" s="298">
        <f>IFERROR(IF(Loan_Not_Paid*Values_Entered,Principal,""), "")</f>
        <v>559981.26095281588</v>
      </c>
      <c r="G247" s="298">
        <f>IFERROR(IF(Loan_Not_Paid*Values_Entered,Interest,""), "")</f>
        <v>329859.0277883173</v>
      </c>
      <c r="H247" s="298">
        <f>IFERROR(IF(Loan_Not_Paid*Values_Entered,Ending_Balance,""), "")</f>
        <v>92576685.408685327</v>
      </c>
    </row>
    <row r="248" spans="2:8">
      <c r="B248" s="300">
        <f>IFERROR(IF(Loan_Not_Paid*Values_Entered,Payment_Number,""), "")</f>
        <v>231</v>
      </c>
      <c r="C248" s="299"/>
      <c r="D248" s="298">
        <f>IFERROR(IF(Loan_Not_Paid*Values_Entered,Beginning_Balance,""), "")</f>
        <v>92576685.408685327</v>
      </c>
      <c r="E248" s="298">
        <f>IFERROR(IF(Loan_Not_Paid*Values_Entered,Monthly_Payment,""), "")</f>
        <v>889840.28874113306</v>
      </c>
      <c r="F248" s="298">
        <f>IFERROR(IF(Loan_Not_Paid*Values_Entered,Principal,""), "")</f>
        <v>561964.52791869035</v>
      </c>
      <c r="G248" s="298">
        <f>IFERROR(IF(Loan_Not_Paid*Values_Entered,Interest,""), "")</f>
        <v>327875.76082244271</v>
      </c>
      <c r="H248" s="298">
        <f>IFERROR(IF(Loan_Not_Paid*Values_Entered,Ending_Balance,""), "")</f>
        <v>92014720.880766571</v>
      </c>
    </row>
    <row r="249" spans="2:8">
      <c r="B249" s="300">
        <f>IFERROR(IF(Loan_Not_Paid*Values_Entered,Payment_Number,""), "")</f>
        <v>232</v>
      </c>
      <c r="C249" s="299"/>
      <c r="D249" s="298">
        <f>IFERROR(IF(Loan_Not_Paid*Values_Entered,Beginning_Balance,""), "")</f>
        <v>92014720.880766571</v>
      </c>
      <c r="E249" s="298">
        <f>IFERROR(IF(Loan_Not_Paid*Values_Entered,Monthly_Payment,""), "")</f>
        <v>889840.28874113306</v>
      </c>
      <c r="F249" s="298">
        <f>IFERROR(IF(Loan_Not_Paid*Values_Entered,Principal,""), "")</f>
        <v>563954.81895506894</v>
      </c>
      <c r="G249" s="298">
        <f>IFERROR(IF(Loan_Not_Paid*Values_Entered,Interest,""), "")</f>
        <v>325885.46978606406</v>
      </c>
      <c r="H249" s="298">
        <f>IFERROR(IF(Loan_Not_Paid*Values_Entered,Ending_Balance,""), "")</f>
        <v>91450766.061811447</v>
      </c>
    </row>
    <row r="250" spans="2:8">
      <c r="B250" s="300">
        <f>IFERROR(IF(Loan_Not_Paid*Values_Entered,Payment_Number,""), "")</f>
        <v>233</v>
      </c>
      <c r="C250" s="299"/>
      <c r="D250" s="298">
        <f>IFERROR(IF(Loan_Not_Paid*Values_Entered,Beginning_Balance,""), "")</f>
        <v>91450766.061811447</v>
      </c>
      <c r="E250" s="298">
        <f>IFERROR(IF(Loan_Not_Paid*Values_Entered,Monthly_Payment,""), "")</f>
        <v>889840.28874113306</v>
      </c>
      <c r="F250" s="298">
        <f>IFERROR(IF(Loan_Not_Paid*Values_Entered,Principal,""), "")</f>
        <v>565952.1589388682</v>
      </c>
      <c r="G250" s="298">
        <f>IFERROR(IF(Loan_Not_Paid*Values_Entered,Interest,""), "")</f>
        <v>323888.12980226491</v>
      </c>
      <c r="H250" s="298">
        <f>IFERROR(IF(Loan_Not_Paid*Values_Entered,Ending_Balance,""), "")</f>
        <v>90884813.902872622</v>
      </c>
    </row>
    <row r="251" spans="2:8">
      <c r="B251" s="300">
        <f>IFERROR(IF(Loan_Not_Paid*Values_Entered,Payment_Number,""), "")</f>
        <v>234</v>
      </c>
      <c r="C251" s="299"/>
      <c r="D251" s="298">
        <f>IFERROR(IF(Loan_Not_Paid*Values_Entered,Beginning_Balance,""), "")</f>
        <v>90884813.902872622</v>
      </c>
      <c r="E251" s="298">
        <f>IFERROR(IF(Loan_Not_Paid*Values_Entered,Monthly_Payment,""), "")</f>
        <v>889840.28874113306</v>
      </c>
      <c r="F251" s="298">
        <f>IFERROR(IF(Loan_Not_Paid*Values_Entered,Principal,""), "")</f>
        <v>567956.57283511013</v>
      </c>
      <c r="G251" s="298">
        <f>IFERROR(IF(Loan_Not_Paid*Values_Entered,Interest,""), "")</f>
        <v>321883.71590602305</v>
      </c>
      <c r="H251" s="298">
        <f>IFERROR(IF(Loan_Not_Paid*Values_Entered,Ending_Balance,""), "")</f>
        <v>90316857.330037415</v>
      </c>
    </row>
    <row r="252" spans="2:8">
      <c r="B252" s="300">
        <f>IFERROR(IF(Loan_Not_Paid*Values_Entered,Payment_Number,""), "")</f>
        <v>235</v>
      </c>
      <c r="C252" s="299"/>
      <c r="D252" s="298">
        <f>IFERROR(IF(Loan_Not_Paid*Values_Entered,Beginning_Balance,""), "")</f>
        <v>90316857.330037415</v>
      </c>
      <c r="E252" s="298">
        <f>IFERROR(IF(Loan_Not_Paid*Values_Entered,Monthly_Payment,""), "")</f>
        <v>889840.28874113306</v>
      </c>
      <c r="F252" s="298">
        <f>IFERROR(IF(Loan_Not_Paid*Values_Entered,Principal,""), "")</f>
        <v>569968.08569723438</v>
      </c>
      <c r="G252" s="298">
        <f>IFERROR(IF(Loan_Not_Paid*Values_Entered,Interest,""), "")</f>
        <v>319872.20304389874</v>
      </c>
      <c r="H252" s="298">
        <f>IFERROR(IF(Loan_Not_Paid*Values_Entered,Ending_Balance,""), "")</f>
        <v>89746889.244340181</v>
      </c>
    </row>
    <row r="253" spans="2:8">
      <c r="B253" s="300">
        <f>IFERROR(IF(Loan_Not_Paid*Values_Entered,Payment_Number,""), "")</f>
        <v>236</v>
      </c>
      <c r="C253" s="299"/>
      <c r="D253" s="298">
        <f>IFERROR(IF(Loan_Not_Paid*Values_Entered,Beginning_Balance,""), "")</f>
        <v>89746889.244340181</v>
      </c>
      <c r="E253" s="298">
        <f>IFERROR(IF(Loan_Not_Paid*Values_Entered,Monthly_Payment,""), "")</f>
        <v>889840.28874113306</v>
      </c>
      <c r="F253" s="298">
        <f>IFERROR(IF(Loan_Not_Paid*Values_Entered,Principal,""), "")</f>
        <v>571986.72266741213</v>
      </c>
      <c r="G253" s="298">
        <f>IFERROR(IF(Loan_Not_Paid*Values_Entered,Interest,""), "")</f>
        <v>317853.56607372098</v>
      </c>
      <c r="H253" s="298">
        <f>IFERROR(IF(Loan_Not_Paid*Values_Entered,Ending_Balance,""), "")</f>
        <v>89174902.521672726</v>
      </c>
    </row>
    <row r="254" spans="2:8">
      <c r="B254" s="300">
        <f>IFERROR(IF(Loan_Not_Paid*Values_Entered,Payment_Number,""), "")</f>
        <v>237</v>
      </c>
      <c r="C254" s="299"/>
      <c r="D254" s="298">
        <f>IFERROR(IF(Loan_Not_Paid*Values_Entered,Beginning_Balance,""), "")</f>
        <v>89174902.521672726</v>
      </c>
      <c r="E254" s="298">
        <f>IFERROR(IF(Loan_Not_Paid*Values_Entered,Monthly_Payment,""), "")</f>
        <v>889840.28874113306</v>
      </c>
      <c r="F254" s="298">
        <f>IFERROR(IF(Loan_Not_Paid*Values_Entered,Principal,""), "")</f>
        <v>574012.50897685916</v>
      </c>
      <c r="G254" s="298">
        <f>IFERROR(IF(Loan_Not_Paid*Values_Entered,Interest,""), "")</f>
        <v>315827.7797642739</v>
      </c>
      <c r="H254" s="298">
        <f>IFERROR(IF(Loan_Not_Paid*Values_Entered,Ending_Balance,""), "")</f>
        <v>88600890.012695849</v>
      </c>
    </row>
    <row r="255" spans="2:8">
      <c r="B255" s="300">
        <f>IFERROR(IF(Loan_Not_Paid*Values_Entered,Payment_Number,""), "")</f>
        <v>238</v>
      </c>
      <c r="C255" s="299"/>
      <c r="D255" s="298">
        <f>IFERROR(IF(Loan_Not_Paid*Values_Entered,Beginning_Balance,""), "")</f>
        <v>88600890.012695849</v>
      </c>
      <c r="E255" s="298">
        <f>IFERROR(IF(Loan_Not_Paid*Values_Entered,Monthly_Payment,""), "")</f>
        <v>889840.28874113306</v>
      </c>
      <c r="F255" s="298">
        <f>IFERROR(IF(Loan_Not_Paid*Values_Entered,Principal,""), "")</f>
        <v>576045.4699461523</v>
      </c>
      <c r="G255" s="298">
        <f>IFERROR(IF(Loan_Not_Paid*Values_Entered,Interest,""), "")</f>
        <v>313794.81879498082</v>
      </c>
      <c r="H255" s="298">
        <f>IFERROR(IF(Loan_Not_Paid*Values_Entered,Ending_Balance,""), "")</f>
        <v>88024844.542749584</v>
      </c>
    </row>
    <row r="256" spans="2:8">
      <c r="B256" s="300">
        <f>IFERROR(IF(Loan_Not_Paid*Values_Entered,Payment_Number,""), "")</f>
        <v>239</v>
      </c>
      <c r="C256" s="299"/>
      <c r="D256" s="298">
        <f>IFERROR(IF(Loan_Not_Paid*Values_Entered,Beginning_Balance,""), "")</f>
        <v>88024844.542749584</v>
      </c>
      <c r="E256" s="298">
        <f>IFERROR(IF(Loan_Not_Paid*Values_Entered,Monthly_Payment,""), "")</f>
        <v>889840.28874113306</v>
      </c>
      <c r="F256" s="298">
        <f>IFERROR(IF(Loan_Not_Paid*Values_Entered,Principal,""), "")</f>
        <v>578085.63098554488</v>
      </c>
      <c r="G256" s="298">
        <f>IFERROR(IF(Loan_Not_Paid*Values_Entered,Interest,""), "")</f>
        <v>311754.65775558824</v>
      </c>
      <c r="H256" s="298">
        <f>IFERROR(IF(Loan_Not_Paid*Values_Entered,Ending_Balance,""), "")</f>
        <v>87446758.911764026</v>
      </c>
    </row>
    <row r="257" spans="2:8">
      <c r="B257" s="300">
        <f>IFERROR(IF(Loan_Not_Paid*Values_Entered,Payment_Number,""), "")</f>
        <v>240</v>
      </c>
      <c r="C257" s="299"/>
      <c r="D257" s="298">
        <f>IFERROR(IF(Loan_Not_Paid*Values_Entered,Beginning_Balance,""), "")</f>
        <v>87446758.911764026</v>
      </c>
      <c r="E257" s="298">
        <f>IFERROR(IF(Loan_Not_Paid*Values_Entered,Monthly_Payment,""), "")</f>
        <v>889840.28874113306</v>
      </c>
      <c r="F257" s="298">
        <f>IFERROR(IF(Loan_Not_Paid*Values_Entered,Principal,""), "")</f>
        <v>580133.01759528532</v>
      </c>
      <c r="G257" s="298">
        <f>IFERROR(IF(Loan_Not_Paid*Values_Entered,Interest,""), "")</f>
        <v>309707.2711458478</v>
      </c>
      <c r="H257" s="298">
        <f>IFERROR(IF(Loan_Not_Paid*Values_Entered,Ending_Balance,""), "")</f>
        <v>86866625.894168735</v>
      </c>
    </row>
    <row r="258" spans="2:8">
      <c r="B258" s="300">
        <f>IFERROR(IF(Loan_Not_Paid*Values_Entered,Payment_Number,""), "")</f>
        <v>241</v>
      </c>
      <c r="C258" s="299"/>
      <c r="D258" s="298">
        <f>IFERROR(IF(Loan_Not_Paid*Values_Entered,Beginning_Balance,""), "")</f>
        <v>86866625.894168735</v>
      </c>
      <c r="E258" s="298">
        <f>IFERROR(IF(Loan_Not_Paid*Values_Entered,Monthly_Payment,""), "")</f>
        <v>889840.28874113306</v>
      </c>
      <c r="F258" s="298">
        <f>IFERROR(IF(Loan_Not_Paid*Values_Entered,Principal,""), "")</f>
        <v>582187.65536593529</v>
      </c>
      <c r="G258" s="298">
        <f>IFERROR(IF(Loan_Not_Paid*Values_Entered,Interest,""), "")</f>
        <v>307652.63337519777</v>
      </c>
      <c r="H258" s="298">
        <f>IFERROR(IF(Loan_Not_Paid*Values_Entered,Ending_Balance,""), "")</f>
        <v>86284438.238802791</v>
      </c>
    </row>
    <row r="259" spans="2:8">
      <c r="B259" s="300">
        <f>IFERROR(IF(Loan_Not_Paid*Values_Entered,Payment_Number,""), "")</f>
        <v>242</v>
      </c>
      <c r="C259" s="299"/>
      <c r="D259" s="298">
        <f>IFERROR(IF(Loan_Not_Paid*Values_Entered,Beginning_Balance,""), "")</f>
        <v>86284438.238802791</v>
      </c>
      <c r="E259" s="298">
        <f>IFERROR(IF(Loan_Not_Paid*Values_Entered,Monthly_Payment,""), "")</f>
        <v>889840.28874113306</v>
      </c>
      <c r="F259" s="298">
        <f>IFERROR(IF(Loan_Not_Paid*Values_Entered,Principal,""), "")</f>
        <v>584249.56997868966</v>
      </c>
      <c r="G259" s="298">
        <f>IFERROR(IF(Loan_Not_Paid*Values_Entered,Interest,""), "")</f>
        <v>305590.71876244346</v>
      </c>
      <c r="H259" s="298">
        <f>IFERROR(IF(Loan_Not_Paid*Values_Entered,Ending_Balance,""), "")</f>
        <v>85700188.668824077</v>
      </c>
    </row>
    <row r="260" spans="2:8">
      <c r="B260" s="300">
        <f>IFERROR(IF(Loan_Not_Paid*Values_Entered,Payment_Number,""), "")</f>
        <v>243</v>
      </c>
      <c r="C260" s="299"/>
      <c r="D260" s="298">
        <f>IFERROR(IF(Loan_Not_Paid*Values_Entered,Beginning_Balance,""), "")</f>
        <v>85700188.668824077</v>
      </c>
      <c r="E260" s="298">
        <f>IFERROR(IF(Loan_Not_Paid*Values_Entered,Monthly_Payment,""), "")</f>
        <v>889840.28874113306</v>
      </c>
      <c r="F260" s="298">
        <f>IFERROR(IF(Loan_Not_Paid*Values_Entered,Principal,""), "")</f>
        <v>586318.7872056975</v>
      </c>
      <c r="G260" s="298">
        <f>IFERROR(IF(Loan_Not_Paid*Values_Entered,Interest,""), "")</f>
        <v>303521.50153543556</v>
      </c>
      <c r="H260" s="298">
        <f>IFERROR(IF(Loan_Not_Paid*Values_Entered,Ending_Balance,""), "")</f>
        <v>85113869.881618381</v>
      </c>
    </row>
    <row r="261" spans="2:8">
      <c r="B261" s="300">
        <f>IFERROR(IF(Loan_Not_Paid*Values_Entered,Payment_Number,""), "")</f>
        <v>244</v>
      </c>
      <c r="C261" s="299"/>
      <c r="D261" s="298">
        <f>IFERROR(IF(Loan_Not_Paid*Values_Entered,Beginning_Balance,""), "")</f>
        <v>85113869.881618381</v>
      </c>
      <c r="E261" s="298">
        <f>IFERROR(IF(Loan_Not_Paid*Values_Entered,Monthly_Payment,""), "")</f>
        <v>889840.28874113306</v>
      </c>
      <c r="F261" s="298">
        <f>IFERROR(IF(Loan_Not_Paid*Values_Entered,Principal,""), "")</f>
        <v>588395.33291038428</v>
      </c>
      <c r="G261" s="298">
        <f>IFERROR(IF(Loan_Not_Paid*Values_Entered,Interest,""), "")</f>
        <v>301444.95583074872</v>
      </c>
      <c r="H261" s="298">
        <f>IFERROR(IF(Loan_Not_Paid*Values_Entered,Ending_Balance,""), "")</f>
        <v>84525474.548707902</v>
      </c>
    </row>
    <row r="262" spans="2:8">
      <c r="B262" s="300">
        <f>IFERROR(IF(Loan_Not_Paid*Values_Entered,Payment_Number,""), "")</f>
        <v>245</v>
      </c>
      <c r="C262" s="299"/>
      <c r="D262" s="298">
        <f>IFERROR(IF(Loan_Not_Paid*Values_Entered,Beginning_Balance,""), "")</f>
        <v>84525474.548707902</v>
      </c>
      <c r="E262" s="298">
        <f>IFERROR(IF(Loan_Not_Paid*Values_Entered,Monthly_Payment,""), "")</f>
        <v>889840.28874113306</v>
      </c>
      <c r="F262" s="298">
        <f>IFERROR(IF(Loan_Not_Paid*Values_Entered,Principal,""), "")</f>
        <v>590479.23304777523</v>
      </c>
      <c r="G262" s="298">
        <f>IFERROR(IF(Loan_Not_Paid*Values_Entered,Interest,""), "")</f>
        <v>299361.05569335783</v>
      </c>
      <c r="H262" s="298">
        <f>IFERROR(IF(Loan_Not_Paid*Values_Entered,Ending_Balance,""), "")</f>
        <v>83934995.315660059</v>
      </c>
    </row>
    <row r="263" spans="2:8">
      <c r="B263" s="300">
        <f>IFERROR(IF(Loan_Not_Paid*Values_Entered,Payment_Number,""), "")</f>
        <v>246</v>
      </c>
      <c r="C263" s="299"/>
      <c r="D263" s="298">
        <f>IFERROR(IF(Loan_Not_Paid*Values_Entered,Beginning_Balance,""), "")</f>
        <v>83934995.315660059</v>
      </c>
      <c r="E263" s="298">
        <f>IFERROR(IF(Loan_Not_Paid*Values_Entered,Monthly_Payment,""), "")</f>
        <v>889840.28874113306</v>
      </c>
      <c r="F263" s="298">
        <f>IFERROR(IF(Loan_Not_Paid*Values_Entered,Principal,""), "")</f>
        <v>592570.51366481942</v>
      </c>
      <c r="G263" s="298">
        <f>IFERROR(IF(Loan_Not_Paid*Values_Entered,Interest,""), "")</f>
        <v>297269.77507631358</v>
      </c>
      <c r="H263" s="298">
        <f>IFERROR(IF(Loan_Not_Paid*Values_Entered,Ending_Balance,""), "")</f>
        <v>83342424.801995218</v>
      </c>
    </row>
    <row r="264" spans="2:8">
      <c r="B264" s="300">
        <f>IFERROR(IF(Loan_Not_Paid*Values_Entered,Payment_Number,""), "")</f>
        <v>247</v>
      </c>
      <c r="C264" s="299"/>
      <c r="D264" s="298">
        <f>IFERROR(IF(Loan_Not_Paid*Values_Entered,Beginning_Balance,""), "")</f>
        <v>83342424.801995218</v>
      </c>
      <c r="E264" s="298">
        <f>IFERROR(IF(Loan_Not_Paid*Values_Entered,Monthly_Payment,""), "")</f>
        <v>889840.28874113306</v>
      </c>
      <c r="F264" s="298">
        <f>IFERROR(IF(Loan_Not_Paid*Values_Entered,Principal,""), "")</f>
        <v>594669.20090071566</v>
      </c>
      <c r="G264" s="298">
        <f>IFERROR(IF(Loan_Not_Paid*Values_Entered,Interest,""), "")</f>
        <v>295171.0878404174</v>
      </c>
      <c r="H264" s="298">
        <f>IFERROR(IF(Loan_Not_Paid*Values_Entered,Ending_Balance,""), "")</f>
        <v>82747755.601094425</v>
      </c>
    </row>
    <row r="265" spans="2:8">
      <c r="B265" s="300">
        <f>IFERROR(IF(Loan_Not_Paid*Values_Entered,Payment_Number,""), "")</f>
        <v>248</v>
      </c>
      <c r="C265" s="299"/>
      <c r="D265" s="298">
        <f>IFERROR(IF(Loan_Not_Paid*Values_Entered,Beginning_Balance,""), "")</f>
        <v>82747755.601094425</v>
      </c>
      <c r="E265" s="298">
        <f>IFERROR(IF(Loan_Not_Paid*Values_Entered,Monthly_Payment,""), "")</f>
        <v>889840.28874113306</v>
      </c>
      <c r="F265" s="298">
        <f>IFERROR(IF(Loan_Not_Paid*Values_Entered,Principal,""), "")</f>
        <v>596775.32098723901</v>
      </c>
      <c r="G265" s="298">
        <f>IFERROR(IF(Loan_Not_Paid*Values_Entered,Interest,""), "")</f>
        <v>293064.96775389399</v>
      </c>
      <c r="H265" s="298">
        <f>IFERROR(IF(Loan_Not_Paid*Values_Entered,Ending_Balance,""), "")</f>
        <v>82150980.280107141</v>
      </c>
    </row>
    <row r="266" spans="2:8">
      <c r="B266" s="300">
        <f>IFERROR(IF(Loan_Not_Paid*Values_Entered,Payment_Number,""), "")</f>
        <v>249</v>
      </c>
      <c r="C266" s="299"/>
      <c r="D266" s="298">
        <f>IFERROR(IF(Loan_Not_Paid*Values_Entered,Beginning_Balance,""), "")</f>
        <v>82150980.280107141</v>
      </c>
      <c r="E266" s="298">
        <f>IFERROR(IF(Loan_Not_Paid*Values_Entered,Monthly_Payment,""), "")</f>
        <v>889840.28874113306</v>
      </c>
      <c r="F266" s="298">
        <f>IFERROR(IF(Loan_Not_Paid*Values_Entered,Principal,""), "")</f>
        <v>598888.90024906886</v>
      </c>
      <c r="G266" s="298">
        <f>IFERROR(IF(Loan_Not_Paid*Values_Entered,Interest,""), "")</f>
        <v>290951.3884920642</v>
      </c>
      <c r="H266" s="298">
        <f>IFERROR(IF(Loan_Not_Paid*Values_Entered,Ending_Balance,""), "")</f>
        <v>81552091.379858136</v>
      </c>
    </row>
    <row r="267" spans="2:8">
      <c r="B267" s="300">
        <f>IFERROR(IF(Loan_Not_Paid*Values_Entered,Payment_Number,""), "")</f>
        <v>250</v>
      </c>
      <c r="C267" s="299"/>
      <c r="D267" s="298">
        <f>IFERROR(IF(Loan_Not_Paid*Values_Entered,Beginning_Balance,""), "")</f>
        <v>81552091.379858136</v>
      </c>
      <c r="E267" s="298">
        <f>IFERROR(IF(Loan_Not_Paid*Values_Entered,Monthly_Payment,""), "")</f>
        <v>889840.28874113306</v>
      </c>
      <c r="F267" s="298">
        <f>IFERROR(IF(Loan_Not_Paid*Values_Entered,Principal,""), "")</f>
        <v>601009.96510411764</v>
      </c>
      <c r="G267" s="298">
        <f>IFERROR(IF(Loan_Not_Paid*Values_Entered,Interest,""), "")</f>
        <v>288830.32363701542</v>
      </c>
      <c r="H267" s="298">
        <f>IFERROR(IF(Loan_Not_Paid*Values_Entered,Ending_Balance,""), "")</f>
        <v>80951081.414753854</v>
      </c>
    </row>
    <row r="268" spans="2:8">
      <c r="B268" s="300">
        <f>IFERROR(IF(Loan_Not_Paid*Values_Entered,Payment_Number,""), "")</f>
        <v>251</v>
      </c>
      <c r="C268" s="299"/>
      <c r="D268" s="298">
        <f>IFERROR(IF(Loan_Not_Paid*Values_Entered,Beginning_Balance,""), "")</f>
        <v>80951081.414753854</v>
      </c>
      <c r="E268" s="298">
        <f>IFERROR(IF(Loan_Not_Paid*Values_Entered,Monthly_Payment,""), "")</f>
        <v>889840.28874113306</v>
      </c>
      <c r="F268" s="298">
        <f>IFERROR(IF(Loan_Not_Paid*Values_Entered,Principal,""), "")</f>
        <v>603138.5420638615</v>
      </c>
      <c r="G268" s="298">
        <f>IFERROR(IF(Loan_Not_Paid*Values_Entered,Interest,""), "")</f>
        <v>286701.74667727167</v>
      </c>
      <c r="H268" s="298">
        <f>IFERROR(IF(Loan_Not_Paid*Values_Entered,Ending_Balance,""), "")</f>
        <v>80347942.872690022</v>
      </c>
    </row>
    <row r="269" spans="2:8">
      <c r="B269" s="300">
        <f>IFERROR(IF(Loan_Not_Paid*Values_Entered,Payment_Number,""), "")</f>
        <v>252</v>
      </c>
      <c r="C269" s="299"/>
      <c r="D269" s="298">
        <f>IFERROR(IF(Loan_Not_Paid*Values_Entered,Beginning_Balance,""), "")</f>
        <v>80347942.872690022</v>
      </c>
      <c r="E269" s="298">
        <f>IFERROR(IF(Loan_Not_Paid*Values_Entered,Monthly_Payment,""), "")</f>
        <v>889840.28874113306</v>
      </c>
      <c r="F269" s="298">
        <f>IFERROR(IF(Loan_Not_Paid*Values_Entered,Principal,""), "")</f>
        <v>605274.6577336709</v>
      </c>
      <c r="G269" s="298">
        <f>IFERROR(IF(Loan_Not_Paid*Values_Entered,Interest,""), "")</f>
        <v>284565.6310074621</v>
      </c>
      <c r="H269" s="298">
        <f>IFERROR(IF(Loan_Not_Paid*Values_Entered,Ending_Balance,""), "")</f>
        <v>79742668.214956284</v>
      </c>
    </row>
    <row r="270" spans="2:8">
      <c r="B270" s="300">
        <f>IFERROR(IF(Loan_Not_Paid*Values_Entered,Payment_Number,""), "")</f>
        <v>253</v>
      </c>
      <c r="C270" s="299"/>
      <c r="D270" s="298">
        <f>IFERROR(IF(Loan_Not_Paid*Values_Entered,Beginning_Balance,""), "")</f>
        <v>79742668.214956284</v>
      </c>
      <c r="E270" s="298">
        <f>IFERROR(IF(Loan_Not_Paid*Values_Entered,Monthly_Payment,""), "")</f>
        <v>889840.28874113306</v>
      </c>
      <c r="F270" s="298">
        <f>IFERROR(IF(Loan_Not_Paid*Values_Entered,Principal,""), "")</f>
        <v>607418.33881314436</v>
      </c>
      <c r="G270" s="298">
        <f>IFERROR(IF(Loan_Not_Paid*Values_Entered,Interest,""), "")</f>
        <v>282421.94992798869</v>
      </c>
      <c r="H270" s="298">
        <f>IFERROR(IF(Loan_Not_Paid*Values_Entered,Ending_Balance,""), "")</f>
        <v>79135249.876143098</v>
      </c>
    </row>
    <row r="271" spans="2:8">
      <c r="B271" s="300">
        <f>IFERROR(IF(Loan_Not_Paid*Values_Entered,Payment_Number,""), "")</f>
        <v>254</v>
      </c>
      <c r="C271" s="299"/>
      <c r="D271" s="298">
        <f>IFERROR(IF(Loan_Not_Paid*Values_Entered,Beginning_Balance,""), "")</f>
        <v>79135249.876143098</v>
      </c>
      <c r="E271" s="298">
        <f>IFERROR(IF(Loan_Not_Paid*Values_Entered,Monthly_Payment,""), "")</f>
        <v>889840.28874113306</v>
      </c>
      <c r="F271" s="298">
        <f>IFERROR(IF(Loan_Not_Paid*Values_Entered,Principal,""), "")</f>
        <v>609569.61209644086</v>
      </c>
      <c r="G271" s="298">
        <f>IFERROR(IF(Loan_Not_Paid*Values_Entered,Interest,""), "")</f>
        <v>280270.6766446922</v>
      </c>
      <c r="H271" s="298">
        <f>IFERROR(IF(Loan_Not_Paid*Values_Entered,Ending_Balance,""), "")</f>
        <v>78525680.264046669</v>
      </c>
    </row>
    <row r="272" spans="2:8">
      <c r="B272" s="300">
        <f>IFERROR(IF(Loan_Not_Paid*Values_Entered,Payment_Number,""), "")</f>
        <v>255</v>
      </c>
      <c r="C272" s="299"/>
      <c r="D272" s="298">
        <f>IFERROR(IF(Loan_Not_Paid*Values_Entered,Beginning_Balance,""), "")</f>
        <v>78525680.264046669</v>
      </c>
      <c r="E272" s="298">
        <f>IFERROR(IF(Loan_Not_Paid*Values_Entered,Monthly_Payment,""), "")</f>
        <v>889840.28874113306</v>
      </c>
      <c r="F272" s="298">
        <f>IFERROR(IF(Loan_Not_Paid*Values_Entered,Principal,""), "")</f>
        <v>611728.50447261578</v>
      </c>
      <c r="G272" s="298">
        <f>IFERROR(IF(Loan_Not_Paid*Values_Entered,Interest,""), "")</f>
        <v>278111.78426851728</v>
      </c>
      <c r="H272" s="298">
        <f>IFERROR(IF(Loan_Not_Paid*Values_Entered,Ending_Balance,""), "")</f>
        <v>77913951.759573996</v>
      </c>
    </row>
    <row r="273" spans="2:8">
      <c r="B273" s="300">
        <f>IFERROR(IF(Loan_Not_Paid*Values_Entered,Payment_Number,""), "")</f>
        <v>256</v>
      </c>
      <c r="C273" s="299"/>
      <c r="D273" s="298">
        <f>IFERROR(IF(Loan_Not_Paid*Values_Entered,Beginning_Balance,""), "")</f>
        <v>77913951.759573996</v>
      </c>
      <c r="E273" s="298">
        <f>IFERROR(IF(Loan_Not_Paid*Values_Entered,Monthly_Payment,""), "")</f>
        <v>889840.28874113306</v>
      </c>
      <c r="F273" s="298">
        <f>IFERROR(IF(Loan_Not_Paid*Values_Entered,Principal,""), "")</f>
        <v>613895.04292595643</v>
      </c>
      <c r="G273" s="298">
        <f>IFERROR(IF(Loan_Not_Paid*Values_Entered,Interest,""), "")</f>
        <v>275945.24581517669</v>
      </c>
      <c r="H273" s="298">
        <f>IFERROR(IF(Loan_Not_Paid*Values_Entered,Ending_Balance,""), "")</f>
        <v>77300056.716647983</v>
      </c>
    </row>
    <row r="274" spans="2:8">
      <c r="B274" s="300">
        <f>IFERROR(IF(Loan_Not_Paid*Values_Entered,Payment_Number,""), "")</f>
        <v>257</v>
      </c>
      <c r="C274" s="299"/>
      <c r="D274" s="298">
        <f>IFERROR(IF(Loan_Not_Paid*Values_Entered,Beginning_Balance,""), "")</f>
        <v>77300056.716647983</v>
      </c>
      <c r="E274" s="298">
        <f>IFERROR(IF(Loan_Not_Paid*Values_Entered,Monthly_Payment,""), "")</f>
        <v>889840.28874113306</v>
      </c>
      <c r="F274" s="298">
        <f>IFERROR(IF(Loan_Not_Paid*Values_Entered,Principal,""), "")</f>
        <v>616069.25453631917</v>
      </c>
      <c r="G274" s="298">
        <f>IFERROR(IF(Loan_Not_Paid*Values_Entered,Interest,""), "")</f>
        <v>273771.034204814</v>
      </c>
      <c r="H274" s="298">
        <f>IFERROR(IF(Loan_Not_Paid*Values_Entered,Ending_Balance,""), "")</f>
        <v>76683987.462111652</v>
      </c>
    </row>
    <row r="275" spans="2:8">
      <c r="B275" s="300">
        <f>IFERROR(IF(Loan_Not_Paid*Values_Entered,Payment_Number,""), "")</f>
        <v>258</v>
      </c>
      <c r="C275" s="299"/>
      <c r="D275" s="298">
        <f>IFERROR(IF(Loan_Not_Paid*Values_Entered,Beginning_Balance,""), "")</f>
        <v>76683987.462111652</v>
      </c>
      <c r="E275" s="298">
        <f>IFERROR(IF(Loan_Not_Paid*Values_Entered,Monthly_Payment,""), "")</f>
        <v>889840.28874113306</v>
      </c>
      <c r="F275" s="298">
        <f>IFERROR(IF(Loan_Not_Paid*Values_Entered,Principal,""), "")</f>
        <v>618251.16647946858</v>
      </c>
      <c r="G275" s="298">
        <f>IFERROR(IF(Loan_Not_Paid*Values_Entered,Interest,""), "")</f>
        <v>271589.12226166448</v>
      </c>
      <c r="H275" s="298">
        <f>IFERROR(IF(Loan_Not_Paid*Values_Entered,Ending_Balance,""), "")</f>
        <v>76065736.295632184</v>
      </c>
    </row>
    <row r="276" spans="2:8">
      <c r="B276" s="300">
        <f>IFERROR(IF(Loan_Not_Paid*Values_Entered,Payment_Number,""), "")</f>
        <v>259</v>
      </c>
      <c r="C276" s="299"/>
      <c r="D276" s="298">
        <f>IFERROR(IF(Loan_Not_Paid*Values_Entered,Beginning_Balance,""), "")</f>
        <v>76065736.295632184</v>
      </c>
      <c r="E276" s="298">
        <f>IFERROR(IF(Loan_Not_Paid*Values_Entered,Monthly_Payment,""), "")</f>
        <v>889840.28874113306</v>
      </c>
      <c r="F276" s="298">
        <f>IFERROR(IF(Loan_Not_Paid*Values_Entered,Principal,""), "")</f>
        <v>620440.80602741661</v>
      </c>
      <c r="G276" s="298">
        <f>IFERROR(IF(Loan_Not_Paid*Values_Entered,Interest,""), "")</f>
        <v>269399.4827137164</v>
      </c>
      <c r="H276" s="298">
        <f>IFERROR(IF(Loan_Not_Paid*Values_Entered,Ending_Balance,""), "")</f>
        <v>75445295.489604652</v>
      </c>
    </row>
    <row r="277" spans="2:8">
      <c r="B277" s="300">
        <f>IFERROR(IF(Loan_Not_Paid*Values_Entered,Payment_Number,""), "")</f>
        <v>260</v>
      </c>
      <c r="C277" s="299"/>
      <c r="D277" s="298">
        <f>IFERROR(IF(Loan_Not_Paid*Values_Entered,Beginning_Balance,""), "")</f>
        <v>75445295.489604652</v>
      </c>
      <c r="E277" s="298">
        <f>IFERROR(IF(Loan_Not_Paid*Values_Entered,Monthly_Payment,""), "")</f>
        <v>889840.28874113306</v>
      </c>
      <c r="F277" s="298">
        <f>IFERROR(IF(Loan_Not_Paid*Values_Entered,Principal,""), "")</f>
        <v>622638.20054876374</v>
      </c>
      <c r="G277" s="298">
        <f>IFERROR(IF(Loan_Not_Paid*Values_Entered,Interest,""), "")</f>
        <v>267202.08819236932</v>
      </c>
      <c r="H277" s="298">
        <f>IFERROR(IF(Loan_Not_Paid*Values_Entered,Ending_Balance,""), "")</f>
        <v>74822657.289055884</v>
      </c>
    </row>
    <row r="278" spans="2:8">
      <c r="B278" s="300">
        <f>IFERROR(IF(Loan_Not_Paid*Values_Entered,Payment_Number,""), "")</f>
        <v>261</v>
      </c>
      <c r="C278" s="299"/>
      <c r="D278" s="298">
        <f>IFERROR(IF(Loan_Not_Paid*Values_Entered,Beginning_Balance,""), "")</f>
        <v>74822657.289055884</v>
      </c>
      <c r="E278" s="298">
        <f>IFERROR(IF(Loan_Not_Paid*Values_Entered,Monthly_Payment,""), "")</f>
        <v>889840.28874113306</v>
      </c>
      <c r="F278" s="298">
        <f>IFERROR(IF(Loan_Not_Paid*Values_Entered,Principal,""), "")</f>
        <v>624843.37750904064</v>
      </c>
      <c r="G278" s="298">
        <f>IFERROR(IF(Loan_Not_Paid*Values_Entered,Interest,""), "")</f>
        <v>264996.91123209242</v>
      </c>
      <c r="H278" s="298">
        <f>IFERROR(IF(Loan_Not_Paid*Values_Entered,Ending_Balance,""), "")</f>
        <v>74197813.911546767</v>
      </c>
    </row>
    <row r="279" spans="2:8">
      <c r="B279" s="300">
        <f>IFERROR(IF(Loan_Not_Paid*Values_Entered,Payment_Number,""), "")</f>
        <v>262</v>
      </c>
      <c r="C279" s="299"/>
      <c r="D279" s="298">
        <f>IFERROR(IF(Loan_Not_Paid*Values_Entered,Beginning_Balance,""), "")</f>
        <v>74197813.911546767</v>
      </c>
      <c r="E279" s="298">
        <f>IFERROR(IF(Loan_Not_Paid*Values_Entered,Monthly_Payment,""), "")</f>
        <v>889840.28874113306</v>
      </c>
      <c r="F279" s="298">
        <f>IFERROR(IF(Loan_Not_Paid*Values_Entered,Principal,""), "")</f>
        <v>627056.36447105173</v>
      </c>
      <c r="G279" s="298">
        <f>IFERROR(IF(Loan_Not_Paid*Values_Entered,Interest,""), "")</f>
        <v>262783.92427008122</v>
      </c>
      <c r="H279" s="298">
        <f>IFERROR(IF(Loan_Not_Paid*Values_Entered,Ending_Balance,""), "")</f>
        <v>73570757.547075689</v>
      </c>
    </row>
    <row r="280" spans="2:8">
      <c r="B280" s="300">
        <f>IFERROR(IF(Loan_Not_Paid*Values_Entered,Payment_Number,""), "")</f>
        <v>263</v>
      </c>
      <c r="C280" s="299"/>
      <c r="D280" s="298">
        <f>IFERROR(IF(Loan_Not_Paid*Values_Entered,Beginning_Balance,""), "")</f>
        <v>73570757.547075689</v>
      </c>
      <c r="E280" s="298">
        <f>IFERROR(IF(Loan_Not_Paid*Values_Entered,Monthly_Payment,""), "")</f>
        <v>889840.28874113306</v>
      </c>
      <c r="F280" s="298">
        <f>IFERROR(IF(Loan_Not_Paid*Values_Entered,Principal,""), "")</f>
        <v>629277.18909522018</v>
      </c>
      <c r="G280" s="298">
        <f>IFERROR(IF(Loan_Not_Paid*Values_Entered,Interest,""), "")</f>
        <v>260563.09964591297</v>
      </c>
      <c r="H280" s="298">
        <f>IFERROR(IF(Loan_Not_Paid*Values_Entered,Ending_Balance,""), "")</f>
        <v>72941480.357980371</v>
      </c>
    </row>
    <row r="281" spans="2:8">
      <c r="B281" s="300">
        <f>IFERROR(IF(Loan_Not_Paid*Values_Entered,Payment_Number,""), "")</f>
        <v>264</v>
      </c>
      <c r="C281" s="299"/>
      <c r="D281" s="298">
        <f>IFERROR(IF(Loan_Not_Paid*Values_Entered,Beginning_Balance,""), "")</f>
        <v>72941480.357980371</v>
      </c>
      <c r="E281" s="298">
        <f>IFERROR(IF(Loan_Not_Paid*Values_Entered,Monthly_Payment,""), "")</f>
        <v>889840.28874113306</v>
      </c>
      <c r="F281" s="298">
        <f>IFERROR(IF(Loan_Not_Paid*Values_Entered,Principal,""), "")</f>
        <v>631505.87913993245</v>
      </c>
      <c r="G281" s="298">
        <f>IFERROR(IF(Loan_Not_Paid*Values_Entered,Interest,""), "")</f>
        <v>258334.40960120072</v>
      </c>
      <c r="H281" s="298">
        <f>IFERROR(IF(Loan_Not_Paid*Values_Entered,Ending_Balance,""), "")</f>
        <v>72309974.47884053</v>
      </c>
    </row>
    <row r="282" spans="2:8">
      <c r="B282" s="300">
        <f>IFERROR(IF(Loan_Not_Paid*Values_Entered,Payment_Number,""), "")</f>
        <v>265</v>
      </c>
      <c r="C282" s="299"/>
      <c r="D282" s="298">
        <f>IFERROR(IF(Loan_Not_Paid*Values_Entered,Beginning_Balance,""), "")</f>
        <v>72309974.47884053</v>
      </c>
      <c r="E282" s="298">
        <f>IFERROR(IF(Loan_Not_Paid*Values_Entered,Monthly_Payment,""), "")</f>
        <v>889840.28874113306</v>
      </c>
      <c r="F282" s="298">
        <f>IFERROR(IF(Loan_Not_Paid*Values_Entered,Principal,""), "")</f>
        <v>633742.46246188635</v>
      </c>
      <c r="G282" s="298">
        <f>IFERROR(IF(Loan_Not_Paid*Values_Entered,Interest,""), "")</f>
        <v>256097.82627924674</v>
      </c>
      <c r="H282" s="298">
        <f>IFERROR(IF(Loan_Not_Paid*Values_Entered,Ending_Balance,""), "")</f>
        <v>71676232.016378522</v>
      </c>
    </row>
    <row r="283" spans="2:8">
      <c r="B283" s="300">
        <f>IFERROR(IF(Loan_Not_Paid*Values_Entered,Payment_Number,""), "")</f>
        <v>266</v>
      </c>
      <c r="C283" s="299"/>
      <c r="D283" s="298">
        <f>IFERROR(IF(Loan_Not_Paid*Values_Entered,Beginning_Balance,""), "")</f>
        <v>71676232.016378522</v>
      </c>
      <c r="E283" s="298">
        <f>IFERROR(IF(Loan_Not_Paid*Values_Entered,Monthly_Payment,""), "")</f>
        <v>889840.28874113306</v>
      </c>
      <c r="F283" s="298">
        <f>IFERROR(IF(Loan_Not_Paid*Values_Entered,Principal,""), "")</f>
        <v>635986.96701643884</v>
      </c>
      <c r="G283" s="298">
        <f>IFERROR(IF(Loan_Not_Paid*Values_Entered,Interest,""), "")</f>
        <v>253853.32172469428</v>
      </c>
      <c r="H283" s="298">
        <f>IFERROR(IF(Loan_Not_Paid*Values_Entered,Ending_Balance,""), "")</f>
        <v>71040245.049362004</v>
      </c>
    </row>
    <row r="284" spans="2:8">
      <c r="B284" s="300">
        <f>IFERROR(IF(Loan_Not_Paid*Values_Entered,Payment_Number,""), "")</f>
        <v>267</v>
      </c>
      <c r="C284" s="299"/>
      <c r="D284" s="298">
        <f>IFERROR(IF(Loan_Not_Paid*Values_Entered,Beginning_Balance,""), "")</f>
        <v>71040245.049362004</v>
      </c>
      <c r="E284" s="298">
        <f>IFERROR(IF(Loan_Not_Paid*Values_Entered,Monthly_Payment,""), "")</f>
        <v>889840.28874113306</v>
      </c>
      <c r="F284" s="298">
        <f>IFERROR(IF(Loan_Not_Paid*Values_Entered,Principal,""), "")</f>
        <v>638239.42085795535</v>
      </c>
      <c r="G284" s="298">
        <f>IFERROR(IF(Loan_Not_Paid*Values_Entered,Interest,""), "")</f>
        <v>251600.86788317771</v>
      </c>
      <c r="H284" s="298">
        <f>IFERROR(IF(Loan_Not_Paid*Values_Entered,Ending_Balance,""), "")</f>
        <v>70402005.628504038</v>
      </c>
    </row>
    <row r="285" spans="2:8">
      <c r="B285" s="300">
        <f>IFERROR(IF(Loan_Not_Paid*Values_Entered,Payment_Number,""), "")</f>
        <v>268</v>
      </c>
      <c r="C285" s="299"/>
      <c r="D285" s="298">
        <f>IFERROR(IF(Loan_Not_Paid*Values_Entered,Beginning_Balance,""), "")</f>
        <v>70402005.628504038</v>
      </c>
      <c r="E285" s="298">
        <f>IFERROR(IF(Loan_Not_Paid*Values_Entered,Monthly_Payment,""), "")</f>
        <v>889840.28874113306</v>
      </c>
      <c r="F285" s="298">
        <f>IFERROR(IF(Loan_Not_Paid*Values_Entered,Principal,""), "")</f>
        <v>640499.85214016074</v>
      </c>
      <c r="G285" s="298">
        <f>IFERROR(IF(Loan_Not_Paid*Values_Entered,Interest,""), "")</f>
        <v>249340.43660097246</v>
      </c>
      <c r="H285" s="298">
        <f>IFERROR(IF(Loan_Not_Paid*Values_Entered,Ending_Balance,""), "")</f>
        <v>69761505.77636385</v>
      </c>
    </row>
    <row r="286" spans="2:8">
      <c r="B286" s="300">
        <f>IFERROR(IF(Loan_Not_Paid*Values_Entered,Payment_Number,""), "")</f>
        <v>269</v>
      </c>
      <c r="C286" s="299"/>
      <c r="D286" s="298">
        <f>IFERROR(IF(Loan_Not_Paid*Values_Entered,Beginning_Balance,""), "")</f>
        <v>69761505.77636385</v>
      </c>
      <c r="E286" s="298">
        <f>IFERROR(IF(Loan_Not_Paid*Values_Entered,Monthly_Payment,""), "")</f>
        <v>889840.28874113306</v>
      </c>
      <c r="F286" s="298">
        <f>IFERROR(IF(Loan_Not_Paid*Values_Entered,Principal,""), "")</f>
        <v>642768.2891164904</v>
      </c>
      <c r="G286" s="298">
        <f>IFERROR(IF(Loan_Not_Paid*Values_Entered,Interest,""), "")</f>
        <v>247071.99962464272</v>
      </c>
      <c r="H286" s="298">
        <f>IFERROR(IF(Loan_Not_Paid*Values_Entered,Ending_Balance,""), "")</f>
        <v>69118737.487247288</v>
      </c>
    </row>
    <row r="287" spans="2:8">
      <c r="B287" s="300">
        <f>IFERROR(IF(Loan_Not_Paid*Values_Entered,Payment_Number,""), "")</f>
        <v>270</v>
      </c>
      <c r="C287" s="299"/>
      <c r="D287" s="298">
        <f>IFERROR(IF(Loan_Not_Paid*Values_Entered,Beginning_Balance,""), "")</f>
        <v>69118737.487247288</v>
      </c>
      <c r="E287" s="298">
        <f>IFERROR(IF(Loan_Not_Paid*Values_Entered,Monthly_Payment,""), "")</f>
        <v>889840.28874113306</v>
      </c>
      <c r="F287" s="298">
        <f>IFERROR(IF(Loan_Not_Paid*Values_Entered,Principal,""), "")</f>
        <v>645044.76014044462</v>
      </c>
      <c r="G287" s="298">
        <f>IFERROR(IF(Loan_Not_Paid*Values_Entered,Interest,""), "")</f>
        <v>244795.52860068844</v>
      </c>
      <c r="H287" s="298">
        <f>IFERROR(IF(Loan_Not_Paid*Values_Entered,Ending_Balance,""), "")</f>
        <v>68473692.72710681</v>
      </c>
    </row>
    <row r="288" spans="2:8">
      <c r="B288" s="300">
        <f>IFERROR(IF(Loan_Not_Paid*Values_Entered,Payment_Number,""), "")</f>
        <v>271</v>
      </c>
      <c r="C288" s="299"/>
      <c r="D288" s="298">
        <f>IFERROR(IF(Loan_Not_Paid*Values_Entered,Beginning_Balance,""), "")</f>
        <v>68473692.72710681</v>
      </c>
      <c r="E288" s="298">
        <f>IFERROR(IF(Loan_Not_Paid*Values_Entered,Monthly_Payment,""), "")</f>
        <v>889840.28874113306</v>
      </c>
      <c r="F288" s="298">
        <f>IFERROR(IF(Loan_Not_Paid*Values_Entered,Principal,""), "")</f>
        <v>647329.29366594204</v>
      </c>
      <c r="G288" s="298">
        <f>IFERROR(IF(Loan_Not_Paid*Values_Entered,Interest,""), "")</f>
        <v>242510.99507519108</v>
      </c>
      <c r="H288" s="298">
        <f>IFERROR(IF(Loan_Not_Paid*Values_Entered,Ending_Balance,""), "")</f>
        <v>67826363.433440804</v>
      </c>
    </row>
    <row r="289" spans="2:8">
      <c r="B289" s="300">
        <f>IFERROR(IF(Loan_Not_Paid*Values_Entered,Payment_Number,""), "")</f>
        <v>272</v>
      </c>
      <c r="C289" s="299"/>
      <c r="D289" s="298">
        <f>IFERROR(IF(Loan_Not_Paid*Values_Entered,Beginning_Balance,""), "")</f>
        <v>67826363.433440804</v>
      </c>
      <c r="E289" s="298">
        <f>IFERROR(IF(Loan_Not_Paid*Values_Entered,Monthly_Payment,""), "")</f>
        <v>889840.28874113306</v>
      </c>
      <c r="F289" s="298">
        <f>IFERROR(IF(Loan_Not_Paid*Values_Entered,Principal,""), "")</f>
        <v>649621.91824767552</v>
      </c>
      <c r="G289" s="298">
        <f>IFERROR(IF(Loan_Not_Paid*Values_Entered,Interest,""), "")</f>
        <v>240218.37049345751</v>
      </c>
      <c r="H289" s="298">
        <f>IFERROR(IF(Loan_Not_Paid*Values_Entered,Ending_Balance,""), "")</f>
        <v>67176741.515193105</v>
      </c>
    </row>
    <row r="290" spans="2:8">
      <c r="B290" s="300">
        <f>IFERROR(IF(Loan_Not_Paid*Values_Entered,Payment_Number,""), "")</f>
        <v>273</v>
      </c>
      <c r="C290" s="299"/>
      <c r="D290" s="298">
        <f>IFERROR(IF(Loan_Not_Paid*Values_Entered,Beginning_Balance,""), "")</f>
        <v>67176741.515193105</v>
      </c>
      <c r="E290" s="298">
        <f>IFERROR(IF(Loan_Not_Paid*Values_Entered,Monthly_Payment,""), "")</f>
        <v>889840.28874113306</v>
      </c>
      <c r="F290" s="298">
        <f>IFERROR(IF(Loan_Not_Paid*Values_Entered,Principal,""), "")</f>
        <v>651922.66254146944</v>
      </c>
      <c r="G290" s="298">
        <f>IFERROR(IF(Loan_Not_Paid*Values_Entered,Interest,""), "")</f>
        <v>237917.6261996637</v>
      </c>
      <c r="H290" s="298">
        <f>IFERROR(IF(Loan_Not_Paid*Values_Entered,Ending_Balance,""), "")</f>
        <v>66524818.852651596</v>
      </c>
    </row>
    <row r="291" spans="2:8">
      <c r="B291" s="300">
        <f>IFERROR(IF(Loan_Not_Paid*Values_Entered,Payment_Number,""), "")</f>
        <v>274</v>
      </c>
      <c r="C291" s="299"/>
      <c r="D291" s="298">
        <f>IFERROR(IF(Loan_Not_Paid*Values_Entered,Beginning_Balance,""), "")</f>
        <v>66524818.852651596</v>
      </c>
      <c r="E291" s="298">
        <f>IFERROR(IF(Loan_Not_Paid*Values_Entered,Monthly_Payment,""), "")</f>
        <v>889840.28874113306</v>
      </c>
      <c r="F291" s="298">
        <f>IFERROR(IF(Loan_Not_Paid*Values_Entered,Principal,""), "")</f>
        <v>654231.55530463718</v>
      </c>
      <c r="G291" s="298">
        <f>IFERROR(IF(Loan_Not_Paid*Values_Entered,Interest,""), "")</f>
        <v>235608.73343649597</v>
      </c>
      <c r="H291" s="298">
        <f>IFERROR(IF(Loan_Not_Paid*Values_Entered,Ending_Balance,""), "")</f>
        <v>65870587.29734689</v>
      </c>
    </row>
    <row r="292" spans="2:8">
      <c r="B292" s="300">
        <f>IFERROR(IF(Loan_Not_Paid*Values_Entered,Payment_Number,""), "")</f>
        <v>275</v>
      </c>
      <c r="C292" s="299"/>
      <c r="D292" s="298">
        <f>IFERROR(IF(Loan_Not_Paid*Values_Entered,Beginning_Balance,""), "")</f>
        <v>65870587.29734689</v>
      </c>
      <c r="E292" s="298">
        <f>IFERROR(IF(Loan_Not_Paid*Values_Entered,Monthly_Payment,""), "")</f>
        <v>889840.28874113306</v>
      </c>
      <c r="F292" s="298">
        <f>IFERROR(IF(Loan_Not_Paid*Values_Entered,Principal,""), "")</f>
        <v>656548.62539634097</v>
      </c>
      <c r="G292" s="298">
        <f>IFERROR(IF(Loan_Not_Paid*Values_Entered,Interest,""), "")</f>
        <v>233291.66334479206</v>
      </c>
      <c r="H292" s="298">
        <f>IFERROR(IF(Loan_Not_Paid*Values_Entered,Ending_Balance,""), "")</f>
        <v>65214038.671950459</v>
      </c>
    </row>
    <row r="293" spans="2:8">
      <c r="B293" s="300">
        <f>IFERROR(IF(Loan_Not_Paid*Values_Entered,Payment_Number,""), "")</f>
        <v>276</v>
      </c>
      <c r="C293" s="299"/>
      <c r="D293" s="298">
        <f>IFERROR(IF(Loan_Not_Paid*Values_Entered,Beginning_Balance,""), "")</f>
        <v>65214038.671950459</v>
      </c>
      <c r="E293" s="298">
        <f>IFERROR(IF(Loan_Not_Paid*Values_Entered,Monthly_Payment,""), "")</f>
        <v>889840.28874113306</v>
      </c>
      <c r="F293" s="298">
        <f>IFERROR(IF(Loan_Not_Paid*Values_Entered,Principal,""), "")</f>
        <v>658873.90177795303</v>
      </c>
      <c r="G293" s="298">
        <f>IFERROR(IF(Loan_Not_Paid*Values_Entered,Interest,""), "")</f>
        <v>230966.38696318006</v>
      </c>
      <c r="H293" s="298">
        <f>IFERROR(IF(Loan_Not_Paid*Values_Entered,Ending_Balance,""), "")</f>
        <v>64555164.770172536</v>
      </c>
    </row>
    <row r="294" spans="2:8">
      <c r="B294" s="300">
        <f>IFERROR(IF(Loan_Not_Paid*Values_Entered,Payment_Number,""), "")</f>
        <v>277</v>
      </c>
      <c r="C294" s="299"/>
      <c r="D294" s="298">
        <f>IFERROR(IF(Loan_Not_Paid*Values_Entered,Beginning_Balance,""), "")</f>
        <v>64555164.770172536</v>
      </c>
      <c r="E294" s="298">
        <f>IFERROR(IF(Loan_Not_Paid*Values_Entered,Monthly_Payment,""), "")</f>
        <v>889840.28874113306</v>
      </c>
      <c r="F294" s="298">
        <f>IFERROR(IF(Loan_Not_Paid*Values_Entered,Principal,""), "")</f>
        <v>661207.41351341666</v>
      </c>
      <c r="G294" s="298">
        <f>IFERROR(IF(Loan_Not_Paid*Values_Entered,Interest,""), "")</f>
        <v>228632.87522771646</v>
      </c>
      <c r="H294" s="298">
        <f>IFERROR(IF(Loan_Not_Paid*Values_Entered,Ending_Balance,""), "")</f>
        <v>63893957.356659055</v>
      </c>
    </row>
    <row r="295" spans="2:8">
      <c r="B295" s="300">
        <f>IFERROR(IF(Loan_Not_Paid*Values_Entered,Payment_Number,""), "")</f>
        <v>278</v>
      </c>
      <c r="C295" s="299"/>
      <c r="D295" s="298">
        <f>IFERROR(IF(Loan_Not_Paid*Values_Entered,Beginning_Balance,""), "")</f>
        <v>63893957.356659055</v>
      </c>
      <c r="E295" s="298">
        <f>IFERROR(IF(Loan_Not_Paid*Values_Entered,Monthly_Payment,""), "")</f>
        <v>889840.28874113306</v>
      </c>
      <c r="F295" s="298">
        <f>IFERROR(IF(Loan_Not_Paid*Values_Entered,Principal,""), "")</f>
        <v>663549.18976960995</v>
      </c>
      <c r="G295" s="298">
        <f>IFERROR(IF(Loan_Not_Paid*Values_Entered,Interest,""), "")</f>
        <v>226291.09897152308</v>
      </c>
      <c r="H295" s="298">
        <f>IFERROR(IF(Loan_Not_Paid*Values_Entered,Ending_Balance,""), "")</f>
        <v>63230408.166889369</v>
      </c>
    </row>
    <row r="296" spans="2:8">
      <c r="B296" s="300">
        <f>IFERROR(IF(Loan_Not_Paid*Values_Entered,Payment_Number,""), "")</f>
        <v>279</v>
      </c>
      <c r="C296" s="299"/>
      <c r="D296" s="298">
        <f>IFERROR(IF(Loan_Not_Paid*Values_Entered,Beginning_Balance,""), "")</f>
        <v>63230408.166889369</v>
      </c>
      <c r="E296" s="298">
        <f>IFERROR(IF(Loan_Not_Paid*Values_Entered,Monthly_Payment,""), "")</f>
        <v>889840.28874113306</v>
      </c>
      <c r="F296" s="298">
        <f>IFERROR(IF(Loan_Not_Paid*Values_Entered,Principal,""), "")</f>
        <v>665899.25981671072</v>
      </c>
      <c r="G296" s="298">
        <f>IFERROR(IF(Loan_Not_Paid*Values_Entered,Interest,""), "")</f>
        <v>223941.02892442237</v>
      </c>
      <c r="H296" s="298">
        <f>IFERROR(IF(Loan_Not_Paid*Values_Entered,Ending_Balance,""), "")</f>
        <v>62564508.907072663</v>
      </c>
    </row>
    <row r="297" spans="2:8">
      <c r="B297" s="300">
        <f>IFERROR(IF(Loan_Not_Paid*Values_Entered,Payment_Number,""), "")</f>
        <v>280</v>
      </c>
      <c r="C297" s="299"/>
      <c r="D297" s="298">
        <f>IFERROR(IF(Loan_Not_Paid*Values_Entered,Beginning_Balance,""), "")</f>
        <v>62564508.907072663</v>
      </c>
      <c r="E297" s="298">
        <f>IFERROR(IF(Loan_Not_Paid*Values_Entered,Monthly_Payment,""), "")</f>
        <v>889840.28874113306</v>
      </c>
      <c r="F297" s="298">
        <f>IFERROR(IF(Loan_Not_Paid*Values_Entered,Principal,""), "")</f>
        <v>668257.65302856162</v>
      </c>
      <c r="G297" s="298">
        <f>IFERROR(IF(Loan_Not_Paid*Values_Entered,Interest,""), "")</f>
        <v>221582.63571257153</v>
      </c>
      <c r="H297" s="298">
        <f>IFERROR(IF(Loan_Not_Paid*Values_Entered,Ending_Balance,""), "")</f>
        <v>61896251.254044116</v>
      </c>
    </row>
    <row r="298" spans="2:8">
      <c r="B298" s="300">
        <f>IFERROR(IF(Loan_Not_Paid*Values_Entered,Payment_Number,""), "")</f>
        <v>281</v>
      </c>
      <c r="C298" s="299"/>
      <c r="D298" s="298">
        <f>IFERROR(IF(Loan_Not_Paid*Values_Entered,Beginning_Balance,""), "")</f>
        <v>61896251.254044116</v>
      </c>
      <c r="E298" s="298">
        <f>IFERROR(IF(Loan_Not_Paid*Values_Entered,Monthly_Payment,""), "")</f>
        <v>889840.28874113306</v>
      </c>
      <c r="F298" s="298">
        <f>IFERROR(IF(Loan_Not_Paid*Values_Entered,Principal,""), "")</f>
        <v>670624.39888303773</v>
      </c>
      <c r="G298" s="298">
        <f>IFERROR(IF(Loan_Not_Paid*Values_Entered,Interest,""), "")</f>
        <v>219215.88985809538</v>
      </c>
      <c r="H298" s="298">
        <f>IFERROR(IF(Loan_Not_Paid*Values_Entered,Ending_Balance,""), "")</f>
        <v>61225626.855161011</v>
      </c>
    </row>
    <row r="299" spans="2:8">
      <c r="B299" s="300">
        <f>IFERROR(IF(Loan_Not_Paid*Values_Entered,Payment_Number,""), "")</f>
        <v>282</v>
      </c>
      <c r="C299" s="299"/>
      <c r="D299" s="298">
        <f>IFERROR(IF(Loan_Not_Paid*Values_Entered,Beginning_Balance,""), "")</f>
        <v>61225626.855161011</v>
      </c>
      <c r="E299" s="298">
        <f>IFERROR(IF(Loan_Not_Paid*Values_Entered,Monthly_Payment,""), "")</f>
        <v>889840.28874113306</v>
      </c>
      <c r="F299" s="298">
        <f>IFERROR(IF(Loan_Not_Paid*Values_Entered,Principal,""), "")</f>
        <v>672999.52696241508</v>
      </c>
      <c r="G299" s="298">
        <f>IFERROR(IF(Loan_Not_Paid*Values_Entered,Interest,""), "")</f>
        <v>216840.76177871792</v>
      </c>
      <c r="H299" s="298">
        <f>IFERROR(IF(Loan_Not_Paid*Values_Entered,Ending_Balance,""), "")</f>
        <v>60552627.328198493</v>
      </c>
    </row>
    <row r="300" spans="2:8">
      <c r="B300" s="300">
        <f>IFERROR(IF(Loan_Not_Paid*Values_Entered,Payment_Number,""), "")</f>
        <v>283</v>
      </c>
      <c r="C300" s="299"/>
      <c r="D300" s="298">
        <f>IFERROR(IF(Loan_Not_Paid*Values_Entered,Beginning_Balance,""), "")</f>
        <v>60552627.328198493</v>
      </c>
      <c r="E300" s="298">
        <f>IFERROR(IF(Loan_Not_Paid*Values_Entered,Monthly_Payment,""), "")</f>
        <v>889840.28874113306</v>
      </c>
      <c r="F300" s="298">
        <f>IFERROR(IF(Loan_Not_Paid*Values_Entered,Principal,""), "")</f>
        <v>675383.06695374043</v>
      </c>
      <c r="G300" s="298">
        <f>IFERROR(IF(Loan_Not_Paid*Values_Entered,Interest,""), "")</f>
        <v>214457.22178739271</v>
      </c>
      <c r="H300" s="298">
        <f>IFERROR(IF(Loan_Not_Paid*Values_Entered,Ending_Balance,""), "")</f>
        <v>59877244.261244655</v>
      </c>
    </row>
    <row r="301" spans="2:8">
      <c r="B301" s="300">
        <f>IFERROR(IF(Loan_Not_Paid*Values_Entered,Payment_Number,""), "")</f>
        <v>284</v>
      </c>
      <c r="C301" s="299"/>
      <c r="D301" s="298">
        <f>IFERROR(IF(Loan_Not_Paid*Values_Entered,Beginning_Balance,""), "")</f>
        <v>59877244.261244655</v>
      </c>
      <c r="E301" s="298">
        <f>IFERROR(IF(Loan_Not_Paid*Values_Entered,Monthly_Payment,""), "")</f>
        <v>889840.28874113306</v>
      </c>
      <c r="F301" s="298">
        <f>IFERROR(IF(Loan_Not_Paid*Values_Entered,Principal,""), "")</f>
        <v>677775.04864920164</v>
      </c>
      <c r="G301" s="298">
        <f>IFERROR(IF(Loan_Not_Paid*Values_Entered,Interest,""), "")</f>
        <v>212065.24009193154</v>
      </c>
      <c r="H301" s="298">
        <f>IFERROR(IF(Loan_Not_Paid*Values_Entered,Ending_Balance,""), "")</f>
        <v>59199469.212595522</v>
      </c>
    </row>
    <row r="302" spans="2:8">
      <c r="B302" s="300">
        <f>IFERROR(IF(Loan_Not_Paid*Values_Entered,Payment_Number,""), "")</f>
        <v>285</v>
      </c>
      <c r="C302" s="299"/>
      <c r="D302" s="298">
        <f>IFERROR(IF(Loan_Not_Paid*Values_Entered,Beginning_Balance,""), "")</f>
        <v>59199469.212595522</v>
      </c>
      <c r="E302" s="298">
        <f>IFERROR(IF(Loan_Not_Paid*Values_Entered,Monthly_Payment,""), "")</f>
        <v>889840.28874113306</v>
      </c>
      <c r="F302" s="298">
        <f>IFERROR(IF(Loan_Not_Paid*Values_Entered,Principal,""), "")</f>
        <v>680175.50194650085</v>
      </c>
      <c r="G302" s="298">
        <f>IFERROR(IF(Loan_Not_Paid*Values_Entered,Interest,""), "")</f>
        <v>209664.78679463232</v>
      </c>
      <c r="H302" s="298">
        <f>IFERROR(IF(Loan_Not_Paid*Values_Entered,Ending_Balance,""), "")</f>
        <v>58519293.710648954</v>
      </c>
    </row>
    <row r="303" spans="2:8">
      <c r="B303" s="300">
        <f>IFERROR(IF(Loan_Not_Paid*Values_Entered,Payment_Number,""), "")</f>
        <v>286</v>
      </c>
      <c r="C303" s="299"/>
      <c r="D303" s="298">
        <f>IFERROR(IF(Loan_Not_Paid*Values_Entered,Beginning_Balance,""), "")</f>
        <v>58519293.710648954</v>
      </c>
      <c r="E303" s="298">
        <f>IFERROR(IF(Loan_Not_Paid*Values_Entered,Monthly_Payment,""), "")</f>
        <v>889840.28874113306</v>
      </c>
      <c r="F303" s="298">
        <f>IFERROR(IF(Loan_Not_Paid*Values_Entered,Principal,""), "")</f>
        <v>682584.45684922789</v>
      </c>
      <c r="G303" s="298">
        <f>IFERROR(IF(Loan_Not_Paid*Values_Entered,Interest,""), "")</f>
        <v>207255.83189190511</v>
      </c>
      <c r="H303" s="298">
        <f>IFERROR(IF(Loan_Not_Paid*Values_Entered,Ending_Balance,""), "")</f>
        <v>57836709.253799677</v>
      </c>
    </row>
    <row r="304" spans="2:8">
      <c r="B304" s="300">
        <f>IFERROR(IF(Loan_Not_Paid*Values_Entered,Payment_Number,""), "")</f>
        <v>287</v>
      </c>
      <c r="C304" s="299"/>
      <c r="D304" s="298">
        <f>IFERROR(IF(Loan_Not_Paid*Values_Entered,Beginning_Balance,""), "")</f>
        <v>57836709.253799677</v>
      </c>
      <c r="E304" s="298">
        <f>IFERROR(IF(Loan_Not_Paid*Values_Entered,Monthly_Payment,""), "")</f>
        <v>889840.28874113306</v>
      </c>
      <c r="F304" s="298">
        <f>IFERROR(IF(Loan_Not_Paid*Values_Entered,Principal,""), "")</f>
        <v>685001.94346723554</v>
      </c>
      <c r="G304" s="298">
        <f>IFERROR(IF(Loan_Not_Paid*Values_Entered,Interest,""), "")</f>
        <v>204838.34527389743</v>
      </c>
      <c r="H304" s="298">
        <f>IFERROR(IF(Loan_Not_Paid*Values_Entered,Ending_Balance,""), "")</f>
        <v>57151707.310332358</v>
      </c>
    </row>
    <row r="305" spans="2:8">
      <c r="B305" s="300">
        <f>IFERROR(IF(Loan_Not_Paid*Values_Entered,Payment_Number,""), "")</f>
        <v>288</v>
      </c>
      <c r="C305" s="299"/>
      <c r="D305" s="298">
        <f>IFERROR(IF(Loan_Not_Paid*Values_Entered,Beginning_Balance,""), "")</f>
        <v>57151707.310332358</v>
      </c>
      <c r="E305" s="298">
        <f>IFERROR(IF(Loan_Not_Paid*Values_Entered,Monthly_Payment,""), "")</f>
        <v>889840.28874113306</v>
      </c>
      <c r="F305" s="298">
        <f>IFERROR(IF(Loan_Not_Paid*Values_Entered,Principal,""), "")</f>
        <v>687427.99201701547</v>
      </c>
      <c r="G305" s="298">
        <f>IFERROR(IF(Loan_Not_Paid*Values_Entered,Interest,""), "")</f>
        <v>202412.29672411765</v>
      </c>
      <c r="H305" s="298">
        <f>IFERROR(IF(Loan_Not_Paid*Values_Entered,Ending_Balance,""), "")</f>
        <v>56464279.318315327</v>
      </c>
    </row>
    <row r="306" spans="2:8">
      <c r="B306" s="300">
        <f>IFERROR(IF(Loan_Not_Paid*Values_Entered,Payment_Number,""), "")</f>
        <v>289</v>
      </c>
      <c r="C306" s="299"/>
      <c r="D306" s="298">
        <f>IFERROR(IF(Loan_Not_Paid*Values_Entered,Beginning_Balance,""), "")</f>
        <v>56464279.318315327</v>
      </c>
      <c r="E306" s="298">
        <f>IFERROR(IF(Loan_Not_Paid*Values_Entered,Monthly_Payment,""), "")</f>
        <v>889840.28874113306</v>
      </c>
      <c r="F306" s="298">
        <f>IFERROR(IF(Loan_Not_Paid*Values_Entered,Principal,""), "")</f>
        <v>689862.63282207563</v>
      </c>
      <c r="G306" s="298">
        <f>IFERROR(IF(Loan_Not_Paid*Values_Entered,Interest,""), "")</f>
        <v>199977.65591905738</v>
      </c>
      <c r="H306" s="298">
        <f>IFERROR(IF(Loan_Not_Paid*Values_Entered,Ending_Balance,""), "")</f>
        <v>55774416.685493171</v>
      </c>
    </row>
    <row r="307" spans="2:8">
      <c r="B307" s="300">
        <f>IFERROR(IF(Loan_Not_Paid*Values_Entered,Payment_Number,""), "")</f>
        <v>290</v>
      </c>
      <c r="C307" s="299"/>
      <c r="D307" s="298">
        <f>IFERROR(IF(Loan_Not_Paid*Values_Entered,Beginning_Balance,""), "")</f>
        <v>55774416.685493171</v>
      </c>
      <c r="E307" s="298">
        <f>IFERROR(IF(Loan_Not_Paid*Values_Entered,Monthly_Payment,""), "")</f>
        <v>889840.28874113306</v>
      </c>
      <c r="F307" s="298">
        <f>IFERROR(IF(Loan_Not_Paid*Values_Entered,Principal,""), "")</f>
        <v>692305.89631332061</v>
      </c>
      <c r="G307" s="298">
        <f>IFERROR(IF(Loan_Not_Paid*Values_Entered,Interest,""), "")</f>
        <v>197534.39242781256</v>
      </c>
      <c r="H307" s="298">
        <f>IFERROR(IF(Loan_Not_Paid*Values_Entered,Ending_Balance,""), "")</f>
        <v>55082110.789179862</v>
      </c>
    </row>
    <row r="308" spans="2:8">
      <c r="B308" s="300">
        <f>IFERROR(IF(Loan_Not_Paid*Values_Entered,Payment_Number,""), "")</f>
        <v>291</v>
      </c>
      <c r="C308" s="299"/>
      <c r="D308" s="298">
        <f>IFERROR(IF(Loan_Not_Paid*Values_Entered,Beginning_Balance,""), "")</f>
        <v>55082110.789179862</v>
      </c>
      <c r="E308" s="298">
        <f>IFERROR(IF(Loan_Not_Paid*Values_Entered,Monthly_Payment,""), "")</f>
        <v>889840.28874113306</v>
      </c>
      <c r="F308" s="298">
        <f>IFERROR(IF(Loan_Not_Paid*Values_Entered,Principal,""), "")</f>
        <v>694757.81302943022</v>
      </c>
      <c r="G308" s="298">
        <f>IFERROR(IF(Loan_Not_Paid*Values_Entered,Interest,""), "")</f>
        <v>195082.47571170283</v>
      </c>
      <c r="H308" s="298">
        <f>IFERROR(IF(Loan_Not_Paid*Values_Entered,Ending_Balance,""), "")</f>
        <v>54387352.976150334</v>
      </c>
    </row>
    <row r="309" spans="2:8">
      <c r="B309" s="300">
        <f>IFERROR(IF(Loan_Not_Paid*Values_Entered,Payment_Number,""), "")</f>
        <v>292</v>
      </c>
      <c r="C309" s="299"/>
      <c r="D309" s="298">
        <f>IFERROR(IF(Loan_Not_Paid*Values_Entered,Beginning_Balance,""), "")</f>
        <v>54387352.976150334</v>
      </c>
      <c r="E309" s="298">
        <f>IFERROR(IF(Loan_Not_Paid*Values_Entered,Monthly_Payment,""), "")</f>
        <v>889840.28874113306</v>
      </c>
      <c r="F309" s="298">
        <f>IFERROR(IF(Loan_Not_Paid*Values_Entered,Principal,""), "")</f>
        <v>697218.41361724283</v>
      </c>
      <c r="G309" s="298">
        <f>IFERROR(IF(Loan_Not_Paid*Values_Entered,Interest,""), "")</f>
        <v>192621.87512389026</v>
      </c>
      <c r="H309" s="298">
        <f>IFERROR(IF(Loan_Not_Paid*Values_Entered,Ending_Balance,""), "")</f>
        <v>53690134.562533081</v>
      </c>
    </row>
    <row r="310" spans="2:8">
      <c r="B310" s="300">
        <f>IFERROR(IF(Loan_Not_Paid*Values_Entered,Payment_Number,""), "")</f>
        <v>293</v>
      </c>
      <c r="C310" s="299"/>
      <c r="D310" s="298">
        <f>IFERROR(IF(Loan_Not_Paid*Values_Entered,Beginning_Balance,""), "")</f>
        <v>53690134.562533081</v>
      </c>
      <c r="E310" s="298">
        <f>IFERROR(IF(Loan_Not_Paid*Values_Entered,Monthly_Payment,""), "")</f>
        <v>889840.28874113306</v>
      </c>
      <c r="F310" s="298">
        <f>IFERROR(IF(Loan_Not_Paid*Values_Entered,Principal,""), "")</f>
        <v>699687.72883213731</v>
      </c>
      <c r="G310" s="298">
        <f>IFERROR(IF(Loan_Not_Paid*Values_Entered,Interest,""), "")</f>
        <v>190152.55990899584</v>
      </c>
      <c r="H310" s="298">
        <f>IFERROR(IF(Loan_Not_Paid*Values_Entered,Ending_Balance,""), "")</f>
        <v>52990446.833700836</v>
      </c>
    </row>
    <row r="311" spans="2:8">
      <c r="B311" s="300">
        <f>IFERROR(IF(Loan_Not_Paid*Values_Entered,Payment_Number,""), "")</f>
        <v>294</v>
      </c>
      <c r="C311" s="299"/>
      <c r="D311" s="298">
        <f>IFERROR(IF(Loan_Not_Paid*Values_Entered,Beginning_Balance,""), "")</f>
        <v>52990446.833700836</v>
      </c>
      <c r="E311" s="298">
        <f>IFERROR(IF(Loan_Not_Paid*Values_Entered,Monthly_Payment,""), "")</f>
        <v>889840.28874113306</v>
      </c>
      <c r="F311" s="298">
        <f>IFERROR(IF(Loan_Not_Paid*Values_Entered,Principal,""), "")</f>
        <v>702165.78953841771</v>
      </c>
      <c r="G311" s="298">
        <f>IFERROR(IF(Loan_Not_Paid*Values_Entered,Interest,""), "")</f>
        <v>187674.49920271538</v>
      </c>
      <c r="H311" s="298">
        <f>IFERROR(IF(Loan_Not_Paid*Values_Entered,Ending_Balance,""), "")</f>
        <v>52288281.044162393</v>
      </c>
    </row>
    <row r="312" spans="2:8">
      <c r="B312" s="300">
        <f>IFERROR(IF(Loan_Not_Paid*Values_Entered,Payment_Number,""), "")</f>
        <v>295</v>
      </c>
      <c r="C312" s="299"/>
      <c r="D312" s="298">
        <f>IFERROR(IF(Loan_Not_Paid*Values_Entered,Beginning_Balance,""), "")</f>
        <v>52288281.044162393</v>
      </c>
      <c r="E312" s="298">
        <f>IFERROR(IF(Loan_Not_Paid*Values_Entered,Monthly_Payment,""), "")</f>
        <v>889840.28874113306</v>
      </c>
      <c r="F312" s="298">
        <f>IFERROR(IF(Loan_Not_Paid*Values_Entered,Principal,""), "")</f>
        <v>704652.62670969963</v>
      </c>
      <c r="G312" s="298">
        <f>IFERROR(IF(Loan_Not_Paid*Values_Entered,Interest,""), "")</f>
        <v>185187.66203143352</v>
      </c>
      <c r="H312" s="298">
        <f>IFERROR(IF(Loan_Not_Paid*Values_Entered,Ending_Balance,""), "")</f>
        <v>51583628.417452633</v>
      </c>
    </row>
    <row r="313" spans="2:8">
      <c r="B313" s="300">
        <f>IFERROR(IF(Loan_Not_Paid*Values_Entered,Payment_Number,""), "")</f>
        <v>296</v>
      </c>
      <c r="C313" s="299"/>
      <c r="D313" s="298">
        <f>IFERROR(IF(Loan_Not_Paid*Values_Entered,Beginning_Balance,""), "")</f>
        <v>51583628.417452633</v>
      </c>
      <c r="E313" s="298">
        <f>IFERROR(IF(Loan_Not_Paid*Values_Entered,Monthly_Payment,""), "")</f>
        <v>889840.28874113306</v>
      </c>
      <c r="F313" s="298">
        <f>IFERROR(IF(Loan_Not_Paid*Values_Entered,Principal,""), "")</f>
        <v>707148.27142929647</v>
      </c>
      <c r="G313" s="298">
        <f>IFERROR(IF(Loan_Not_Paid*Values_Entered,Interest,""), "")</f>
        <v>182692.01731183662</v>
      </c>
      <c r="H313" s="298">
        <f>IFERROR(IF(Loan_Not_Paid*Values_Entered,Ending_Balance,""), "")</f>
        <v>50876480.146023273</v>
      </c>
    </row>
    <row r="314" spans="2:8">
      <c r="B314" s="300">
        <f>IFERROR(IF(Loan_Not_Paid*Values_Entered,Payment_Number,""), "")</f>
        <v>297</v>
      </c>
      <c r="C314" s="299"/>
      <c r="D314" s="298">
        <f>IFERROR(IF(Loan_Not_Paid*Values_Entered,Beginning_Balance,""), "")</f>
        <v>50876480.146023273</v>
      </c>
      <c r="E314" s="298">
        <f>IFERROR(IF(Loan_Not_Paid*Values_Entered,Monthly_Payment,""), "")</f>
        <v>889840.28874113306</v>
      </c>
      <c r="F314" s="298">
        <f>IFERROR(IF(Loan_Not_Paid*Values_Entered,Principal,""), "")</f>
        <v>709652.7548906086</v>
      </c>
      <c r="G314" s="298">
        <f>IFERROR(IF(Loan_Not_Paid*Values_Entered,Interest,""), "")</f>
        <v>180187.53385052455</v>
      </c>
      <c r="H314" s="298">
        <f>IFERROR(IF(Loan_Not_Paid*Values_Entered,Ending_Balance,""), "")</f>
        <v>50166827.391132653</v>
      </c>
    </row>
    <row r="315" spans="2:8">
      <c r="B315" s="300">
        <f>IFERROR(IF(Loan_Not_Paid*Values_Entered,Payment_Number,""), "")</f>
        <v>298</v>
      </c>
      <c r="C315" s="299"/>
      <c r="D315" s="298">
        <f>IFERROR(IF(Loan_Not_Paid*Values_Entered,Beginning_Balance,""), "")</f>
        <v>50166827.391132653</v>
      </c>
      <c r="E315" s="298">
        <f>IFERROR(IF(Loan_Not_Paid*Values_Entered,Monthly_Payment,""), "")</f>
        <v>889840.28874113306</v>
      </c>
      <c r="F315" s="298">
        <f>IFERROR(IF(Loan_Not_Paid*Values_Entered,Principal,""), "")</f>
        <v>712166.1083975127</v>
      </c>
      <c r="G315" s="298">
        <f>IFERROR(IF(Loan_Not_Paid*Values_Entered,Interest,""), "")</f>
        <v>177674.1803436203</v>
      </c>
      <c r="H315" s="298">
        <f>IFERROR(IF(Loan_Not_Paid*Values_Entered,Ending_Balance,""), "")</f>
        <v>49454661.28273505</v>
      </c>
    </row>
    <row r="316" spans="2:8">
      <c r="B316" s="300">
        <f>IFERROR(IF(Loan_Not_Paid*Values_Entered,Payment_Number,""), "")</f>
        <v>299</v>
      </c>
      <c r="C316" s="299"/>
      <c r="D316" s="298">
        <f>IFERROR(IF(Loan_Not_Paid*Values_Entered,Beginning_Balance,""), "")</f>
        <v>49454661.28273505</v>
      </c>
      <c r="E316" s="298">
        <f>IFERROR(IF(Loan_Not_Paid*Values_Entered,Monthly_Payment,""), "")</f>
        <v>889840.28874113306</v>
      </c>
      <c r="F316" s="298">
        <f>IFERROR(IF(Loan_Not_Paid*Values_Entered,Principal,""), "")</f>
        <v>714688.36336475401</v>
      </c>
      <c r="G316" s="298">
        <f>IFERROR(IF(Loan_Not_Paid*Values_Entered,Interest,""), "")</f>
        <v>175151.92537637913</v>
      </c>
      <c r="H316" s="298">
        <f>IFERROR(IF(Loan_Not_Paid*Values_Entered,Ending_Balance,""), "")</f>
        <v>48739972.919370294</v>
      </c>
    </row>
    <row r="317" spans="2:8">
      <c r="B317" s="300">
        <f>IFERROR(IF(Loan_Not_Paid*Values_Entered,Payment_Number,""), "")</f>
        <v>300</v>
      </c>
      <c r="C317" s="299"/>
      <c r="D317" s="298">
        <f>IFERROR(IF(Loan_Not_Paid*Values_Entered,Beginning_Balance,""), "")</f>
        <v>48739972.919370294</v>
      </c>
      <c r="E317" s="298">
        <f>IFERROR(IF(Loan_Not_Paid*Values_Entered,Monthly_Payment,""), "")</f>
        <v>889840.28874113306</v>
      </c>
      <c r="F317" s="298">
        <f>IFERROR(IF(Loan_Not_Paid*Values_Entered,Principal,""), "")</f>
        <v>717219.55131833744</v>
      </c>
      <c r="G317" s="298">
        <f>IFERROR(IF(Loan_Not_Paid*Values_Entered,Interest,""), "")</f>
        <v>172620.73742279565</v>
      </c>
      <c r="H317" s="298">
        <f>IFERROR(IF(Loan_Not_Paid*Values_Entered,Ending_Balance,""), "")</f>
        <v>48022753.368051887</v>
      </c>
    </row>
    <row r="318" spans="2:8">
      <c r="B318" s="300">
        <f>IFERROR(IF(Loan_Not_Paid*Values_Entered,Payment_Number,""), "")</f>
        <v>301</v>
      </c>
      <c r="C318" s="299"/>
      <c r="D318" s="298">
        <f>IFERROR(IF(Loan_Not_Paid*Values_Entered,Beginning_Balance,""), "")</f>
        <v>48022753.368051887</v>
      </c>
      <c r="E318" s="298">
        <f>IFERROR(IF(Loan_Not_Paid*Values_Entered,Monthly_Payment,""), "")</f>
        <v>889840.28874113306</v>
      </c>
      <c r="F318" s="298">
        <f>IFERROR(IF(Loan_Not_Paid*Values_Entered,Principal,""), "")</f>
        <v>719759.70389592322</v>
      </c>
      <c r="G318" s="298">
        <f>IFERROR(IF(Loan_Not_Paid*Values_Entered,Interest,""), "")</f>
        <v>170080.58484520981</v>
      </c>
      <c r="H318" s="298">
        <f>IFERROR(IF(Loan_Not_Paid*Values_Entered,Ending_Balance,""), "")</f>
        <v>47302993.6641559</v>
      </c>
    </row>
    <row r="319" spans="2:8">
      <c r="B319" s="300">
        <f>IFERROR(IF(Loan_Not_Paid*Values_Entered,Payment_Number,""), "")</f>
        <v>302</v>
      </c>
      <c r="C319" s="299"/>
      <c r="D319" s="298">
        <f>IFERROR(IF(Loan_Not_Paid*Values_Entered,Beginning_Balance,""), "")</f>
        <v>47302993.6641559</v>
      </c>
      <c r="E319" s="298">
        <f>IFERROR(IF(Loan_Not_Paid*Values_Entered,Monthly_Payment,""), "")</f>
        <v>889840.28874113306</v>
      </c>
      <c r="F319" s="298">
        <f>IFERROR(IF(Loan_Not_Paid*Values_Entered,Principal,""), "")</f>
        <v>722308.85284722131</v>
      </c>
      <c r="G319" s="298">
        <f>IFERROR(IF(Loan_Not_Paid*Values_Entered,Interest,""), "")</f>
        <v>167531.43589391181</v>
      </c>
      <c r="H319" s="298">
        <f>IFERROR(IF(Loan_Not_Paid*Values_Entered,Ending_Balance,""), "")</f>
        <v>46580684.811308563</v>
      </c>
    </row>
    <row r="320" spans="2:8">
      <c r="B320" s="300">
        <f>IFERROR(IF(Loan_Not_Paid*Values_Entered,Payment_Number,""), "")</f>
        <v>303</v>
      </c>
      <c r="C320" s="299"/>
      <c r="D320" s="298">
        <f>IFERROR(IF(Loan_Not_Paid*Values_Entered,Beginning_Balance,""), "")</f>
        <v>46580684.811308563</v>
      </c>
      <c r="E320" s="298">
        <f>IFERROR(IF(Loan_Not_Paid*Values_Entered,Monthly_Payment,""), "")</f>
        <v>889840.28874113306</v>
      </c>
      <c r="F320" s="298">
        <f>IFERROR(IF(Loan_Not_Paid*Values_Entered,Principal,""), "")</f>
        <v>724867.03003438853</v>
      </c>
      <c r="G320" s="298">
        <f>IFERROR(IF(Loan_Not_Paid*Values_Entered,Interest,""), "")</f>
        <v>164973.25870674453</v>
      </c>
      <c r="H320" s="298">
        <f>IFERROR(IF(Loan_Not_Paid*Values_Entered,Ending_Balance,""), "")</f>
        <v>45855817.781274199</v>
      </c>
    </row>
    <row r="321" spans="2:8">
      <c r="B321" s="300">
        <f>IFERROR(IF(Loan_Not_Paid*Values_Entered,Payment_Number,""), "")</f>
        <v>304</v>
      </c>
      <c r="C321" s="299"/>
      <c r="D321" s="298">
        <f>IFERROR(IF(Loan_Not_Paid*Values_Entered,Beginning_Balance,""), "")</f>
        <v>45855817.781274199</v>
      </c>
      <c r="E321" s="298">
        <f>IFERROR(IF(Loan_Not_Paid*Values_Entered,Monthly_Payment,""), "")</f>
        <v>889840.28874113306</v>
      </c>
      <c r="F321" s="298">
        <f>IFERROR(IF(Loan_Not_Paid*Values_Entered,Principal,""), "")</f>
        <v>727434.26743242703</v>
      </c>
      <c r="G321" s="298">
        <f>IFERROR(IF(Loan_Not_Paid*Values_Entered,Interest,""), "")</f>
        <v>162406.02130870605</v>
      </c>
      <c r="H321" s="298">
        <f>IFERROR(IF(Loan_Not_Paid*Values_Entered,Ending_Balance,""), "")</f>
        <v>45128383.513841748</v>
      </c>
    </row>
    <row r="322" spans="2:8">
      <c r="B322" s="300">
        <f>IFERROR(IF(Loan_Not_Paid*Values_Entered,Payment_Number,""), "")</f>
        <v>305</v>
      </c>
      <c r="C322" s="299"/>
      <c r="D322" s="298">
        <f>IFERROR(IF(Loan_Not_Paid*Values_Entered,Beginning_Balance,""), "")</f>
        <v>45128383.513841748</v>
      </c>
      <c r="E322" s="298">
        <f>IFERROR(IF(Loan_Not_Paid*Values_Entered,Monthly_Payment,""), "")</f>
        <v>889840.28874113306</v>
      </c>
      <c r="F322" s="298">
        <f>IFERROR(IF(Loan_Not_Paid*Values_Entered,Principal,""), "")</f>
        <v>730010.59712958359</v>
      </c>
      <c r="G322" s="298">
        <f>IFERROR(IF(Loan_Not_Paid*Values_Entered,Interest,""), "")</f>
        <v>159829.69161154956</v>
      </c>
      <c r="H322" s="298">
        <f>IFERROR(IF(Loan_Not_Paid*Values_Entered,Ending_Balance,""), "")</f>
        <v>44398372.916712165</v>
      </c>
    </row>
    <row r="323" spans="2:8">
      <c r="B323" s="300">
        <f>IFERROR(IF(Loan_Not_Paid*Values_Entered,Payment_Number,""), "")</f>
        <v>306</v>
      </c>
      <c r="C323" s="299"/>
      <c r="D323" s="298">
        <f>IFERROR(IF(Loan_Not_Paid*Values_Entered,Beginning_Balance,""), "")</f>
        <v>44398372.916712165</v>
      </c>
      <c r="E323" s="298">
        <f>IFERROR(IF(Loan_Not_Paid*Values_Entered,Monthly_Payment,""), "")</f>
        <v>889840.28874113306</v>
      </c>
      <c r="F323" s="298">
        <f>IFERROR(IF(Loan_Not_Paid*Values_Entered,Principal,""), "")</f>
        <v>732596.05132775079</v>
      </c>
      <c r="G323" s="298">
        <f>IFERROR(IF(Loan_Not_Paid*Values_Entered,Interest,""), "")</f>
        <v>157244.23741338227</v>
      </c>
      <c r="H323" s="298">
        <f>IFERROR(IF(Loan_Not_Paid*Values_Entered,Ending_Balance,""), "")</f>
        <v>43665776.86538434</v>
      </c>
    </row>
    <row r="324" spans="2:8">
      <c r="B324" s="300">
        <f>IFERROR(IF(Loan_Not_Paid*Values_Entered,Payment_Number,""), "")</f>
        <v>307</v>
      </c>
      <c r="C324" s="299"/>
      <c r="D324" s="298">
        <f>IFERROR(IF(Loan_Not_Paid*Values_Entered,Beginning_Balance,""), "")</f>
        <v>43665776.86538434</v>
      </c>
      <c r="E324" s="298">
        <f>IFERROR(IF(Loan_Not_Paid*Values_Entered,Monthly_Payment,""), "")</f>
        <v>889840.28874113306</v>
      </c>
      <c r="F324" s="298">
        <f>IFERROR(IF(Loan_Not_Paid*Values_Entered,Principal,""), "")</f>
        <v>735190.66234286991</v>
      </c>
      <c r="G324" s="298">
        <f>IFERROR(IF(Loan_Not_Paid*Values_Entered,Interest,""), "")</f>
        <v>154649.62639826315</v>
      </c>
      <c r="H324" s="298">
        <f>IFERROR(IF(Loan_Not_Paid*Values_Entered,Ending_Balance,""), "")</f>
        <v>42930586.203041434</v>
      </c>
    </row>
    <row r="325" spans="2:8">
      <c r="B325" s="300">
        <f>IFERROR(IF(Loan_Not_Paid*Values_Entered,Payment_Number,""), "")</f>
        <v>308</v>
      </c>
      <c r="C325" s="299"/>
      <c r="D325" s="298">
        <f>IFERROR(IF(Loan_Not_Paid*Values_Entered,Beginning_Balance,""), "")</f>
        <v>42930586.203041434</v>
      </c>
      <c r="E325" s="298">
        <f>IFERROR(IF(Loan_Not_Paid*Values_Entered,Monthly_Payment,""), "")</f>
        <v>889840.28874113306</v>
      </c>
      <c r="F325" s="298">
        <f>IFERROR(IF(Loan_Not_Paid*Values_Entered,Principal,""), "")</f>
        <v>737794.46260533435</v>
      </c>
      <c r="G325" s="298">
        <f>IFERROR(IF(Loan_Not_Paid*Values_Entered,Interest,""), "")</f>
        <v>152045.82613579879</v>
      </c>
      <c r="H325" s="298">
        <f>IFERROR(IF(Loan_Not_Paid*Values_Entered,Ending_Balance,""), "")</f>
        <v>42192791.740436018</v>
      </c>
    </row>
    <row r="326" spans="2:8">
      <c r="B326" s="300">
        <f>IFERROR(IF(Loan_Not_Paid*Values_Entered,Payment_Number,""), "")</f>
        <v>309</v>
      </c>
      <c r="C326" s="299"/>
      <c r="D326" s="298">
        <f>IFERROR(IF(Loan_Not_Paid*Values_Entered,Beginning_Balance,""), "")</f>
        <v>42192791.740436018</v>
      </c>
      <c r="E326" s="298">
        <f>IFERROR(IF(Loan_Not_Paid*Values_Entered,Monthly_Payment,""), "")</f>
        <v>889840.28874113306</v>
      </c>
      <c r="F326" s="298">
        <f>IFERROR(IF(Loan_Not_Paid*Values_Entered,Principal,""), "")</f>
        <v>740407.48466039484</v>
      </c>
      <c r="G326" s="298">
        <f>IFERROR(IF(Loan_Not_Paid*Values_Entered,Interest,""), "")</f>
        <v>149432.80408073825</v>
      </c>
      <c r="H326" s="298">
        <f>IFERROR(IF(Loan_Not_Paid*Values_Entered,Ending_Balance,""), "")</f>
        <v>41452384.255775511</v>
      </c>
    </row>
    <row r="327" spans="2:8">
      <c r="B327" s="300">
        <f>IFERROR(IF(Loan_Not_Paid*Values_Entered,Payment_Number,""), "")</f>
        <v>310</v>
      </c>
      <c r="C327" s="299"/>
      <c r="D327" s="298">
        <f>IFERROR(IF(Loan_Not_Paid*Values_Entered,Beginning_Balance,""), "")</f>
        <v>41452384.255775511</v>
      </c>
      <c r="E327" s="298">
        <f>IFERROR(IF(Loan_Not_Paid*Values_Entered,Monthly_Payment,""), "")</f>
        <v>889840.28874113306</v>
      </c>
      <c r="F327" s="298">
        <f>IFERROR(IF(Loan_Not_Paid*Values_Entered,Principal,""), "")</f>
        <v>743029.761168567</v>
      </c>
      <c r="G327" s="298">
        <f>IFERROR(IF(Loan_Not_Paid*Values_Entered,Interest,""), "")</f>
        <v>146810.527572566</v>
      </c>
      <c r="H327" s="298">
        <f>IFERROR(IF(Loan_Not_Paid*Values_Entered,Ending_Balance,""), "")</f>
        <v>40709354.494606912</v>
      </c>
    </row>
    <row r="328" spans="2:8">
      <c r="B328" s="300">
        <f>IFERROR(IF(Loan_Not_Paid*Values_Entered,Payment_Number,""), "")</f>
        <v>311</v>
      </c>
      <c r="C328" s="299"/>
      <c r="D328" s="298">
        <f>IFERROR(IF(Loan_Not_Paid*Values_Entered,Beginning_Balance,""), "")</f>
        <v>40709354.494606912</v>
      </c>
      <c r="E328" s="298">
        <f>IFERROR(IF(Loan_Not_Paid*Values_Entered,Monthly_Payment,""), "")</f>
        <v>889840.28874113306</v>
      </c>
      <c r="F328" s="298">
        <f>IFERROR(IF(Loan_Not_Paid*Values_Entered,Principal,""), "")</f>
        <v>745661.32490603905</v>
      </c>
      <c r="G328" s="298">
        <f>IFERROR(IF(Loan_Not_Paid*Values_Entered,Interest,""), "")</f>
        <v>144178.96383509401</v>
      </c>
      <c r="H328" s="298">
        <f>IFERROR(IF(Loan_Not_Paid*Values_Entered,Ending_Balance,""), "")</f>
        <v>39963693.169700742</v>
      </c>
    </row>
    <row r="329" spans="2:8">
      <c r="B329" s="300">
        <f>IFERROR(IF(Loan_Not_Paid*Values_Entered,Payment_Number,""), "")</f>
        <v>312</v>
      </c>
      <c r="C329" s="299"/>
      <c r="D329" s="298">
        <f>IFERROR(IF(Loan_Not_Paid*Values_Entered,Beginning_Balance,""), "")</f>
        <v>39963693.169700742</v>
      </c>
      <c r="E329" s="298">
        <f>IFERROR(IF(Loan_Not_Paid*Values_Entered,Monthly_Payment,""), "")</f>
        <v>889840.28874113306</v>
      </c>
      <c r="F329" s="298">
        <f>IFERROR(IF(Loan_Not_Paid*Values_Entered,Principal,""), "")</f>
        <v>748302.20876508136</v>
      </c>
      <c r="G329" s="298">
        <f>IFERROR(IF(Loan_Not_Paid*Values_Entered,Interest,""), "")</f>
        <v>141538.07997605181</v>
      </c>
      <c r="H329" s="298">
        <f>IFERROR(IF(Loan_Not_Paid*Values_Entered,Ending_Balance,""), "")</f>
        <v>39215390.960935771</v>
      </c>
    </row>
    <row r="330" spans="2:8">
      <c r="B330" s="300">
        <f>IFERROR(IF(Loan_Not_Paid*Values_Entered,Payment_Number,""), "")</f>
        <v>313</v>
      </c>
      <c r="C330" s="299"/>
      <c r="D330" s="298">
        <f>IFERROR(IF(Loan_Not_Paid*Values_Entered,Beginning_Balance,""), "")</f>
        <v>39215390.960935771</v>
      </c>
      <c r="E330" s="298">
        <f>IFERROR(IF(Loan_Not_Paid*Values_Entered,Monthly_Payment,""), "")</f>
        <v>889840.28874113306</v>
      </c>
      <c r="F330" s="298">
        <f>IFERROR(IF(Loan_Not_Paid*Values_Entered,Principal,""), "")</f>
        <v>750952.44575445773</v>
      </c>
      <c r="G330" s="298">
        <f>IFERROR(IF(Loan_Not_Paid*Values_Entered,Interest,""), "")</f>
        <v>138887.84298667547</v>
      </c>
      <c r="H330" s="298">
        <f>IFERROR(IF(Loan_Not_Paid*Values_Entered,Ending_Balance,""), "")</f>
        <v>38464438.515181184</v>
      </c>
    </row>
    <row r="331" spans="2:8">
      <c r="B331" s="300">
        <f>IFERROR(IF(Loan_Not_Paid*Values_Entered,Payment_Number,""), "")</f>
        <v>314</v>
      </c>
      <c r="C331" s="299"/>
      <c r="D331" s="298">
        <f>IFERROR(IF(Loan_Not_Paid*Values_Entered,Beginning_Balance,""), "")</f>
        <v>38464438.515181184</v>
      </c>
      <c r="E331" s="298">
        <f>IFERROR(IF(Loan_Not_Paid*Values_Entered,Monthly_Payment,""), "")</f>
        <v>889840.28874113306</v>
      </c>
      <c r="F331" s="298">
        <f>IFERROR(IF(Loan_Not_Paid*Values_Entered,Principal,""), "")</f>
        <v>753612.06899983797</v>
      </c>
      <c r="G331" s="298">
        <f>IFERROR(IF(Loan_Not_Paid*Values_Entered,Interest,""), "")</f>
        <v>136228.21974129509</v>
      </c>
      <c r="H331" s="298">
        <f>IFERROR(IF(Loan_Not_Paid*Values_Entered,Ending_Balance,""), "")</f>
        <v>37710826.446181297</v>
      </c>
    </row>
    <row r="332" spans="2:8">
      <c r="B332" s="300">
        <f>IFERROR(IF(Loan_Not_Paid*Values_Entered,Payment_Number,""), "")</f>
        <v>315</v>
      </c>
      <c r="C332" s="299"/>
      <c r="D332" s="298">
        <f>IFERROR(IF(Loan_Not_Paid*Values_Entered,Beginning_Balance,""), "")</f>
        <v>37710826.446181297</v>
      </c>
      <c r="E332" s="298">
        <f>IFERROR(IF(Loan_Not_Paid*Values_Entered,Monthly_Payment,""), "")</f>
        <v>889840.28874113306</v>
      </c>
      <c r="F332" s="298">
        <f>IFERROR(IF(Loan_Not_Paid*Values_Entered,Principal,""), "")</f>
        <v>756281.11174421234</v>
      </c>
      <c r="G332" s="298">
        <f>IFERROR(IF(Loan_Not_Paid*Values_Entered,Interest,""), "")</f>
        <v>133559.17699692069</v>
      </c>
      <c r="H332" s="298">
        <f>IFERROR(IF(Loan_Not_Paid*Values_Entered,Ending_Balance,""), "")</f>
        <v>36954545.334437072</v>
      </c>
    </row>
    <row r="333" spans="2:8">
      <c r="B333" s="300">
        <f>IFERROR(IF(Loan_Not_Paid*Values_Entered,Payment_Number,""), "")</f>
        <v>316</v>
      </c>
      <c r="C333" s="299"/>
      <c r="D333" s="298">
        <f>IFERROR(IF(Loan_Not_Paid*Values_Entered,Beginning_Balance,""), "")</f>
        <v>36954545.334437072</v>
      </c>
      <c r="E333" s="298">
        <f>IFERROR(IF(Loan_Not_Paid*Values_Entered,Monthly_Payment,""), "")</f>
        <v>889840.28874113306</v>
      </c>
      <c r="F333" s="298">
        <f>IFERROR(IF(Loan_Not_Paid*Values_Entered,Principal,""), "")</f>
        <v>758959.60734830657</v>
      </c>
      <c r="G333" s="298">
        <f>IFERROR(IF(Loan_Not_Paid*Values_Entered,Interest,""), "")</f>
        <v>130880.68139282658</v>
      </c>
      <c r="H333" s="298">
        <f>IFERROR(IF(Loan_Not_Paid*Values_Entered,Ending_Balance,""), "")</f>
        <v>36195585.72708863</v>
      </c>
    </row>
    <row r="334" spans="2:8">
      <c r="B334" s="300">
        <f>IFERROR(IF(Loan_Not_Paid*Values_Entered,Payment_Number,""), "")</f>
        <v>317</v>
      </c>
      <c r="C334" s="299"/>
      <c r="D334" s="298">
        <f>IFERROR(IF(Loan_Not_Paid*Values_Entered,Beginning_Balance,""), "")</f>
        <v>36195585.72708863</v>
      </c>
      <c r="E334" s="298">
        <f>IFERROR(IF(Loan_Not_Paid*Values_Entered,Monthly_Payment,""), "")</f>
        <v>889840.28874113306</v>
      </c>
      <c r="F334" s="298">
        <f>IFERROR(IF(Loan_Not_Paid*Values_Entered,Principal,""), "")</f>
        <v>761647.58929099841</v>
      </c>
      <c r="G334" s="298">
        <f>IFERROR(IF(Loan_Not_Paid*Values_Entered,Interest,""), "")</f>
        <v>128192.69945013465</v>
      </c>
      <c r="H334" s="298">
        <f>IFERROR(IF(Loan_Not_Paid*Values_Entered,Ending_Balance,""), "")</f>
        <v>35433938.137797654</v>
      </c>
    </row>
    <row r="335" spans="2:8">
      <c r="B335" s="300">
        <f>IFERROR(IF(Loan_Not_Paid*Values_Entered,Payment_Number,""), "")</f>
        <v>318</v>
      </c>
      <c r="C335" s="299"/>
      <c r="D335" s="298">
        <f>IFERROR(IF(Loan_Not_Paid*Values_Entered,Beginning_Balance,""), "")</f>
        <v>35433938.137797654</v>
      </c>
      <c r="E335" s="298">
        <f>IFERROR(IF(Loan_Not_Paid*Values_Entered,Monthly_Payment,""), "")</f>
        <v>889840.28874113306</v>
      </c>
      <c r="F335" s="298">
        <f>IFERROR(IF(Loan_Not_Paid*Values_Entered,Principal,""), "")</f>
        <v>764345.0911697374</v>
      </c>
      <c r="G335" s="298">
        <f>IFERROR(IF(Loan_Not_Paid*Values_Entered,Interest,""), "")</f>
        <v>125495.19757139569</v>
      </c>
      <c r="H335" s="298">
        <f>IFERROR(IF(Loan_Not_Paid*Values_Entered,Ending_Balance,""), "")</f>
        <v>34669593.04662782</v>
      </c>
    </row>
    <row r="336" spans="2:8">
      <c r="B336" s="300">
        <f>IFERROR(IF(Loan_Not_Paid*Values_Entered,Payment_Number,""), "")</f>
        <v>319</v>
      </c>
      <c r="C336" s="299"/>
      <c r="D336" s="298">
        <f>IFERROR(IF(Loan_Not_Paid*Values_Entered,Beginning_Balance,""), "")</f>
        <v>34669593.04662782</v>
      </c>
      <c r="E336" s="298">
        <f>IFERROR(IF(Loan_Not_Paid*Values_Entered,Monthly_Payment,""), "")</f>
        <v>889840.28874113306</v>
      </c>
      <c r="F336" s="298">
        <f>IFERROR(IF(Loan_Not_Paid*Values_Entered,Principal,""), "")</f>
        <v>767052.14670096349</v>
      </c>
      <c r="G336" s="298">
        <f>IFERROR(IF(Loan_Not_Paid*Values_Entered,Interest,""), "")</f>
        <v>122788.14204016955</v>
      </c>
      <c r="H336" s="298">
        <f>IFERROR(IF(Loan_Not_Paid*Values_Entered,Ending_Balance,""), "")</f>
        <v>33902540.899926782</v>
      </c>
    </row>
    <row r="337" spans="2:8">
      <c r="B337" s="300">
        <f>IFERROR(IF(Loan_Not_Paid*Values_Entered,Payment_Number,""), "")</f>
        <v>320</v>
      </c>
      <c r="C337" s="299"/>
      <c r="D337" s="298">
        <f>IFERROR(IF(Loan_Not_Paid*Values_Entered,Beginning_Balance,""), "")</f>
        <v>33902540.899926782</v>
      </c>
      <c r="E337" s="298">
        <f>IFERROR(IF(Loan_Not_Paid*Values_Entered,Monthly_Payment,""), "")</f>
        <v>889840.28874113306</v>
      </c>
      <c r="F337" s="298">
        <f>IFERROR(IF(Loan_Not_Paid*Values_Entered,Principal,""), "")</f>
        <v>769768.78972052946</v>
      </c>
      <c r="G337" s="298">
        <f>IFERROR(IF(Loan_Not_Paid*Values_Entered,Interest,""), "")</f>
        <v>120071.49902060363</v>
      </c>
      <c r="H337" s="298">
        <f>IFERROR(IF(Loan_Not_Paid*Values_Entered,Ending_Balance,""), "")</f>
        <v>33132772.110206187</v>
      </c>
    </row>
    <row r="338" spans="2:8">
      <c r="B338" s="300">
        <f>IFERROR(IF(Loan_Not_Paid*Values_Entered,Payment_Number,""), "")</f>
        <v>321</v>
      </c>
      <c r="C338" s="299"/>
      <c r="D338" s="298">
        <f>IFERROR(IF(Loan_Not_Paid*Values_Entered,Beginning_Balance,""), "")</f>
        <v>33132772.110206187</v>
      </c>
      <c r="E338" s="298">
        <f>IFERROR(IF(Loan_Not_Paid*Values_Entered,Monthly_Payment,""), "")</f>
        <v>889840.28874113306</v>
      </c>
      <c r="F338" s="298">
        <f>IFERROR(IF(Loan_Not_Paid*Values_Entered,Principal,""), "")</f>
        <v>772495.05418412294</v>
      </c>
      <c r="G338" s="298">
        <f>IFERROR(IF(Loan_Not_Paid*Values_Entered,Interest,""), "")</f>
        <v>117345.23455701012</v>
      </c>
      <c r="H338" s="298">
        <f>IFERROR(IF(Loan_Not_Paid*Values_Entered,Ending_Balance,""), "")</f>
        <v>32360277.056022048</v>
      </c>
    </row>
    <row r="339" spans="2:8">
      <c r="B339" s="300">
        <f>IFERROR(IF(Loan_Not_Paid*Values_Entered,Payment_Number,""), "")</f>
        <v>322</v>
      </c>
      <c r="C339" s="299"/>
      <c r="D339" s="298">
        <f>IFERROR(IF(Loan_Not_Paid*Values_Entered,Beginning_Balance,""), "")</f>
        <v>32360277.056022048</v>
      </c>
      <c r="E339" s="298">
        <f>IFERROR(IF(Loan_Not_Paid*Values_Entered,Monthly_Payment,""), "")</f>
        <v>889840.28874113306</v>
      </c>
      <c r="F339" s="298">
        <f>IFERROR(IF(Loan_Not_Paid*Values_Entered,Principal,""), "")</f>
        <v>775230.97416769178</v>
      </c>
      <c r="G339" s="298">
        <f>IFERROR(IF(Loan_Not_Paid*Values_Entered,Interest,""), "")</f>
        <v>114609.31457344134</v>
      </c>
      <c r="H339" s="298">
        <f>IFERROR(IF(Loan_Not_Paid*Values_Entered,Ending_Balance,""), "")</f>
        <v>31585046.081854284</v>
      </c>
    </row>
    <row r="340" spans="2:8">
      <c r="B340" s="300">
        <f>IFERROR(IF(Loan_Not_Paid*Values_Entered,Payment_Number,""), "")</f>
        <v>323</v>
      </c>
      <c r="C340" s="299"/>
      <c r="D340" s="298">
        <f>IFERROR(IF(Loan_Not_Paid*Values_Entered,Beginning_Balance,""), "")</f>
        <v>31585046.081854284</v>
      </c>
      <c r="E340" s="298">
        <f>IFERROR(IF(Loan_Not_Paid*Values_Entered,Monthly_Payment,""), "")</f>
        <v>889840.28874113306</v>
      </c>
      <c r="F340" s="298">
        <f>IFERROR(IF(Loan_Not_Paid*Values_Entered,Principal,""), "")</f>
        <v>777976.58386786911</v>
      </c>
      <c r="G340" s="298">
        <f>IFERROR(IF(Loan_Not_Paid*Values_Entered,Interest,""), "")</f>
        <v>111863.70487326411</v>
      </c>
      <c r="H340" s="298">
        <f>IFERROR(IF(Loan_Not_Paid*Values_Entered,Ending_Balance,""), "")</f>
        <v>30807069.497986317</v>
      </c>
    </row>
    <row r="341" spans="2:8">
      <c r="B341" s="300">
        <f>IFERROR(IF(Loan_Not_Paid*Values_Entered,Payment_Number,""), "")</f>
        <v>324</v>
      </c>
      <c r="C341" s="299"/>
      <c r="D341" s="298">
        <f>IFERROR(IF(Loan_Not_Paid*Values_Entered,Beginning_Balance,""), "")</f>
        <v>30807069.497986317</v>
      </c>
      <c r="E341" s="298">
        <f>IFERROR(IF(Loan_Not_Paid*Values_Entered,Monthly_Payment,""), "")</f>
        <v>889840.28874113306</v>
      </c>
      <c r="F341" s="298">
        <f>IFERROR(IF(Loan_Not_Paid*Values_Entered,Principal,""), "")</f>
        <v>780731.91760240099</v>
      </c>
      <c r="G341" s="298">
        <f>IFERROR(IF(Loan_Not_Paid*Values_Entered,Interest,""), "")</f>
        <v>109108.37113873207</v>
      </c>
      <c r="H341" s="298">
        <f>IFERROR(IF(Loan_Not_Paid*Values_Entered,Ending_Balance,""), "")</f>
        <v>30026337.580383897</v>
      </c>
    </row>
    <row r="342" spans="2:8">
      <c r="B342" s="300">
        <f>IFERROR(IF(Loan_Not_Paid*Values_Entered,Payment_Number,""), "")</f>
        <v>325</v>
      </c>
      <c r="C342" s="299"/>
      <c r="D342" s="298">
        <f>IFERROR(IF(Loan_Not_Paid*Values_Entered,Beginning_Balance,""), "")</f>
        <v>30026337.580383897</v>
      </c>
      <c r="E342" s="298">
        <f>IFERROR(IF(Loan_Not_Paid*Values_Entered,Monthly_Payment,""), "")</f>
        <v>889840.28874113306</v>
      </c>
      <c r="F342" s="298">
        <f>IFERROR(IF(Loan_Not_Paid*Values_Entered,Principal,""), "")</f>
        <v>783497.00981057622</v>
      </c>
      <c r="G342" s="298">
        <f>IFERROR(IF(Loan_Not_Paid*Values_Entered,Interest,""), "")</f>
        <v>106343.27893055689</v>
      </c>
      <c r="H342" s="298">
        <f>IFERROR(IF(Loan_Not_Paid*Values_Entered,Ending_Balance,""), "")</f>
        <v>29242840.570573211</v>
      </c>
    </row>
    <row r="343" spans="2:8">
      <c r="B343" s="300">
        <f>IFERROR(IF(Loan_Not_Paid*Values_Entered,Payment_Number,""), "")</f>
        <v>326</v>
      </c>
      <c r="C343" s="299"/>
      <c r="D343" s="298">
        <f>IFERROR(IF(Loan_Not_Paid*Values_Entered,Beginning_Balance,""), "")</f>
        <v>29242840.570573211</v>
      </c>
      <c r="E343" s="298">
        <f>IFERROR(IF(Loan_Not_Paid*Values_Entered,Monthly_Payment,""), "")</f>
        <v>889840.28874113306</v>
      </c>
      <c r="F343" s="298">
        <f>IFERROR(IF(Loan_Not_Paid*Values_Entered,Principal,""), "")</f>
        <v>786271.89505365537</v>
      </c>
      <c r="G343" s="298">
        <f>IFERROR(IF(Loan_Not_Paid*Values_Entered,Interest,""), "")</f>
        <v>103568.39368747776</v>
      </c>
      <c r="H343" s="298">
        <f>IFERROR(IF(Loan_Not_Paid*Values_Entered,Ending_Balance,""), "")</f>
        <v>28456568.675519586</v>
      </c>
    </row>
    <row r="344" spans="2:8">
      <c r="B344" s="300">
        <f>IFERROR(IF(Loan_Not_Paid*Values_Entered,Payment_Number,""), "")</f>
        <v>327</v>
      </c>
      <c r="C344" s="299"/>
      <c r="D344" s="298">
        <f>IFERROR(IF(Loan_Not_Paid*Values_Entered,Beginning_Balance,""), "")</f>
        <v>28456568.675519586</v>
      </c>
      <c r="E344" s="298">
        <f>IFERROR(IF(Loan_Not_Paid*Values_Entered,Monthly_Payment,""), "")</f>
        <v>889840.28874113306</v>
      </c>
      <c r="F344" s="298">
        <f>IFERROR(IF(Loan_Not_Paid*Values_Entered,Principal,""), "")</f>
        <v>789056.60801530373</v>
      </c>
      <c r="G344" s="298">
        <f>IFERROR(IF(Loan_Not_Paid*Values_Entered,Interest,""), "")</f>
        <v>100783.6807258294</v>
      </c>
      <c r="H344" s="298">
        <f>IFERROR(IF(Loan_Not_Paid*Values_Entered,Ending_Balance,""), "")</f>
        <v>27667512.067504168</v>
      </c>
    </row>
    <row r="345" spans="2:8">
      <c r="B345" s="300">
        <f>IFERROR(IF(Loan_Not_Paid*Values_Entered,Payment_Number,""), "")</f>
        <v>328</v>
      </c>
      <c r="C345" s="299"/>
      <c r="D345" s="298">
        <f>IFERROR(IF(Loan_Not_Paid*Values_Entered,Beginning_Balance,""), "")</f>
        <v>27667512.067504168</v>
      </c>
      <c r="E345" s="298">
        <f>IFERROR(IF(Loan_Not_Paid*Values_Entered,Monthly_Payment,""), "")</f>
        <v>889840.28874113306</v>
      </c>
      <c r="F345" s="298">
        <f>IFERROR(IF(Loan_Not_Paid*Values_Entered,Principal,""), "")</f>
        <v>791851.18350202451</v>
      </c>
      <c r="G345" s="298">
        <f>IFERROR(IF(Loan_Not_Paid*Values_Entered,Interest,""), "")</f>
        <v>97989.10523910854</v>
      </c>
      <c r="H345" s="298">
        <f>IFERROR(IF(Loan_Not_Paid*Values_Entered,Ending_Balance,""), "")</f>
        <v>26875660.88400209</v>
      </c>
    </row>
    <row r="346" spans="2:8">
      <c r="B346" s="300">
        <f>IFERROR(IF(Loan_Not_Paid*Values_Entered,Payment_Number,""), "")</f>
        <v>329</v>
      </c>
      <c r="C346" s="299"/>
      <c r="D346" s="298">
        <f>IFERROR(IF(Loan_Not_Paid*Values_Entered,Beginning_Balance,""), "")</f>
        <v>26875660.88400209</v>
      </c>
      <c r="E346" s="298">
        <f>IFERROR(IF(Loan_Not_Paid*Values_Entered,Monthly_Payment,""), "")</f>
        <v>889840.28874113306</v>
      </c>
      <c r="F346" s="298">
        <f>IFERROR(IF(Loan_Not_Paid*Values_Entered,Principal,""), "")</f>
        <v>794655.65644359426</v>
      </c>
      <c r="G346" s="298">
        <f>IFERROR(IF(Loan_Not_Paid*Values_Entered,Interest,""), "")</f>
        <v>95184.632297538861</v>
      </c>
      <c r="H346" s="298">
        <f>IFERROR(IF(Loan_Not_Paid*Values_Entered,Ending_Balance,""), "")</f>
        <v>26081005.227558494</v>
      </c>
    </row>
    <row r="347" spans="2:8">
      <c r="B347" s="300">
        <f>IFERROR(IF(Loan_Not_Paid*Values_Entered,Payment_Number,""), "")</f>
        <v>330</v>
      </c>
      <c r="C347" s="299"/>
      <c r="D347" s="298">
        <f>IFERROR(IF(Loan_Not_Paid*Values_Entered,Beginning_Balance,""), "")</f>
        <v>26081005.227558494</v>
      </c>
      <c r="E347" s="298">
        <f>IFERROR(IF(Loan_Not_Paid*Values_Entered,Monthly_Payment,""), "")</f>
        <v>889840.28874113306</v>
      </c>
      <c r="F347" s="298">
        <f>IFERROR(IF(Loan_Not_Paid*Values_Entered,Principal,""), "")</f>
        <v>797470.06189349864</v>
      </c>
      <c r="G347" s="298">
        <f>IFERROR(IF(Loan_Not_Paid*Values_Entered,Interest,""), "")</f>
        <v>92370.226847634476</v>
      </c>
      <c r="H347" s="298">
        <f>IFERROR(IF(Loan_Not_Paid*Values_Entered,Ending_Balance,""), "")</f>
        <v>25283535.165664911</v>
      </c>
    </row>
    <row r="348" spans="2:8">
      <c r="B348" s="300">
        <f>IFERROR(IF(Loan_Not_Paid*Values_Entered,Payment_Number,""), "")</f>
        <v>331</v>
      </c>
      <c r="C348" s="299"/>
      <c r="D348" s="298">
        <f>IFERROR(IF(Loan_Not_Paid*Values_Entered,Beginning_Balance,""), "")</f>
        <v>25283535.165664911</v>
      </c>
      <c r="E348" s="298">
        <f>IFERROR(IF(Loan_Not_Paid*Values_Entered,Monthly_Payment,""), "")</f>
        <v>889840.28874113306</v>
      </c>
      <c r="F348" s="298">
        <f>IFERROR(IF(Loan_Not_Paid*Values_Entered,Principal,""), "")</f>
        <v>800294.43502937141</v>
      </c>
      <c r="G348" s="298">
        <f>IFERROR(IF(Loan_Not_Paid*Values_Entered,Interest,""), "")</f>
        <v>89545.853711761651</v>
      </c>
      <c r="H348" s="298">
        <f>IFERROR(IF(Loan_Not_Paid*Values_Entered,Ending_Balance,""), "")</f>
        <v>24483240.730635524</v>
      </c>
    </row>
    <row r="349" spans="2:8">
      <c r="B349" s="300">
        <f>IFERROR(IF(Loan_Not_Paid*Values_Entered,Payment_Number,""), "")</f>
        <v>332</v>
      </c>
      <c r="C349" s="299"/>
      <c r="D349" s="298">
        <f>IFERROR(IF(Loan_Not_Paid*Values_Entered,Beginning_Balance,""), "")</f>
        <v>24483240.730635524</v>
      </c>
      <c r="E349" s="298">
        <f>IFERROR(IF(Loan_Not_Paid*Values_Entered,Monthly_Payment,""), "")</f>
        <v>889840.28874113306</v>
      </c>
      <c r="F349" s="298">
        <f>IFERROR(IF(Loan_Not_Paid*Values_Entered,Principal,""), "")</f>
        <v>803128.81115343375</v>
      </c>
      <c r="G349" s="298">
        <f>IFERROR(IF(Loan_Not_Paid*Values_Entered,Interest,""), "")</f>
        <v>86711.477587699294</v>
      </c>
      <c r="H349" s="298">
        <f>IFERROR(IF(Loan_Not_Paid*Values_Entered,Ending_Balance,""), "")</f>
        <v>23680111.919481993</v>
      </c>
    </row>
    <row r="350" spans="2:8">
      <c r="B350" s="300">
        <f>IFERROR(IF(Loan_Not_Paid*Values_Entered,Payment_Number,""), "")</f>
        <v>333</v>
      </c>
      <c r="C350" s="299"/>
      <c r="D350" s="298">
        <f>IFERROR(IF(Loan_Not_Paid*Values_Entered,Beginning_Balance,""), "")</f>
        <v>23680111.919481993</v>
      </c>
      <c r="E350" s="298">
        <f>IFERROR(IF(Loan_Not_Paid*Values_Entered,Monthly_Payment,""), "")</f>
        <v>889840.28874113306</v>
      </c>
      <c r="F350" s="298">
        <f>IFERROR(IF(Loan_Not_Paid*Values_Entered,Principal,""), "")</f>
        <v>805973.22569293564</v>
      </c>
      <c r="G350" s="298">
        <f>IFERROR(IF(Loan_Not_Paid*Values_Entered,Interest,""), "")</f>
        <v>83867.063048197568</v>
      </c>
      <c r="H350" s="298">
        <f>IFERROR(IF(Loan_Not_Paid*Values_Entered,Ending_Balance,""), "")</f>
        <v>22874138.693789005</v>
      </c>
    </row>
    <row r="351" spans="2:8">
      <c r="B351" s="300">
        <f>IFERROR(IF(Loan_Not_Paid*Values_Entered,Payment_Number,""), "")</f>
        <v>334</v>
      </c>
      <c r="C351" s="299"/>
      <c r="D351" s="298">
        <f>IFERROR(IF(Loan_Not_Paid*Values_Entered,Beginning_Balance,""), "")</f>
        <v>22874138.693789005</v>
      </c>
      <c r="E351" s="298">
        <f>IFERROR(IF(Loan_Not_Paid*Values_Entered,Monthly_Payment,""), "")</f>
        <v>889840.28874113306</v>
      </c>
      <c r="F351" s="298">
        <f>IFERROR(IF(Loan_Not_Paid*Values_Entered,Principal,""), "")</f>
        <v>808827.71420059807</v>
      </c>
      <c r="G351" s="298">
        <f>IFERROR(IF(Loan_Not_Paid*Values_Entered,Interest,""), "")</f>
        <v>81012.57454053509</v>
      </c>
      <c r="H351" s="298">
        <f>IFERROR(IF(Loan_Not_Paid*Values_Entered,Ending_Balance,""), "")</f>
        <v>22065310.97958827</v>
      </c>
    </row>
    <row r="352" spans="2:8">
      <c r="B352" s="300">
        <f>IFERROR(IF(Loan_Not_Paid*Values_Entered,Payment_Number,""), "")</f>
        <v>335</v>
      </c>
      <c r="C352" s="299"/>
      <c r="D352" s="298">
        <f>IFERROR(IF(Loan_Not_Paid*Values_Entered,Beginning_Balance,""), "")</f>
        <v>22065310.97958827</v>
      </c>
      <c r="E352" s="298">
        <f>IFERROR(IF(Loan_Not_Paid*Values_Entered,Monthly_Payment,""), "")</f>
        <v>889840.28874113306</v>
      </c>
      <c r="F352" s="298">
        <f>IFERROR(IF(Loan_Not_Paid*Values_Entered,Principal,""), "")</f>
        <v>811692.3123550585</v>
      </c>
      <c r="G352" s="298">
        <f>IFERROR(IF(Loan_Not_Paid*Values_Entered,Interest,""), "")</f>
        <v>78147.976386074602</v>
      </c>
      <c r="H352" s="298">
        <f>IFERROR(IF(Loan_Not_Paid*Values_Entered,Ending_Balance,""), "")</f>
        <v>21253618.667233229</v>
      </c>
    </row>
    <row r="353" spans="2:8">
      <c r="B353" s="300">
        <f>IFERROR(IF(Loan_Not_Paid*Values_Entered,Payment_Number,""), "")</f>
        <v>336</v>
      </c>
      <c r="C353" s="299"/>
      <c r="D353" s="298">
        <f>IFERROR(IF(Loan_Not_Paid*Values_Entered,Beginning_Balance,""), "")</f>
        <v>21253618.667233229</v>
      </c>
      <c r="E353" s="298">
        <f>IFERROR(IF(Loan_Not_Paid*Values_Entered,Monthly_Payment,""), "")</f>
        <v>889840.28874113306</v>
      </c>
      <c r="F353" s="298">
        <f>IFERROR(IF(Loan_Not_Paid*Values_Entered,Principal,""), "")</f>
        <v>814567.05596131599</v>
      </c>
      <c r="G353" s="298">
        <f>IFERROR(IF(Loan_Not_Paid*Values_Entered,Interest,""), "")</f>
        <v>75273.232779817117</v>
      </c>
      <c r="H353" s="298">
        <f>IFERROR(IF(Loan_Not_Paid*Values_Entered,Ending_Balance,""), "")</f>
        <v>20439051.611271858</v>
      </c>
    </row>
    <row r="354" spans="2:8">
      <c r="B354" s="300">
        <f>IFERROR(IF(Loan_Not_Paid*Values_Entered,Payment_Number,""), "")</f>
        <v>337</v>
      </c>
      <c r="C354" s="299"/>
      <c r="D354" s="298">
        <f>IFERROR(IF(Loan_Not_Paid*Values_Entered,Beginning_Balance,""), "")</f>
        <v>20439051.611271858</v>
      </c>
      <c r="E354" s="298">
        <f>IFERROR(IF(Loan_Not_Paid*Values_Entered,Monthly_Payment,""), "")</f>
        <v>889840.28874113306</v>
      </c>
      <c r="F354" s="298">
        <f>IFERROR(IF(Loan_Not_Paid*Values_Entered,Principal,""), "")</f>
        <v>817451.98095117894</v>
      </c>
      <c r="G354" s="298">
        <f>IFERROR(IF(Loan_Not_Paid*Values_Entered,Interest,""), "")</f>
        <v>72388.307789954124</v>
      </c>
      <c r="H354" s="298">
        <f>IFERROR(IF(Loan_Not_Paid*Values_Entered,Ending_Balance,""), "")</f>
        <v>19621599.630320549</v>
      </c>
    </row>
    <row r="355" spans="2:8">
      <c r="B355" s="300">
        <f>IFERROR(IF(Loan_Not_Paid*Values_Entered,Payment_Number,""), "")</f>
        <v>338</v>
      </c>
      <c r="C355" s="299"/>
      <c r="D355" s="298">
        <f>IFERROR(IF(Loan_Not_Paid*Values_Entered,Beginning_Balance,""), "")</f>
        <v>19621599.630320549</v>
      </c>
      <c r="E355" s="298">
        <f>IFERROR(IF(Loan_Not_Paid*Values_Entered,Monthly_Payment,""), "")</f>
        <v>889840.28874113306</v>
      </c>
      <c r="F355" s="298">
        <f>IFERROR(IF(Loan_Not_Paid*Values_Entered,Principal,""), "")</f>
        <v>820347.12338371447</v>
      </c>
      <c r="G355" s="298">
        <f>IFERROR(IF(Loan_Not_Paid*Values_Entered,Interest,""), "")</f>
        <v>69493.165357418708</v>
      </c>
      <c r="H355" s="298">
        <f>IFERROR(IF(Loan_Not_Paid*Values_Entered,Ending_Balance,""), "")</f>
        <v>18801252.506936789</v>
      </c>
    </row>
    <row r="356" spans="2:8">
      <c r="B356" s="300">
        <f>IFERROR(IF(Loan_Not_Paid*Values_Entered,Payment_Number,""), "")</f>
        <v>339</v>
      </c>
      <c r="C356" s="299"/>
      <c r="D356" s="298">
        <f>IFERROR(IF(Loan_Not_Paid*Values_Entered,Beginning_Balance,""), "")</f>
        <v>18801252.506936789</v>
      </c>
      <c r="E356" s="298">
        <f>IFERROR(IF(Loan_Not_Paid*Values_Entered,Monthly_Payment,""), "")</f>
        <v>889840.28874113306</v>
      </c>
      <c r="F356" s="298">
        <f>IFERROR(IF(Loan_Not_Paid*Values_Entered,Principal,""), "")</f>
        <v>823252.51944569836</v>
      </c>
      <c r="G356" s="298">
        <f>IFERROR(IF(Loan_Not_Paid*Values_Entered,Interest,""), "")</f>
        <v>66587.769295434729</v>
      </c>
      <c r="H356" s="298">
        <f>IFERROR(IF(Loan_Not_Paid*Values_Entered,Ending_Balance,""), "")</f>
        <v>17977999.987491012</v>
      </c>
    </row>
    <row r="357" spans="2:8">
      <c r="B357" s="300">
        <f>IFERROR(IF(Loan_Not_Paid*Values_Entered,Payment_Number,""), "")</f>
        <v>340</v>
      </c>
      <c r="C357" s="299"/>
      <c r="D357" s="298">
        <f>IFERROR(IF(Loan_Not_Paid*Values_Entered,Beginning_Balance,""), "")</f>
        <v>17977999.987491012</v>
      </c>
      <c r="E357" s="298">
        <f>IFERROR(IF(Loan_Not_Paid*Values_Entered,Monthly_Payment,""), "")</f>
        <v>889840.28874113306</v>
      </c>
      <c r="F357" s="298">
        <f>IFERROR(IF(Loan_Not_Paid*Values_Entered,Principal,""), "")</f>
        <v>826168.20545206859</v>
      </c>
      <c r="G357" s="298">
        <f>IFERROR(IF(Loan_Not_Paid*Values_Entered,Interest,""), "")</f>
        <v>63672.08328906454</v>
      </c>
      <c r="H357" s="298">
        <f>IFERROR(IF(Loan_Not_Paid*Values_Entered,Ending_Balance,""), "")</f>
        <v>17151831.782039046</v>
      </c>
    </row>
    <row r="358" spans="2:8">
      <c r="B358" s="300">
        <f>IFERROR(IF(Loan_Not_Paid*Values_Entered,Payment_Number,""), "")</f>
        <v>341</v>
      </c>
      <c r="C358" s="299"/>
      <c r="D358" s="298">
        <f>IFERROR(IF(Loan_Not_Paid*Values_Entered,Beginning_Balance,""), "")</f>
        <v>17151831.782039046</v>
      </c>
      <c r="E358" s="298">
        <f>IFERROR(IF(Loan_Not_Paid*Values_Entered,Monthly_Payment,""), "")</f>
        <v>889840.28874113306</v>
      </c>
      <c r="F358" s="298">
        <f>IFERROR(IF(Loan_Not_Paid*Values_Entered,Principal,""), "")</f>
        <v>829094.21784637799</v>
      </c>
      <c r="G358" s="298">
        <f>IFERROR(IF(Loan_Not_Paid*Values_Entered,Interest,""), "")</f>
        <v>60746.07089475511</v>
      </c>
      <c r="H358" s="298">
        <f>IFERROR(IF(Loan_Not_Paid*Values_Entered,Ending_Balance,""), "")</f>
        <v>16322737.564192533</v>
      </c>
    </row>
    <row r="359" spans="2:8">
      <c r="B359" s="300">
        <f>IFERROR(IF(Loan_Not_Paid*Values_Entered,Payment_Number,""), "")</f>
        <v>342</v>
      </c>
      <c r="C359" s="299"/>
      <c r="D359" s="298">
        <f>IFERROR(IF(Loan_Not_Paid*Values_Entered,Beginning_Balance,""), "")</f>
        <v>16322737.564192533</v>
      </c>
      <c r="E359" s="298">
        <f>IFERROR(IF(Loan_Not_Paid*Values_Entered,Monthly_Payment,""), "")</f>
        <v>889840.28874113306</v>
      </c>
      <c r="F359" s="298">
        <f>IFERROR(IF(Loan_Not_Paid*Values_Entered,Principal,""), "")</f>
        <v>832030.59320125054</v>
      </c>
      <c r="G359" s="298">
        <f>IFERROR(IF(Loan_Not_Paid*Values_Entered,Interest,""), "")</f>
        <v>57809.69553988253</v>
      </c>
      <c r="H359" s="298">
        <f>IFERROR(IF(Loan_Not_Paid*Values_Entered,Ending_Balance,""), "")</f>
        <v>15490706.970991254</v>
      </c>
    </row>
    <row r="360" spans="2:8">
      <c r="B360" s="300">
        <f>IFERROR(IF(Loan_Not_Paid*Values_Entered,Payment_Number,""), "")</f>
        <v>343</v>
      </c>
      <c r="C360" s="299"/>
      <c r="D360" s="298">
        <f>IFERROR(IF(Loan_Not_Paid*Values_Entered,Beginning_Balance,""), "")</f>
        <v>15490706.970991254</v>
      </c>
      <c r="E360" s="298">
        <f>IFERROR(IF(Loan_Not_Paid*Values_Entered,Monthly_Payment,""), "")</f>
        <v>889840.28874113306</v>
      </c>
      <c r="F360" s="298">
        <f>IFERROR(IF(Loan_Not_Paid*Values_Entered,Principal,""), "")</f>
        <v>834977.36821883835</v>
      </c>
      <c r="G360" s="298">
        <f>IFERROR(IF(Loan_Not_Paid*Values_Entered,Interest,""), "")</f>
        <v>54862.920522294764</v>
      </c>
      <c r="H360" s="298">
        <f>IFERROR(IF(Loan_Not_Paid*Values_Entered,Ending_Balance,""), "")</f>
        <v>14655729.602772236</v>
      </c>
    </row>
    <row r="361" spans="2:8">
      <c r="B361" s="300">
        <f>IFERROR(IF(Loan_Not_Paid*Values_Entered,Payment_Number,""), "")</f>
        <v>344</v>
      </c>
      <c r="C361" s="299"/>
      <c r="D361" s="298">
        <f>IFERROR(IF(Loan_Not_Paid*Values_Entered,Beginning_Balance,""), "")</f>
        <v>14655729.602772236</v>
      </c>
      <c r="E361" s="298">
        <f>IFERROR(IF(Loan_Not_Paid*Values_Entered,Monthly_Payment,""), "")</f>
        <v>889840.28874113306</v>
      </c>
      <c r="F361" s="298">
        <f>IFERROR(IF(Loan_Not_Paid*Values_Entered,Principal,""), "")</f>
        <v>837934.57973127998</v>
      </c>
      <c r="G361" s="298">
        <f>IFERROR(IF(Loan_Not_Paid*Values_Entered,Interest,""), "")</f>
        <v>51905.709009853053</v>
      </c>
      <c r="H361" s="298">
        <f>IFERROR(IF(Loan_Not_Paid*Values_Entered,Ending_Balance,""), "")</f>
        <v>13817795.023040891</v>
      </c>
    </row>
    <row r="362" spans="2:8">
      <c r="B362" s="300">
        <f>IFERROR(IF(Loan_Not_Paid*Values_Entered,Payment_Number,""), "")</f>
        <v>345</v>
      </c>
      <c r="C362" s="299"/>
      <c r="D362" s="298">
        <f>IFERROR(IF(Loan_Not_Paid*Values_Entered,Beginning_Balance,""), "")</f>
        <v>13817795.023040891</v>
      </c>
      <c r="E362" s="298">
        <f>IFERROR(IF(Loan_Not_Paid*Values_Entered,Monthly_Payment,""), "")</f>
        <v>889840.28874113306</v>
      </c>
      <c r="F362" s="298">
        <f>IFERROR(IF(Loan_Not_Paid*Values_Entered,Principal,""), "")</f>
        <v>840902.26470116165</v>
      </c>
      <c r="G362" s="298">
        <f>IFERROR(IF(Loan_Not_Paid*Values_Entered,Interest,""), "")</f>
        <v>48938.024039971438</v>
      </c>
      <c r="H362" s="298">
        <f>IFERROR(IF(Loan_Not_Paid*Values_Entered,Ending_Balance,""), "")</f>
        <v>12976892.758339643</v>
      </c>
    </row>
    <row r="363" spans="2:8">
      <c r="B363" s="300">
        <f>IFERROR(IF(Loan_Not_Paid*Values_Entered,Payment_Number,""), "")</f>
        <v>346</v>
      </c>
      <c r="C363" s="299"/>
      <c r="D363" s="298">
        <f>IFERROR(IF(Loan_Not_Paid*Values_Entered,Beginning_Balance,""), "")</f>
        <v>12976892.758339643</v>
      </c>
      <c r="E363" s="298">
        <f>IFERROR(IF(Loan_Not_Paid*Values_Entered,Monthly_Payment,""), "")</f>
        <v>889840.28874113306</v>
      </c>
      <c r="F363" s="298">
        <f>IFERROR(IF(Loan_Not_Paid*Values_Entered,Principal,""), "")</f>
        <v>843880.46022197825</v>
      </c>
      <c r="G363" s="298">
        <f>IFERROR(IF(Loan_Not_Paid*Values_Entered,Interest,""), "")</f>
        <v>45959.82851915482</v>
      </c>
      <c r="H363" s="298">
        <f>IFERROR(IF(Loan_Not_Paid*Values_Entered,Ending_Balance,""), "")</f>
        <v>12133012.298117638</v>
      </c>
    </row>
    <row r="364" spans="2:8">
      <c r="B364" s="300">
        <f>IFERROR(IF(Loan_Not_Paid*Values_Entered,Payment_Number,""), "")</f>
        <v>347</v>
      </c>
      <c r="C364" s="299"/>
      <c r="D364" s="298">
        <f>IFERROR(IF(Loan_Not_Paid*Values_Entered,Beginning_Balance,""), "")</f>
        <v>12133012.298117638</v>
      </c>
      <c r="E364" s="298">
        <f>IFERROR(IF(Loan_Not_Paid*Values_Entered,Monthly_Payment,""), "")</f>
        <v>889840.28874113306</v>
      </c>
      <c r="F364" s="298">
        <f>IFERROR(IF(Loan_Not_Paid*Values_Entered,Principal,""), "")</f>
        <v>846869.20351859776</v>
      </c>
      <c r="G364" s="298">
        <f>IFERROR(IF(Loan_Not_Paid*Values_Entered,Interest,""), "")</f>
        <v>42971.085222535308</v>
      </c>
      <c r="H364" s="298">
        <f>IFERROR(IF(Loan_Not_Paid*Values_Entered,Ending_Balance,""), "")</f>
        <v>11286143.094599009</v>
      </c>
    </row>
    <row r="365" spans="2:8">
      <c r="B365" s="300">
        <f>IFERROR(IF(Loan_Not_Paid*Values_Entered,Payment_Number,""), "")</f>
        <v>348</v>
      </c>
      <c r="C365" s="299"/>
      <c r="D365" s="298">
        <f>IFERROR(IF(Loan_Not_Paid*Values_Entered,Beginning_Balance,""), "")</f>
        <v>11286143.094599009</v>
      </c>
      <c r="E365" s="298">
        <f>IFERROR(IF(Loan_Not_Paid*Values_Entered,Monthly_Payment,""), "")</f>
        <v>889840.28874113306</v>
      </c>
      <c r="F365" s="298">
        <f>IFERROR(IF(Loan_Not_Paid*Values_Entered,Principal,""), "")</f>
        <v>849868.53194772627</v>
      </c>
      <c r="G365" s="298">
        <f>IFERROR(IF(Loan_Not_Paid*Values_Entered,Interest,""), "")</f>
        <v>39971.756793406938</v>
      </c>
      <c r="H365" s="298">
        <f>IFERROR(IF(Loan_Not_Paid*Values_Entered,Ending_Balance,""), "")</f>
        <v>10436274.562651277</v>
      </c>
    </row>
    <row r="366" spans="2:8">
      <c r="B366" s="300">
        <f>IFERROR(IF(Loan_Not_Paid*Values_Entered,Payment_Number,""), "")</f>
        <v>349</v>
      </c>
      <c r="C366" s="299"/>
      <c r="D366" s="298">
        <f>IFERROR(IF(Loan_Not_Paid*Values_Entered,Beginning_Balance,""), "")</f>
        <v>10436274.562651277</v>
      </c>
      <c r="E366" s="298">
        <f>IFERROR(IF(Loan_Not_Paid*Values_Entered,Monthly_Payment,""), "")</f>
        <v>889840.28874113306</v>
      </c>
      <c r="F366" s="298">
        <f>IFERROR(IF(Loan_Not_Paid*Values_Entered,Principal,""), "")</f>
        <v>852878.48299837438</v>
      </c>
      <c r="G366" s="298">
        <f>IFERROR(IF(Loan_Not_Paid*Values_Entered,Interest,""), "")</f>
        <v>36961.805742758748</v>
      </c>
      <c r="H366" s="298">
        <f>IFERROR(IF(Loan_Not_Paid*Values_Entered,Ending_Balance,""), "")</f>
        <v>9583396.0796527863</v>
      </c>
    </row>
    <row r="367" spans="2:8">
      <c r="B367" s="300">
        <f>IFERROR(IF(Loan_Not_Paid*Values_Entered,Payment_Number,""), "")</f>
        <v>350</v>
      </c>
      <c r="C367" s="299"/>
      <c r="D367" s="298">
        <f>IFERROR(IF(Loan_Not_Paid*Values_Entered,Beginning_Balance,""), "")</f>
        <v>9583396.0796527863</v>
      </c>
      <c r="E367" s="298">
        <f>IFERROR(IF(Loan_Not_Paid*Values_Entered,Monthly_Payment,""), "")</f>
        <v>889840.28874113306</v>
      </c>
      <c r="F367" s="298">
        <f>IFERROR(IF(Loan_Not_Paid*Values_Entered,Principal,""), "")</f>
        <v>855899.09429232695</v>
      </c>
      <c r="G367" s="298">
        <f>IFERROR(IF(Loan_Not_Paid*Values_Entered,Interest,""), "")</f>
        <v>33941.194448806171</v>
      </c>
      <c r="H367" s="298">
        <f>IFERROR(IF(Loan_Not_Paid*Values_Entered,Ending_Balance,""), "")</f>
        <v>8727496.985360384</v>
      </c>
    </row>
    <row r="368" spans="2:8">
      <c r="B368" s="300">
        <f>IFERROR(IF(Loan_Not_Paid*Values_Entered,Payment_Number,""), "")</f>
        <v>351</v>
      </c>
      <c r="C368" s="299"/>
      <c r="D368" s="298">
        <f>IFERROR(IF(Loan_Not_Paid*Values_Entered,Beginning_Balance,""), "")</f>
        <v>8727496.985360384</v>
      </c>
      <c r="E368" s="298">
        <f>IFERROR(IF(Loan_Not_Paid*Values_Entered,Monthly_Payment,""), "")</f>
        <v>889840.28874113306</v>
      </c>
      <c r="F368" s="298">
        <f>IFERROR(IF(Loan_Not_Paid*Values_Entered,Principal,""), "")</f>
        <v>858930.40358461218</v>
      </c>
      <c r="G368" s="298">
        <f>IFERROR(IF(Loan_Not_Paid*Values_Entered,Interest,""), "")</f>
        <v>30909.885156520846</v>
      </c>
      <c r="H368" s="298">
        <f>IFERROR(IF(Loan_Not_Paid*Values_Entered,Ending_Balance,""), "")</f>
        <v>7868566.5817756653</v>
      </c>
    </row>
    <row r="369" spans="2:8">
      <c r="B369" s="300">
        <f>IFERROR(IF(Loan_Not_Paid*Values_Entered,Payment_Number,""), "")</f>
        <v>352</v>
      </c>
      <c r="C369" s="299"/>
      <c r="D369" s="298">
        <f>IFERROR(IF(Loan_Not_Paid*Values_Entered,Beginning_Balance,""), "")</f>
        <v>7868566.5817756653</v>
      </c>
      <c r="E369" s="298">
        <f>IFERROR(IF(Loan_Not_Paid*Values_Entered,Monthly_Payment,""), "")</f>
        <v>889840.28874113306</v>
      </c>
      <c r="F369" s="298">
        <f>IFERROR(IF(Loan_Not_Paid*Values_Entered,Principal,""), "")</f>
        <v>861972.44876397448</v>
      </c>
      <c r="G369" s="298">
        <f>IFERROR(IF(Loan_Not_Paid*Values_Entered,Interest,""), "")</f>
        <v>27867.839977158674</v>
      </c>
      <c r="H369" s="298">
        <f>IFERROR(IF(Loan_Not_Paid*Values_Entered,Ending_Balance,""), "")</f>
        <v>7006594.1330115795</v>
      </c>
    </row>
    <row r="370" spans="2:8">
      <c r="B370" s="300">
        <f>IFERROR(IF(Loan_Not_Paid*Values_Entered,Payment_Number,""), "")</f>
        <v>353</v>
      </c>
      <c r="C370" s="299"/>
      <c r="D370" s="298">
        <f>IFERROR(IF(Loan_Not_Paid*Values_Entered,Beginning_Balance,""), "")</f>
        <v>7006594.1330115795</v>
      </c>
      <c r="E370" s="298">
        <f>IFERROR(IF(Loan_Not_Paid*Values_Entered,Monthly_Payment,""), "")</f>
        <v>889840.28874113306</v>
      </c>
      <c r="F370" s="298">
        <f>IFERROR(IF(Loan_Not_Paid*Values_Entered,Principal,""), "")</f>
        <v>865025.26785334677</v>
      </c>
      <c r="G370" s="298">
        <f>IFERROR(IF(Loan_Not_Paid*Values_Entered,Interest,""), "")</f>
        <v>24815.020887786268</v>
      </c>
      <c r="H370" s="298">
        <f>IFERROR(IF(Loan_Not_Paid*Values_Entered,Ending_Balance,""), "")</f>
        <v>6141568.8651582003</v>
      </c>
    </row>
    <row r="371" spans="2:8">
      <c r="B371" s="300">
        <f>IFERROR(IF(Loan_Not_Paid*Values_Entered,Payment_Number,""), "")</f>
        <v>354</v>
      </c>
      <c r="C371" s="299"/>
      <c r="D371" s="298">
        <f>IFERROR(IF(Loan_Not_Paid*Values_Entered,Beginning_Balance,""), "")</f>
        <v>6141568.8651582003</v>
      </c>
      <c r="E371" s="298">
        <f>IFERROR(IF(Loan_Not_Paid*Values_Entered,Monthly_Payment,""), "")</f>
        <v>889840.28874113306</v>
      </c>
      <c r="F371" s="298">
        <f>IFERROR(IF(Loan_Not_Paid*Values_Entered,Principal,""), "")</f>
        <v>868088.89901032741</v>
      </c>
      <c r="G371" s="298">
        <f>IFERROR(IF(Loan_Not_Paid*Values_Entered,Interest,""), "")</f>
        <v>21751.389730805666</v>
      </c>
      <c r="H371" s="298">
        <f>IFERROR(IF(Loan_Not_Paid*Values_Entered,Ending_Balance,""), "")</f>
        <v>5273479.9661478996</v>
      </c>
    </row>
    <row r="372" spans="2:8">
      <c r="B372" s="300">
        <f>IFERROR(IF(Loan_Not_Paid*Values_Entered,Payment_Number,""), "")</f>
        <v>355</v>
      </c>
      <c r="C372" s="299"/>
      <c r="D372" s="298">
        <f>IFERROR(IF(Loan_Not_Paid*Values_Entered,Beginning_Balance,""), "")</f>
        <v>5273479.9661478996</v>
      </c>
      <c r="E372" s="298">
        <f>IFERROR(IF(Loan_Not_Paid*Values_Entered,Monthly_Payment,""), "")</f>
        <v>889840.28874113306</v>
      </c>
      <c r="F372" s="298">
        <f>IFERROR(IF(Loan_Not_Paid*Values_Entered,Principal,""), "")</f>
        <v>871163.38052765571</v>
      </c>
      <c r="G372" s="298">
        <f>IFERROR(IF(Loan_Not_Paid*Values_Entered,Interest,""), "")</f>
        <v>18676.908213477418</v>
      </c>
      <c r="H372" s="298">
        <f>IFERROR(IF(Loan_Not_Paid*Values_Entered,Ending_Balance,""), "")</f>
        <v>4402316.5856201649</v>
      </c>
    </row>
    <row r="373" spans="2:8">
      <c r="B373" s="300">
        <f>IFERROR(IF(Loan_Not_Paid*Values_Entered,Payment_Number,""), "")</f>
        <v>356</v>
      </c>
      <c r="C373" s="299"/>
      <c r="D373" s="298">
        <f>IFERROR(IF(Loan_Not_Paid*Values_Entered,Beginning_Balance,""), "")</f>
        <v>4402316.5856201649</v>
      </c>
      <c r="E373" s="298">
        <f>IFERROR(IF(Loan_Not_Paid*Values_Entered,Monthly_Payment,""), "")</f>
        <v>889840.28874113306</v>
      </c>
      <c r="F373" s="298">
        <f>IFERROR(IF(Loan_Not_Paid*Values_Entered,Principal,""), "")</f>
        <v>874248.7508336911</v>
      </c>
      <c r="G373" s="298">
        <f>IFERROR(IF(Loan_Not_Paid*Values_Entered,Interest,""), "")</f>
        <v>15591.537907441974</v>
      </c>
      <c r="H373" s="298">
        <f>IFERROR(IF(Loan_Not_Paid*Values_Entered,Ending_Balance,""), "")</f>
        <v>3528067.8347862959</v>
      </c>
    </row>
    <row r="374" spans="2:8">
      <c r="B374" s="300">
        <f>IFERROR(IF(Loan_Not_Paid*Values_Entered,Payment_Number,""), "")</f>
        <v>357</v>
      </c>
      <c r="C374" s="299"/>
      <c r="D374" s="298">
        <f>IFERROR(IF(Loan_Not_Paid*Values_Entered,Beginning_Balance,""), "")</f>
        <v>3528067.8347862959</v>
      </c>
      <c r="E374" s="298">
        <f>IFERROR(IF(Loan_Not_Paid*Values_Entered,Monthly_Payment,""), "")</f>
        <v>889840.28874113306</v>
      </c>
      <c r="F374" s="298">
        <f>IFERROR(IF(Loan_Not_Paid*Values_Entered,Principal,""), "")</f>
        <v>877345.04849289381</v>
      </c>
      <c r="G374" s="298">
        <f>IFERROR(IF(Loan_Not_Paid*Values_Entered,Interest,""), "")</f>
        <v>12495.240248239317</v>
      </c>
      <c r="H374" s="298">
        <f>IFERROR(IF(Loan_Not_Paid*Values_Entered,Ending_Balance,""), "")</f>
        <v>2650722.7862933874</v>
      </c>
    </row>
    <row r="375" spans="2:8">
      <c r="B375" s="300">
        <f>IFERROR(IF(Loan_Not_Paid*Values_Entered,Payment_Number,""), "")</f>
        <v>358</v>
      </c>
      <c r="C375" s="299"/>
      <c r="D375" s="298">
        <f>IFERROR(IF(Loan_Not_Paid*Values_Entered,Beginning_Balance,""), "")</f>
        <v>2650722.7862933874</v>
      </c>
      <c r="E375" s="298">
        <f>IFERROR(IF(Loan_Not_Paid*Values_Entered,Monthly_Payment,""), "")</f>
        <v>889840.28874113306</v>
      </c>
      <c r="F375" s="298">
        <f>IFERROR(IF(Loan_Not_Paid*Values_Entered,Principal,""), "")</f>
        <v>880452.31220630615</v>
      </c>
      <c r="G375" s="298">
        <f>IFERROR(IF(Loan_Not_Paid*Values_Entered,Interest,""), "")</f>
        <v>9387.976534826983</v>
      </c>
      <c r="H375" s="298">
        <f>IFERROR(IF(Loan_Not_Paid*Values_Entered,Ending_Balance,""), "")</f>
        <v>1770270.4740869999</v>
      </c>
    </row>
    <row r="376" spans="2:8">
      <c r="B376" s="300">
        <f>IFERROR(IF(Loan_Not_Paid*Values_Entered,Payment_Number,""), "")</f>
        <v>359</v>
      </c>
      <c r="C376" s="299"/>
      <c r="D376" s="298">
        <f>IFERROR(IF(Loan_Not_Paid*Values_Entered,Beginning_Balance,""), "")</f>
        <v>1770270.4740869999</v>
      </c>
      <c r="E376" s="298">
        <f>IFERROR(IF(Loan_Not_Paid*Values_Entered,Monthly_Payment,""), "")</f>
        <v>889840.28874113306</v>
      </c>
      <c r="F376" s="298">
        <f>IFERROR(IF(Loan_Not_Paid*Values_Entered,Principal,""), "")</f>
        <v>883570.58081203687</v>
      </c>
      <c r="G376" s="298">
        <f>IFERROR(IF(Loan_Not_Paid*Values_Entered,Interest,""), "")</f>
        <v>6269.7079290963147</v>
      </c>
      <c r="H376" s="298">
        <f>IFERROR(IF(Loan_Not_Paid*Values_Entered,Ending_Balance,""), "")</f>
        <v>886699.8932749033</v>
      </c>
    </row>
    <row r="377" spans="2:8">
      <c r="B377" s="300">
        <f>IFERROR(IF(Loan_Not_Paid*Values_Entered,Payment_Number,""), "")</f>
        <v>360</v>
      </c>
      <c r="C377" s="299"/>
      <c r="D377" s="298">
        <f>IFERROR(IF(Loan_Not_Paid*Values_Entered,Beginning_Balance,""), "")</f>
        <v>886699.8932749033</v>
      </c>
      <c r="E377" s="298">
        <f>IFERROR(IF(Loan_Not_Paid*Values_Entered,Monthly_Payment,""), "")</f>
        <v>889840.28874113306</v>
      </c>
      <c r="F377" s="298">
        <f>IFERROR(IF(Loan_Not_Paid*Values_Entered,Principal,""), "")</f>
        <v>886699.8932857461</v>
      </c>
      <c r="G377" s="298">
        <f>IFERROR(IF(Loan_Not_Paid*Values_Entered,Interest,""), "")</f>
        <v>3140.395455387018</v>
      </c>
      <c r="H377" s="298">
        <f>IFERROR(IF(Loan_Not_Paid*Values_Entered,Ending_Balance,""), "")</f>
        <v>-1.0848045349121094E-5</v>
      </c>
    </row>
  </sheetData>
  <mergeCells count="9">
    <mergeCell ref="B9:D9"/>
    <mergeCell ref="B10:D10"/>
    <mergeCell ref="B11:D11"/>
    <mergeCell ref="B2:E2"/>
    <mergeCell ref="B3:D3"/>
    <mergeCell ref="B4:D4"/>
    <mergeCell ref="B5:D5"/>
    <mergeCell ref="B6:D6"/>
    <mergeCell ref="B8:D8"/>
  </mergeCells>
  <conditionalFormatting sqref="C18:G377">
    <cfRule type="expression" dxfId="5" priority="1" stopIfTrue="1">
      <formula>NOT(Loan_Not_Paid)</formula>
    </cfRule>
    <cfRule type="expression" dxfId="4" priority="2" stopIfTrue="1">
      <formula>IF(ROW(C18)=Last_Row,TRUE,FALSE)</formula>
    </cfRule>
  </conditionalFormatting>
  <conditionalFormatting sqref="B18:B377">
    <cfRule type="expression" dxfId="3" priority="3" stopIfTrue="1">
      <formula>NOT(Loan_Not_Paid)</formula>
    </cfRule>
    <cfRule type="expression" dxfId="2" priority="4" stopIfTrue="1">
      <formula>IF(ROW(B18)=Last_Row,TRUE,FALSE)</formula>
    </cfRule>
  </conditionalFormatting>
  <conditionalFormatting sqref="H18:H377">
    <cfRule type="expression" dxfId="1" priority="5" stopIfTrue="1">
      <formula>NOT(Loan_Not_Paid)</formula>
    </cfRule>
    <cfRule type="expression" dxfId="0" priority="6" stopIfTrue="1">
      <formula>IF(ROW(H18)=Last_Row,TRUE,FALSE)</formula>
    </cfRule>
  </conditionalFormatting>
  <dataValidations count="26">
    <dataValidation allowBlank="1" showInputMessage="1" showErrorMessage="1" prompt="Enter Annual interest rate in this cell" sqref="E4" xr:uid="{01B1030E-148E-4C9E-9ABA-90AAE8895E29}"/>
    <dataValidation allowBlank="1" showInputMessage="1" showErrorMessage="1" prompt="Ending Balance is automatically updated in this column under this heading" sqref="H17" xr:uid="{58F32596-B814-4E02-B892-0C3204670D2F}"/>
    <dataValidation allowBlank="1" showInputMessage="1" showErrorMessage="1" prompt="Interest amount is automatically updated in this column under this heading" sqref="G17" xr:uid="{28D51438-54A5-4B1A-9B28-F89DA20C0E89}"/>
    <dataValidation allowBlank="1" showInputMessage="1" showErrorMessage="1" prompt="Principal amount is automatically updated in this column under this heading" sqref="F17" xr:uid="{970B66B5-1749-4BA7-8DAE-336BFFFD339D}"/>
    <dataValidation allowBlank="1" showInputMessage="1" showErrorMessage="1" prompt="Payment amount is automatically calculated in this column under this heading" sqref="E17" xr:uid="{68A0E0A6-C2C8-4B1F-A6B7-D9400A252561}"/>
    <dataValidation allowBlank="1" showInputMessage="1" showErrorMessage="1" prompt="Beginning Balance is automatically calculated in this column under this heading" sqref="D17" xr:uid="{A1CC1E88-F722-4965-A3C8-21F790EFA884}"/>
    <dataValidation allowBlank="1" showInputMessage="1" showErrorMessage="1" prompt="Payment Date is automatically updated in this column under this heading" sqref="C17" xr:uid="{BE491E64-CA0E-4704-B3A1-5A82648CB541}"/>
    <dataValidation allowBlank="1" showInputMessage="1" showErrorMessage="1" prompt="Payment Number is automatically updated in this column under this heading" sqref="B17" xr:uid="{E62B2802-87B4-4757-9880-3908DAC902C4}"/>
    <dataValidation allowBlank="1" showInputMessage="1" showErrorMessage="1" prompt="Enter values in cells E3 through E6 for each description in column B. Values in cells E8 through E11 are automatically calculated" sqref="B2" xr:uid="{BAB3234C-44FD-4E06-88D4-BFF87D2241A6}"/>
    <dataValidation allowBlank="1" showInputMessage="1" showErrorMessage="1" prompt="Total interest is automatically calculated in this cell" sqref="E10" xr:uid="{8163B2DA-DEB3-48FD-8E47-ECAC91CA3ADB}"/>
    <dataValidation allowBlank="1" showInputMessage="1" showErrorMessage="1" prompt="Total interest is automatically calculated in cell at right" sqref="B10:D10" xr:uid="{60EC0BD9-3892-4453-A04E-DCEA71A113AC}"/>
    <dataValidation allowBlank="1" showInputMessage="1" showErrorMessage="1" prompt="Number of payments is automatically calculated in this cell" sqref="E9" xr:uid="{35E64C6B-7C70-4E53-A572-2658F7CEFCC9}"/>
    <dataValidation allowBlank="1" showInputMessage="1" showErrorMessage="1" prompt="Number of payments is automatically calculated in cell at right" sqref="B9:D9" xr:uid="{CF9E3593-1EF8-4CA1-AC6A-C2A5C299E27B}"/>
    <dataValidation allowBlank="1" showInputMessage="1" showErrorMessage="1" prompt="Monthly payment is automatically calculated in this cell" sqref="E8" xr:uid="{C5FE64D3-046D-40E0-8605-54812118D5EA}"/>
    <dataValidation allowBlank="1" showInputMessage="1" showErrorMessage="1" prompt="Monthly payment is automatically calculated in cell at right" sqref="B8:D8" xr:uid="{4CAF74F7-EB2B-44F7-9FA1-09038D986A32}"/>
    <dataValidation allowBlank="1" showInputMessage="1" showErrorMessage="1" prompt="Enter Start date of loan in this cell" sqref="E6" xr:uid="{1E7C1D73-E19F-4D63-8A55-5B2F3AAFB65F}"/>
    <dataValidation allowBlank="1" showInputMessage="1" showErrorMessage="1" prompt="Enter Start date of loan in cell at right" sqref="B6:D6" xr:uid="{12F3F9C8-C7C6-42BC-96B3-8C6F4FC4557E}"/>
    <dataValidation allowBlank="1" showInputMessage="1" showErrorMessage="1" prompt="Enter Loan period in years in this cell" sqref="E5" xr:uid="{CC492FE2-B1F5-4D90-95C6-72FD5EE36DFF}"/>
    <dataValidation allowBlank="1" showInputMessage="1" showErrorMessage="1" prompt="Enter Loan period in years in cell at right" sqref="B5:D5" xr:uid="{8B8B58EF-55B5-4C88-B2CA-CEB69B814D6B}"/>
    <dataValidation allowBlank="1" showInputMessage="1" showErrorMessage="1" prompt="Enter Annual interest rate in cell at right" sqref="B4:D4" xr:uid="{9DE84B56-D3D2-4570-A10A-8B04A4506D0E}"/>
    <dataValidation allowBlank="1" showInputMessage="1" showErrorMessage="1" prompt="Enter Loan amount in this cell" sqref="E3" xr:uid="{DE8A3E3E-3079-4BCD-9274-48B9877AFDBE}"/>
    <dataValidation allowBlank="1" showInputMessage="1" showErrorMessage="1" prompt="Enter Loan amount in cell at right" sqref="B3:D3" xr:uid="{00C7EA33-3D9B-4D32-A397-4A8C7D3846FB}"/>
    <dataValidation allowBlank="1" showInputMessage="1" showErrorMessage="1" prompt="Title of this worksheet is in this cell. Enter Loan values in cells E3 through E6. Loan summary in cells E8 through E11 and Loan table are automatically updated" sqref="B1" xr:uid="{52817BF0-79F6-44D4-B854-5F06D2BFEA9A}"/>
    <dataValidation allowBlank="1" showInputMessage="1" showErrorMessage="1" prompt="Create a loan repayment schedule using this Loan calculator and amortization worksheet. Total interest and total payments are automatically calculated" sqref="A1" xr:uid="{2772815E-D58D-46B7-944D-D112B428D56E}"/>
    <dataValidation allowBlank="1" showInputMessage="1" showErrorMessage="1" prompt="Total cost of loan is automatically calculated in this cell" sqref="E11:E14 E16" xr:uid="{6382B218-3B3E-441C-917D-03C88D66DC86}"/>
    <dataValidation allowBlank="1" showInputMessage="1" showErrorMessage="1" prompt="Total cost of loan is automatically calculated in cell at right" sqref="B11:D14 B15 B16:D16" xr:uid="{4770E0B2-BDD3-4014-A751-5725F50EDC96}"/>
  </dataValidations>
  <printOptions horizontalCentered="1"/>
  <pageMargins left="0.5" right="0.5" top="1" bottom="1" header="0.5" footer="0.5"/>
  <pageSetup fitToHeight="0" orientation="portrait" r:id="rId1"/>
  <headerFooter differentFirst="1">
    <oddFooter>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BF08-3028-4BA5-94DE-2877BA8E8036}">
  <dimension ref="A2:K81"/>
  <sheetViews>
    <sheetView showGridLines="0" zoomScale="85" zoomScaleNormal="85" workbookViewId="0">
      <selection activeCell="J21" sqref="J21"/>
    </sheetView>
  </sheetViews>
  <sheetFormatPr defaultRowHeight="14.5"/>
  <cols>
    <col min="1" max="2" width="8.7265625" style="243"/>
    <col min="3" max="3" width="12.54296875" style="243" bestFit="1" customWidth="1"/>
    <col min="4" max="7" width="8.7265625" style="243"/>
    <col min="8" max="8" width="8.7265625" style="243" customWidth="1"/>
    <col min="9" max="16384" width="8.7265625" style="243"/>
  </cols>
  <sheetData>
    <row r="2" spans="1:11">
      <c r="B2" s="243" t="s">
        <v>385</v>
      </c>
      <c r="K2" s="357" t="s">
        <v>679</v>
      </c>
    </row>
    <row r="3" spans="1:11">
      <c r="A3" s="243" t="s">
        <v>456</v>
      </c>
      <c r="B3" s="244" t="s">
        <v>384</v>
      </c>
      <c r="K3" s="358" t="s">
        <v>680</v>
      </c>
    </row>
    <row r="4" spans="1:11">
      <c r="B4" s="244" t="s">
        <v>383</v>
      </c>
      <c r="K4" s="358" t="s">
        <v>681</v>
      </c>
    </row>
    <row r="5" spans="1:11">
      <c r="A5" s="243" t="s">
        <v>456</v>
      </c>
      <c r="B5" s="244" t="s">
        <v>382</v>
      </c>
      <c r="K5" s="371" t="s">
        <v>745</v>
      </c>
    </row>
    <row r="6" spans="1:11">
      <c r="A6" s="243" t="s">
        <v>456</v>
      </c>
      <c r="B6" s="244" t="s">
        <v>381</v>
      </c>
      <c r="K6" s="379" t="s">
        <v>747</v>
      </c>
    </row>
    <row r="7" spans="1:11">
      <c r="B7" s="244" t="s">
        <v>380</v>
      </c>
      <c r="K7" s="379" t="s">
        <v>748</v>
      </c>
    </row>
    <row r="8" spans="1:11">
      <c r="A8" s="243" t="s">
        <v>456</v>
      </c>
      <c r="B8" s="244" t="s">
        <v>394</v>
      </c>
      <c r="K8" s="379" t="s">
        <v>749</v>
      </c>
    </row>
    <row r="9" spans="1:11">
      <c r="B9" s="244" t="s">
        <v>395</v>
      </c>
      <c r="K9" s="379" t="s">
        <v>750</v>
      </c>
    </row>
    <row r="10" spans="1:11">
      <c r="B10" s="329" t="s">
        <v>544</v>
      </c>
      <c r="K10" s="379" t="s">
        <v>751</v>
      </c>
    </row>
    <row r="11" spans="1:11">
      <c r="B11" s="329" t="s">
        <v>554</v>
      </c>
      <c r="K11" s="379" t="s">
        <v>752</v>
      </c>
    </row>
    <row r="12" spans="1:11">
      <c r="B12" s="329" t="s">
        <v>555</v>
      </c>
      <c r="K12" s="379" t="s">
        <v>753</v>
      </c>
    </row>
    <row r="13" spans="1:11">
      <c r="B13" s="329" t="s">
        <v>556</v>
      </c>
      <c r="K13" s="381" t="s">
        <v>757</v>
      </c>
    </row>
    <row r="14" spans="1:11">
      <c r="B14" s="329" t="s">
        <v>557</v>
      </c>
      <c r="K14" s="381" t="s">
        <v>758</v>
      </c>
    </row>
    <row r="15" spans="1:11">
      <c r="B15" s="358" t="s">
        <v>686</v>
      </c>
      <c r="K15" s="382" t="s">
        <v>760</v>
      </c>
    </row>
    <row r="16" spans="1:11">
      <c r="B16" s="244"/>
    </row>
    <row r="17" spans="1:2">
      <c r="B17" s="243" t="s">
        <v>378</v>
      </c>
    </row>
    <row r="18" spans="1:2">
      <c r="A18" s="243" t="s">
        <v>456</v>
      </c>
      <c r="B18" s="244" t="s">
        <v>379</v>
      </c>
    </row>
    <row r="21" spans="1:2">
      <c r="B21" s="243" t="s">
        <v>378</v>
      </c>
    </row>
    <row r="22" spans="1:2">
      <c r="B22" s="244" t="s">
        <v>377</v>
      </c>
    </row>
    <row r="23" spans="1:2">
      <c r="B23" s="244" t="s">
        <v>376</v>
      </c>
    </row>
    <row r="24" spans="1:2">
      <c r="A24" s="243" t="s">
        <v>456</v>
      </c>
      <c r="B24" s="244" t="s">
        <v>375</v>
      </c>
    </row>
    <row r="25" spans="1:2">
      <c r="A25" s="243" t="s">
        <v>456</v>
      </c>
      <c r="B25" s="244" t="s">
        <v>374</v>
      </c>
    </row>
    <row r="28" spans="1:2">
      <c r="B28" s="243" t="s">
        <v>373</v>
      </c>
    </row>
    <row r="32" spans="1:2">
      <c r="B32" s="243" t="s">
        <v>372</v>
      </c>
    </row>
    <row r="33" spans="2:5">
      <c r="B33" s="243" t="s">
        <v>211</v>
      </c>
    </row>
    <row r="38" spans="2:5">
      <c r="B38" s="323" t="s">
        <v>532</v>
      </c>
      <c r="C38" s="243">
        <v>1500</v>
      </c>
      <c r="E38" s="259">
        <v>43560</v>
      </c>
    </row>
    <row r="39" spans="2:5">
      <c r="B39" s="323" t="s">
        <v>533</v>
      </c>
      <c r="C39" s="243">
        <v>1850</v>
      </c>
    </row>
    <row r="40" spans="2:5">
      <c r="C40" s="325">
        <f>C38*C39</f>
        <v>2775000</v>
      </c>
      <c r="D40" s="243">
        <f>C40/E38</f>
        <v>63.705234159779614</v>
      </c>
    </row>
    <row r="41" spans="2:5">
      <c r="B41" s="323" t="s">
        <v>532</v>
      </c>
      <c r="C41" s="243">
        <v>200</v>
      </c>
    </row>
    <row r="42" spans="2:5">
      <c r="B42" s="323" t="s">
        <v>533</v>
      </c>
      <c r="C42" s="243">
        <v>400</v>
      </c>
    </row>
    <row r="43" spans="2:5">
      <c r="C43" s="325">
        <f>C41*C42</f>
        <v>80000</v>
      </c>
      <c r="D43" s="243">
        <f>C43/E38</f>
        <v>1.8365472910927456</v>
      </c>
    </row>
    <row r="44" spans="2:5">
      <c r="D44" s="243">
        <f>SUM(D40:D43)</f>
        <v>65.541781450872364</v>
      </c>
    </row>
    <row r="47" spans="2:5">
      <c r="B47" s="323" t="s">
        <v>534</v>
      </c>
    </row>
    <row r="48" spans="2:5">
      <c r="B48" s="243">
        <v>2011</v>
      </c>
      <c r="C48" s="243">
        <v>295000</v>
      </c>
    </row>
    <row r="49" spans="2:3">
      <c r="B49" s="243">
        <v>2017</v>
      </c>
      <c r="C49" s="243">
        <v>301000</v>
      </c>
    </row>
    <row r="50" spans="2:3">
      <c r="B50" s="323" t="s">
        <v>535</v>
      </c>
      <c r="C50" s="243">
        <f>C49-C48</f>
        <v>6000</v>
      </c>
    </row>
    <row r="51" spans="2:3">
      <c r="B51" s="323" t="s">
        <v>226</v>
      </c>
      <c r="C51" s="326">
        <f>C50/C48</f>
        <v>2.0338983050847456E-2</v>
      </c>
    </row>
    <row r="53" spans="2:3">
      <c r="B53" s="323" t="s">
        <v>536</v>
      </c>
    </row>
    <row r="54" spans="2:3">
      <c r="B54" s="243">
        <v>2010</v>
      </c>
      <c r="C54" s="243">
        <v>11.6</v>
      </c>
    </row>
    <row r="55" spans="2:3">
      <c r="B55" s="243">
        <v>2018</v>
      </c>
      <c r="C55" s="243">
        <v>4.0999999999999996</v>
      </c>
    </row>
    <row r="59" spans="2:3">
      <c r="B59" s="323" t="s">
        <v>130</v>
      </c>
    </row>
    <row r="60" spans="2:3">
      <c r="B60" s="323" t="s">
        <v>537</v>
      </c>
    </row>
    <row r="61" spans="2:3">
      <c r="B61" s="380" t="s">
        <v>755</v>
      </c>
    </row>
    <row r="64" spans="2:3">
      <c r="B64" s="323" t="s">
        <v>538</v>
      </c>
    </row>
    <row r="68" spans="2:4">
      <c r="B68" s="323" t="s">
        <v>306</v>
      </c>
    </row>
    <row r="69" spans="2:4">
      <c r="B69" s="243">
        <v>1790</v>
      </c>
    </row>
    <row r="70" spans="2:4">
      <c r="B70" s="243">
        <v>180</v>
      </c>
      <c r="C70" s="325">
        <f>B69*B70</f>
        <v>322200</v>
      </c>
      <c r="D70" s="243">
        <f>C70/E38</f>
        <v>7.3966942148760326</v>
      </c>
    </row>
    <row r="80" spans="2:4">
      <c r="B80" s="243">
        <v>200</v>
      </c>
    </row>
    <row r="81" spans="2:4">
      <c r="B81" s="243">
        <v>150</v>
      </c>
      <c r="C81" s="324">
        <f>B80*B81</f>
        <v>30000</v>
      </c>
      <c r="D81" s="243">
        <f>C81/E38</f>
        <v>0.68870523415977958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DBFFE-3CEC-4049-97E4-ABF85AE12A5B}">
  <dimension ref="A1:AG144"/>
  <sheetViews>
    <sheetView showGridLines="0" zoomScale="70" zoomScaleNormal="70" workbookViewId="0">
      <selection activeCell="L31" sqref="L31"/>
    </sheetView>
  </sheetViews>
  <sheetFormatPr defaultColWidth="9.1796875" defaultRowHeight="14.15" customHeight="1"/>
  <cols>
    <col min="1" max="1" width="9" style="389" customWidth="1"/>
    <col min="2" max="2" width="13.26953125" style="389" customWidth="1"/>
    <col min="3" max="3" width="13.6328125" style="674" customWidth="1"/>
    <col min="4" max="12" width="13.6328125" style="389" customWidth="1"/>
    <col min="13" max="13" width="18.90625" style="389" customWidth="1"/>
    <col min="14" max="14" width="14.1796875" style="389" customWidth="1"/>
    <col min="15" max="15" width="12" style="389" customWidth="1"/>
    <col min="16" max="17" width="0" style="389" hidden="1" customWidth="1"/>
    <col min="18" max="18" width="9.1796875" style="389"/>
    <col min="19" max="19" width="23.36328125" style="389" bestFit="1" customWidth="1"/>
    <col min="20" max="23" width="12.81640625" style="389" customWidth="1"/>
    <col min="24" max="27" width="9.1796875" style="389"/>
    <col min="28" max="33" width="13.36328125" style="389" customWidth="1"/>
    <col min="34" max="16384" width="9.1796875" style="389"/>
  </cols>
  <sheetData>
    <row r="1" spans="1:15" s="672" customFormat="1" ht="13.5" customHeight="1">
      <c r="A1" s="667" t="s">
        <v>539</v>
      </c>
      <c r="B1" s="667"/>
      <c r="C1" s="668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70" t="s">
        <v>523</v>
      </c>
      <c r="O1" s="671"/>
    </row>
    <row r="2" spans="1:15" ht="11.25" customHeight="1">
      <c r="A2" s="673"/>
      <c r="B2" s="673"/>
      <c r="D2" s="675"/>
      <c r="E2" s="676" t="s">
        <v>522</v>
      </c>
      <c r="F2" s="677"/>
      <c r="H2" s="676" t="s">
        <v>526</v>
      </c>
      <c r="J2" s="676" t="s">
        <v>527</v>
      </c>
      <c r="K2" s="677"/>
      <c r="L2" s="677"/>
      <c r="M2" s="677"/>
      <c r="N2" s="677"/>
      <c r="O2" s="677"/>
    </row>
    <row r="3" spans="1:15" ht="11.25" customHeight="1">
      <c r="A3" s="678"/>
      <c r="B3" s="678"/>
      <c r="D3" s="679">
        <v>0</v>
      </c>
      <c r="E3" s="680">
        <v>1</v>
      </c>
      <c r="F3" s="679">
        <f t="shared" ref="F3:M3" si="0">E3+1</f>
        <v>2</v>
      </c>
      <c r="G3" s="679">
        <f t="shared" si="0"/>
        <v>3</v>
      </c>
      <c r="H3" s="681">
        <f t="shared" si="0"/>
        <v>4</v>
      </c>
      <c r="I3" s="679">
        <f t="shared" si="0"/>
        <v>5</v>
      </c>
      <c r="J3" s="681">
        <f t="shared" si="0"/>
        <v>6</v>
      </c>
      <c r="K3" s="679">
        <f t="shared" si="0"/>
        <v>7</v>
      </c>
      <c r="L3" s="679">
        <f t="shared" si="0"/>
        <v>8</v>
      </c>
      <c r="M3" s="682">
        <f t="shared" si="0"/>
        <v>9</v>
      </c>
      <c r="N3" s="682">
        <v>10</v>
      </c>
      <c r="O3" s="682"/>
    </row>
    <row r="4" spans="1:15" ht="11.25" customHeight="1">
      <c r="A4" s="683" t="s">
        <v>521</v>
      </c>
      <c r="B4" s="683"/>
      <c r="D4" s="684"/>
      <c r="E4" s="685"/>
      <c r="F4" s="686"/>
      <c r="G4" s="686"/>
      <c r="H4" s="687"/>
      <c r="I4" s="686"/>
      <c r="J4" s="687"/>
      <c r="K4" s="686"/>
      <c r="L4" s="686"/>
      <c r="M4" s="677"/>
      <c r="N4" s="677"/>
      <c r="O4" s="677"/>
    </row>
    <row r="5" spans="1:15" ht="11.25" customHeight="1">
      <c r="A5" s="872" t="s">
        <v>481</v>
      </c>
      <c r="B5" s="688" t="s">
        <v>477</v>
      </c>
      <c r="D5" s="689">
        <f>combined!D5+combined!D78+combined!D151</f>
        <v>0</v>
      </c>
      <c r="E5" s="690">
        <f>combined!E5+combined!E78+combined!E151</f>
        <v>0</v>
      </c>
      <c r="F5" s="689">
        <f>combined!F5+combined!F78+combined!F151</f>
        <v>0</v>
      </c>
      <c r="G5" s="689">
        <f>combined!G5+combined!G78+combined!G151</f>
        <v>0</v>
      </c>
      <c r="H5" s="690">
        <f>combined!H5+combined!H78+combined!H151</f>
        <v>1656931.0629427526</v>
      </c>
      <c r="I5" s="689">
        <f>combined!I5+combined!I78+combined!I151</f>
        <v>5649056.5930254217</v>
      </c>
      <c r="J5" s="690">
        <f>combined!J5+combined!J78+combined!J151</f>
        <v>8081229.6893903948</v>
      </c>
      <c r="K5" s="689">
        <f>combined!K5+combined!K78+combined!K151</f>
        <v>13444467.946751386</v>
      </c>
      <c r="L5" s="689">
        <f>combined!L5+combined!L78+combined!L151</f>
        <v>15105385.48684207</v>
      </c>
      <c r="M5" s="689">
        <f>combined!M5+combined!M78+combined!M151</f>
        <v>18774485.489667557</v>
      </c>
      <c r="N5" s="689">
        <f>combined!N5+combined!N78+combined!N151</f>
        <v>19149975.199460909</v>
      </c>
      <c r="O5" s="691"/>
    </row>
    <row r="6" spans="1:15" ht="11.25" customHeight="1">
      <c r="A6" s="873"/>
      <c r="B6" s="688" t="s">
        <v>476</v>
      </c>
      <c r="D6" s="689">
        <f>combined!D6+combined!D79+combined!D152</f>
        <v>0</v>
      </c>
      <c r="E6" s="690">
        <f>combined!E6+combined!E79+combined!E152</f>
        <v>0</v>
      </c>
      <c r="F6" s="689">
        <f>combined!F6+combined!F79+combined!F152</f>
        <v>0</v>
      </c>
      <c r="G6" s="689">
        <f>combined!G6+combined!G79+combined!G152</f>
        <v>0</v>
      </c>
      <c r="H6" s="690">
        <f>combined!H6+combined!H79+combined!H152</f>
        <v>19375851.256382547</v>
      </c>
      <c r="I6" s="689">
        <f>combined!I6+combined!I79+combined!I152</f>
        <v>19763368.281510197</v>
      </c>
      <c r="J6" s="690">
        <f>combined!J6+combined!J79+combined!J152</f>
        <v>74742410.543164819</v>
      </c>
      <c r="K6" s="689">
        <f>combined!K6+combined!K79+combined!K152</f>
        <v>76237258.754028112</v>
      </c>
      <c r="L6" s="689">
        <f>combined!L6+combined!L79+combined!L152</f>
        <v>0</v>
      </c>
      <c r="M6" s="689">
        <f>combined!M6+combined!M79+combined!M152</f>
        <v>0</v>
      </c>
      <c r="N6" s="689">
        <f>combined!N6+combined!N79+combined!N152</f>
        <v>0</v>
      </c>
      <c r="O6" s="674"/>
    </row>
    <row r="7" spans="1:15" ht="11.25" hidden="1" customHeight="1">
      <c r="A7" s="692" t="s">
        <v>479</v>
      </c>
      <c r="B7" s="688" t="s">
        <v>477</v>
      </c>
      <c r="D7" s="689"/>
      <c r="E7" s="690"/>
      <c r="F7" s="689"/>
      <c r="G7" s="689"/>
      <c r="H7" s="690"/>
      <c r="I7" s="689"/>
      <c r="J7" s="690"/>
      <c r="K7" s="689"/>
      <c r="L7" s="689"/>
      <c r="M7" s="689"/>
      <c r="N7" s="689"/>
      <c r="O7" s="674"/>
    </row>
    <row r="8" spans="1:15" ht="11.25" customHeight="1">
      <c r="A8" s="872" t="s">
        <v>478</v>
      </c>
      <c r="B8" s="688" t="s">
        <v>477</v>
      </c>
      <c r="D8" s="689">
        <f>combined!D7+combined!D80+combined!D153</f>
        <v>0</v>
      </c>
      <c r="E8" s="690">
        <f>combined!E7+combined!E80+combined!E153</f>
        <v>0</v>
      </c>
      <c r="F8" s="689">
        <f>combined!F7+combined!F80+combined!F153</f>
        <v>0</v>
      </c>
      <c r="G8" s="689">
        <f>combined!G7+combined!G80+combined!G153</f>
        <v>0</v>
      </c>
      <c r="H8" s="690">
        <f>combined!H7+combined!H80+combined!H153</f>
        <v>932462.44647524355</v>
      </c>
      <c r="I8" s="689">
        <f>combined!I7+combined!I80+combined!I153</f>
        <v>951111.69540474843</v>
      </c>
      <c r="J8" s="690">
        <f>combined!J7+combined!J80+combined!J153</f>
        <v>2233194.2898963806</v>
      </c>
      <c r="K8" s="689">
        <f>combined!K7+combined!K80+combined!K153</f>
        <v>2277858.1756943073</v>
      </c>
      <c r="L8" s="689">
        <f>combined!L7+combined!L80+combined!L153</f>
        <v>2998036.3803579076</v>
      </c>
      <c r="M8" s="689">
        <f>combined!M7+combined!M80+combined!M153</f>
        <v>3057997.1079650661</v>
      </c>
      <c r="N8" s="689">
        <f>combined!N7+combined!N80+combined!N153</f>
        <v>3119157.0501243686</v>
      </c>
      <c r="O8" s="674"/>
    </row>
    <row r="9" spans="1:15" ht="11.25" hidden="1" customHeight="1">
      <c r="A9" s="873"/>
      <c r="B9" s="688" t="s">
        <v>476</v>
      </c>
      <c r="D9" s="689"/>
      <c r="E9" s="690"/>
      <c r="F9" s="689"/>
      <c r="G9" s="689"/>
      <c r="H9" s="690"/>
      <c r="I9" s="689"/>
      <c r="J9" s="690"/>
      <c r="K9" s="689"/>
      <c r="L9" s="689"/>
      <c r="M9" s="689"/>
      <c r="N9" s="689"/>
      <c r="O9" s="674"/>
    </row>
    <row r="10" spans="1:15" ht="11.25" customHeight="1">
      <c r="A10" s="875" t="s">
        <v>474</v>
      </c>
      <c r="B10" s="875"/>
      <c r="D10" s="689">
        <f>combined!D8+combined!D81+combined!D154</f>
        <v>0</v>
      </c>
      <c r="E10" s="690">
        <f>combined!E8+combined!E81+combined!E154</f>
        <v>0</v>
      </c>
      <c r="F10" s="689">
        <f>combined!F8+combined!F81+combined!F154</f>
        <v>0</v>
      </c>
      <c r="G10" s="689">
        <f>combined!G8+combined!G81+combined!G154</f>
        <v>0</v>
      </c>
      <c r="H10" s="690">
        <f>combined!H8+combined!H81+combined!H154</f>
        <v>619360.95304272883</v>
      </c>
      <c r="I10" s="689">
        <f>combined!I8+combined!I81+combined!I154</f>
        <v>9848899.0279807672</v>
      </c>
      <c r="J10" s="690">
        <f>combined!J8+combined!J81+combined!J154</f>
        <v>19468784.804733369</v>
      </c>
      <c r="K10" s="689">
        <f>combined!K8+combined!K81+combined!K154</f>
        <v>20316846.735734873</v>
      </c>
      <c r="L10" s="689">
        <f>combined!L8+combined!L81+combined!L154</f>
        <v>21484750.967001189</v>
      </c>
      <c r="M10" s="689">
        <f>combined!M8+combined!M81+combined!M154</f>
        <v>28205657.143738642</v>
      </c>
      <c r="N10" s="689">
        <f>combined!N8+combined!N81+combined!N154</f>
        <v>35186805.667158797</v>
      </c>
      <c r="O10" s="674"/>
    </row>
    <row r="11" spans="1:15" ht="11.25" customHeight="1">
      <c r="A11" s="875" t="s">
        <v>490</v>
      </c>
      <c r="B11" s="875"/>
      <c r="D11" s="689">
        <f>combined!D9+combined!D82+combined!D155</f>
        <v>0</v>
      </c>
      <c r="E11" s="690">
        <f>combined!E9+combined!E82+combined!E155</f>
        <v>0</v>
      </c>
      <c r="F11" s="689">
        <f>combined!F9+combined!F82+combined!F155</f>
        <v>0</v>
      </c>
      <c r="G11" s="689">
        <f>combined!G9+combined!G82+combined!G155</f>
        <v>0</v>
      </c>
      <c r="H11" s="690">
        <f>combined!H9+combined!H82+combined!H155</f>
        <v>2065052.0497417592</v>
      </c>
      <c r="I11" s="689">
        <f>combined!I9+combined!I82+combined!I155</f>
        <v>6027778.198349609</v>
      </c>
      <c r="J11" s="690">
        <f>combined!J9+combined!J82+combined!J155</f>
        <v>6781536.1917974949</v>
      </c>
      <c r="K11" s="689">
        <f>combined!K9+combined!K82+combined!K155</f>
        <v>8727710.6492409445</v>
      </c>
      <c r="L11" s="689">
        <f>combined!L9+combined!L82+combined!L155</f>
        <v>9010612.4994421545</v>
      </c>
      <c r="M11" s="689">
        <f>combined!M9+combined!M82+combined!M155</f>
        <v>9500627.9442389235</v>
      </c>
      <c r="N11" s="689">
        <f>combined!N9+combined!N82+combined!N155</f>
        <v>9690640.5031237062</v>
      </c>
      <c r="O11" s="674"/>
    </row>
    <row r="12" spans="1:15" ht="11.25" hidden="1" customHeight="1">
      <c r="A12" s="688"/>
      <c r="B12" s="688" t="s">
        <v>489</v>
      </c>
      <c r="D12" s="689"/>
      <c r="E12" s="690"/>
      <c r="F12" s="689"/>
      <c r="G12" s="689"/>
      <c r="H12" s="690"/>
      <c r="I12" s="689"/>
      <c r="J12" s="690"/>
      <c r="K12" s="689"/>
      <c r="L12" s="689"/>
      <c r="M12" s="689"/>
      <c r="N12" s="689"/>
      <c r="O12" s="674"/>
    </row>
    <row r="13" spans="1:15" ht="11.25" customHeight="1">
      <c r="A13" s="875" t="s">
        <v>144</v>
      </c>
      <c r="B13" s="875"/>
      <c r="D13" s="689">
        <f>combined!D10+combined!D83+combined!D156</f>
        <v>0</v>
      </c>
      <c r="E13" s="690">
        <f>combined!E10+combined!E83+combined!E156</f>
        <v>0</v>
      </c>
      <c r="F13" s="689">
        <f>combined!F10+combined!F83+combined!F156</f>
        <v>0</v>
      </c>
      <c r="G13" s="689">
        <f>combined!G10+combined!G83+combined!G156</f>
        <v>0</v>
      </c>
      <c r="H13" s="690">
        <f>combined!H10+combined!H83+combined!H156</f>
        <v>4514330.1829244187</v>
      </c>
      <c r="I13" s="689">
        <f>combined!I10+combined!I83+combined!I156</f>
        <v>4604616.7865829077</v>
      </c>
      <c r="J13" s="690">
        <f>combined!J10+combined!J83+combined!J156</f>
        <v>14225466.91960541</v>
      </c>
      <c r="K13" s="689">
        <f>combined!K10+combined!K83+combined!K156</f>
        <v>14509976.257997518</v>
      </c>
      <c r="L13" s="689">
        <f>combined!L10+combined!L83+combined!L156</f>
        <v>14800175.783157466</v>
      </c>
      <c r="M13" s="689">
        <f>combined!M10+combined!M83+combined!M156</f>
        <v>15096179.298820617</v>
      </c>
      <c r="N13" s="689">
        <f>combined!N10+combined!N83+combined!N156</f>
        <v>15398102.884797027</v>
      </c>
      <c r="O13" s="674"/>
    </row>
    <row r="14" spans="1:15" ht="11.25" customHeight="1">
      <c r="A14" s="875" t="s">
        <v>469</v>
      </c>
      <c r="B14" s="875"/>
      <c r="D14" s="689">
        <f>combined!D11+combined!D84+combined!D155</f>
        <v>0</v>
      </c>
      <c r="E14" s="690">
        <f>combined!E11+combined!E84+combined!E155</f>
        <v>0</v>
      </c>
      <c r="F14" s="689">
        <f>combined!F11+combined!F84+combined!F155</f>
        <v>0</v>
      </c>
      <c r="G14" s="689">
        <f>combined!G11+combined!G84+combined!G155</f>
        <v>0</v>
      </c>
      <c r="H14" s="690">
        <f>combined!H11+combined!H84+combined!H155</f>
        <v>460699.95673658373</v>
      </c>
      <c r="I14" s="689">
        <f>combined!I11+combined!I84+combined!I155</f>
        <v>939827.91174263135</v>
      </c>
      <c r="J14" s="690">
        <f>combined!J11+combined!J84+combined!J155</f>
        <v>1159928.4344321969</v>
      </c>
      <c r="K14" s="689">
        <f>combined!K11+combined!K84+combined!K155</f>
        <v>1388457.0468646481</v>
      </c>
      <c r="L14" s="689">
        <f>combined!L11+combined!L84+combined!L155</f>
        <v>1524573.8250183356</v>
      </c>
      <c r="M14" s="689">
        <f>combined!M11+combined!M84+combined!M155</f>
        <v>1864868.4963266295</v>
      </c>
      <c r="N14" s="689">
        <f>combined!N11+combined!N84+combined!N155</f>
        <v>1902165.8662531618</v>
      </c>
      <c r="O14" s="674"/>
    </row>
    <row r="15" spans="1:15" ht="11.25" hidden="1" customHeight="1">
      <c r="A15" s="875" t="s">
        <v>468</v>
      </c>
      <c r="B15" s="875"/>
      <c r="D15" s="689"/>
      <c r="E15" s="690"/>
      <c r="F15" s="689"/>
      <c r="G15" s="689"/>
      <c r="H15" s="690"/>
      <c r="I15" s="689"/>
      <c r="J15" s="690"/>
      <c r="K15" s="689"/>
      <c r="L15" s="689"/>
      <c r="M15" s="689"/>
      <c r="N15" s="689"/>
      <c r="O15" s="674"/>
    </row>
    <row r="16" spans="1:15" ht="11.25" hidden="1" customHeight="1">
      <c r="A16" s="875" t="s">
        <v>515</v>
      </c>
      <c r="B16" s="875"/>
      <c r="D16" s="689"/>
      <c r="E16" s="690"/>
      <c r="F16" s="689"/>
      <c r="G16" s="689"/>
      <c r="H16" s="690"/>
      <c r="I16" s="689"/>
      <c r="J16" s="690"/>
      <c r="K16" s="689"/>
      <c r="L16" s="689"/>
      <c r="M16" s="689"/>
      <c r="N16" s="689"/>
      <c r="O16" s="674"/>
    </row>
    <row r="17" spans="1:15" ht="11.25" hidden="1" customHeight="1">
      <c r="A17" s="688"/>
      <c r="B17" s="688" t="s">
        <v>244</v>
      </c>
      <c r="D17" s="689"/>
      <c r="E17" s="690"/>
      <c r="F17" s="689"/>
      <c r="G17" s="689"/>
      <c r="H17" s="690"/>
      <c r="I17" s="689"/>
      <c r="J17" s="690"/>
      <c r="K17" s="689"/>
      <c r="L17" s="689"/>
      <c r="M17" s="689"/>
      <c r="N17" s="689"/>
      <c r="O17" s="674"/>
    </row>
    <row r="18" spans="1:15" ht="11.25" hidden="1" customHeight="1">
      <c r="A18" s="875" t="s">
        <v>520</v>
      </c>
      <c r="B18" s="875"/>
      <c r="D18" s="689"/>
      <c r="E18" s="690"/>
      <c r="F18" s="689"/>
      <c r="G18" s="689"/>
      <c r="H18" s="690"/>
      <c r="I18" s="689"/>
      <c r="J18" s="690"/>
      <c r="K18" s="689"/>
      <c r="L18" s="689"/>
      <c r="M18" s="689"/>
      <c r="N18" s="689"/>
      <c r="O18" s="674"/>
    </row>
    <row r="19" spans="1:15" ht="11.25" hidden="1" customHeight="1">
      <c r="A19" s="688"/>
      <c r="B19" s="688" t="s">
        <v>519</v>
      </c>
      <c r="D19" s="689"/>
      <c r="E19" s="690"/>
      <c r="F19" s="689"/>
      <c r="G19" s="689"/>
      <c r="H19" s="690"/>
      <c r="I19" s="689"/>
      <c r="J19" s="690"/>
      <c r="K19" s="689"/>
      <c r="L19" s="689"/>
      <c r="M19" s="689"/>
      <c r="N19" s="689"/>
      <c r="O19" s="674"/>
    </row>
    <row r="20" spans="1:15" ht="11.25" customHeight="1">
      <c r="A20" s="875" t="s">
        <v>283</v>
      </c>
      <c r="B20" s="875"/>
      <c r="D20" s="689">
        <f>combined!D12+combined!D85+combined!D158</f>
        <v>0</v>
      </c>
      <c r="E20" s="690">
        <f>combined!E12+combined!E85+combined!E158</f>
        <v>0</v>
      </c>
      <c r="F20" s="689">
        <f>combined!F12+combined!F85+combined!F158</f>
        <v>0</v>
      </c>
      <c r="G20" s="689">
        <f>combined!G12+combined!G85+combined!G158</f>
        <v>0</v>
      </c>
      <c r="H20" s="690">
        <f>combined!H12+combined!H85+combined!H158</f>
        <v>166574.2824</v>
      </c>
      <c r="I20" s="689">
        <f>combined!I12+combined!I85+combined!I158</f>
        <v>169905.768048</v>
      </c>
      <c r="J20" s="690">
        <f>combined!J12+combined!J85+combined!J158</f>
        <v>173303.88340896001</v>
      </c>
      <c r="K20" s="689">
        <f>combined!K12+combined!K85+combined!K158</f>
        <v>176769.96107713922</v>
      </c>
      <c r="L20" s="689">
        <f>combined!L12+combined!L85+combined!L158</f>
        <v>180305.36029868198</v>
      </c>
      <c r="M20" s="689">
        <f>combined!M12+combined!M85+combined!M158</f>
        <v>183911.46750465562</v>
      </c>
      <c r="N20" s="689">
        <f>combined!N12+combined!N85+combined!N158</f>
        <v>187589.69685474873</v>
      </c>
      <c r="O20" s="693"/>
    </row>
    <row r="21" spans="1:15" ht="11.25" customHeight="1">
      <c r="A21" s="874" t="s">
        <v>518</v>
      </c>
      <c r="B21" s="874"/>
      <c r="D21" s="694">
        <f t="shared" ref="D21:N21" si="1">SUM(D5:D20)</f>
        <v>0</v>
      </c>
      <c r="E21" s="695">
        <f t="shared" si="1"/>
        <v>0</v>
      </c>
      <c r="F21" s="694">
        <f t="shared" si="1"/>
        <v>0</v>
      </c>
      <c r="G21" s="694">
        <f t="shared" si="1"/>
        <v>0</v>
      </c>
      <c r="H21" s="695">
        <f t="shared" si="1"/>
        <v>29791262.190646037</v>
      </c>
      <c r="I21" s="694">
        <f t="shared" si="1"/>
        <v>47954564.262644291</v>
      </c>
      <c r="J21" s="695">
        <f t="shared" si="1"/>
        <v>126865854.75642902</v>
      </c>
      <c r="K21" s="694">
        <f t="shared" si="1"/>
        <v>137079345.52738893</v>
      </c>
      <c r="L21" s="694">
        <f t="shared" si="1"/>
        <v>65103840.302117802</v>
      </c>
      <c r="M21" s="694">
        <f t="shared" si="1"/>
        <v>76683726.948262081</v>
      </c>
      <c r="N21" s="694">
        <f t="shared" si="1"/>
        <v>84634436.867772728</v>
      </c>
      <c r="O21" s="696"/>
    </row>
    <row r="22" spans="1:15" ht="11.25" customHeight="1">
      <c r="A22" s="871" t="s">
        <v>517</v>
      </c>
      <c r="B22" s="871"/>
      <c r="D22" s="678"/>
      <c r="E22" s="697"/>
      <c r="F22" s="410"/>
      <c r="G22" s="410"/>
      <c r="H22" s="698"/>
      <c r="I22" s="410"/>
      <c r="J22" s="698"/>
      <c r="K22" s="410"/>
      <c r="L22" s="410"/>
      <c r="M22" s="699"/>
      <c r="N22" s="700">
        <f>(combined!N35+combined!N108+combined!N181)</f>
        <v>1171600377.8441215</v>
      </c>
      <c r="O22" s="699"/>
    </row>
    <row r="23" spans="1:15" ht="11.25" customHeight="1">
      <c r="A23" s="701"/>
      <c r="B23" s="701" t="s">
        <v>516</v>
      </c>
      <c r="D23" s="702">
        <f t="shared" ref="D23:N23" si="2">SUM(D21:D22)</f>
        <v>0</v>
      </c>
      <c r="E23" s="703">
        <f t="shared" si="2"/>
        <v>0</v>
      </c>
      <c r="F23" s="702">
        <f t="shared" si="2"/>
        <v>0</v>
      </c>
      <c r="G23" s="702">
        <f t="shared" si="2"/>
        <v>0</v>
      </c>
      <c r="H23" s="703">
        <f t="shared" si="2"/>
        <v>29791262.190646037</v>
      </c>
      <c r="I23" s="702">
        <f t="shared" si="2"/>
        <v>47954564.262644291</v>
      </c>
      <c r="J23" s="703">
        <f t="shared" si="2"/>
        <v>126865854.75642902</v>
      </c>
      <c r="K23" s="702">
        <f t="shared" si="2"/>
        <v>137079345.52738893</v>
      </c>
      <c r="L23" s="702">
        <f t="shared" si="2"/>
        <v>65103840.302117802</v>
      </c>
      <c r="M23" s="702">
        <f t="shared" si="2"/>
        <v>76683726.948262081</v>
      </c>
      <c r="N23" s="702">
        <f t="shared" si="2"/>
        <v>1256234814.7118943</v>
      </c>
    </row>
    <row r="24" spans="1:15" s="706" customFormat="1" ht="11.25" customHeight="1">
      <c r="A24" s="704"/>
      <c r="B24" s="705"/>
      <c r="D24" s="707"/>
      <c r="E24" s="708"/>
      <c r="G24" s="699"/>
      <c r="H24" s="709"/>
      <c r="I24" s="699"/>
      <c r="J24" s="709"/>
    </row>
    <row r="25" spans="1:15" ht="11.25" customHeight="1">
      <c r="A25" s="683" t="s">
        <v>485</v>
      </c>
      <c r="B25" s="683"/>
      <c r="D25" s="684"/>
      <c r="E25" s="685"/>
      <c r="F25" s="686"/>
      <c r="G25" s="686"/>
      <c r="H25" s="687"/>
      <c r="I25" s="686"/>
      <c r="J25" s="687"/>
      <c r="K25" s="686"/>
      <c r="L25" s="686"/>
      <c r="M25" s="677"/>
      <c r="N25" s="677"/>
      <c r="O25" s="677"/>
    </row>
    <row r="26" spans="1:15" ht="11.25" customHeight="1">
      <c r="A26" s="872" t="s">
        <v>481</v>
      </c>
      <c r="B26" s="688" t="s">
        <v>477</v>
      </c>
      <c r="D26" s="689">
        <f>combined!D27+combined!D100+combined!D173</f>
        <v>0</v>
      </c>
      <c r="E26" s="690">
        <f>combined!E27+combined!E100+combined!E173</f>
        <v>-16605922.729999997</v>
      </c>
      <c r="F26" s="689">
        <f>combined!F27+combined!F100+combined!F173</f>
        <v>-16666078.584599996</v>
      </c>
      <c r="G26" s="689">
        <f>combined!G27+combined!G100+combined!G173</f>
        <v>-16999400.156291999</v>
      </c>
      <c r="H26" s="690">
        <f>combined!H27+combined!H100+combined!H173</f>
        <v>-32845714.350793924</v>
      </c>
      <c r="I26" s="689">
        <f>combined!I27+combined!I100+combined!I173</f>
        <v>-33502628.637809802</v>
      </c>
      <c r="J26" s="690">
        <f>combined!J27+combined!J100+combined!J173</f>
        <v>-21260953.664164465</v>
      </c>
      <c r="K26" s="689">
        <f>combined!K27+combined!K100+combined!K173</f>
        <v>-21686172.737447757</v>
      </c>
      <c r="L26" s="689">
        <f>combined!L27+combined!L100+combined!L173</f>
        <v>0</v>
      </c>
      <c r="M26" s="689">
        <f>combined!M27+combined!M100+combined!M173</f>
        <v>0</v>
      </c>
      <c r="N26" s="689">
        <v>0</v>
      </c>
      <c r="O26" s="710"/>
    </row>
    <row r="27" spans="1:15" ht="11.25" customHeight="1">
      <c r="A27" s="873"/>
      <c r="B27" s="688" t="s">
        <v>476</v>
      </c>
      <c r="D27" s="689">
        <f>combined!D28+combined!D101+combined!D174</f>
        <v>0</v>
      </c>
      <c r="E27" s="690">
        <f>combined!E28+combined!E101+combined!E174</f>
        <v>-7697006.1449999996</v>
      </c>
      <c r="F27" s="689">
        <f>combined!F28+combined!F101+combined!F174</f>
        <v>-7850946.2678999994</v>
      </c>
      <c r="G27" s="689">
        <f>combined!G28+combined!G101+combined!G174</f>
        <v>-8007965.1932579977</v>
      </c>
      <c r="H27" s="690">
        <f>combined!H28+combined!H101+combined!H174</f>
        <v>-44075420.065578155</v>
      </c>
      <c r="I27" s="689">
        <f>combined!I28+combined!I101+combined!I174</f>
        <v>-44956928.466889717</v>
      </c>
      <c r="J27" s="690">
        <f>combined!J28+combined!J101+combined!J174</f>
        <v>0</v>
      </c>
      <c r="K27" s="689">
        <f>combined!K28+combined!K101+combined!K174</f>
        <v>0</v>
      </c>
      <c r="L27" s="689">
        <f>combined!L28+combined!L101+combined!L174</f>
        <v>0</v>
      </c>
      <c r="M27" s="689">
        <f>combined!M28+combined!M101+combined!M174</f>
        <v>0</v>
      </c>
      <c r="N27" s="689">
        <v>0</v>
      </c>
      <c r="O27" s="710"/>
    </row>
    <row r="28" spans="1:15" ht="11.25" customHeight="1">
      <c r="A28" s="692" t="s">
        <v>479</v>
      </c>
      <c r="B28" s="688" t="s">
        <v>477</v>
      </c>
      <c r="D28" s="689"/>
      <c r="E28" s="690"/>
      <c r="F28" s="689"/>
      <c r="G28" s="689"/>
      <c r="H28" s="690"/>
      <c r="I28" s="689"/>
      <c r="J28" s="690"/>
      <c r="K28" s="689"/>
      <c r="L28" s="689"/>
      <c r="M28" s="689"/>
      <c r="N28" s="689">
        <v>0</v>
      </c>
      <c r="O28" s="710"/>
    </row>
    <row r="29" spans="1:15" ht="11.25" customHeight="1">
      <c r="A29" s="872" t="s">
        <v>478</v>
      </c>
      <c r="B29" s="688" t="s">
        <v>477</v>
      </c>
      <c r="D29" s="689">
        <f>combined!D29+combined!D102+combined!D175</f>
        <v>0</v>
      </c>
      <c r="E29" s="690">
        <f>combined!E29+combined!E102+combined!E175</f>
        <v>-4801785.84</v>
      </c>
      <c r="F29" s="689">
        <f>combined!F29+combined!F102+combined!F175</f>
        <v>-4897821.5567999994</v>
      </c>
      <c r="G29" s="689">
        <f>combined!G29+combined!G102+combined!G175</f>
        <v>-4995777.9879360003</v>
      </c>
      <c r="H29" s="690">
        <f>combined!H29+combined!H102+combined!H175</f>
        <v>-9951463.9195229001</v>
      </c>
      <c r="I29" s="689">
        <f>combined!I29+combined!I102+combined!I175</f>
        <v>-10150493.197913358</v>
      </c>
      <c r="J29" s="690">
        <f>combined!J29+combined!J102+combined!J175</f>
        <v>-5315238.4160411162</v>
      </c>
      <c r="K29" s="689">
        <f>combined!K29+combined!K102+combined!K175</f>
        <v>-5421543.1843619393</v>
      </c>
      <c r="L29" s="689">
        <f>combined!L29+combined!L102+combined!L175</f>
        <v>0</v>
      </c>
      <c r="M29" s="689">
        <f>combined!M29+combined!M102+combined!M175</f>
        <v>0</v>
      </c>
      <c r="N29" s="689">
        <v>0</v>
      </c>
      <c r="O29" s="710"/>
    </row>
    <row r="30" spans="1:15" ht="11.25" customHeight="1">
      <c r="A30" s="873"/>
      <c r="B30" s="688" t="s">
        <v>476</v>
      </c>
      <c r="D30" s="689"/>
      <c r="E30" s="690"/>
      <c r="F30" s="689"/>
      <c r="G30" s="689"/>
      <c r="H30" s="690"/>
      <c r="I30" s="689"/>
      <c r="J30" s="690"/>
      <c r="K30" s="689"/>
      <c r="L30" s="689"/>
      <c r="M30" s="689"/>
      <c r="N30" s="689">
        <v>0</v>
      </c>
      <c r="O30" s="710"/>
    </row>
    <row r="31" spans="1:15" ht="11.25" customHeight="1">
      <c r="A31" s="875" t="s">
        <v>474</v>
      </c>
      <c r="B31" s="875"/>
      <c r="D31" s="689">
        <f>combined!D30+combined!D103+combined!D176</f>
        <v>0</v>
      </c>
      <c r="E31" s="690">
        <f>combined!E30+combined!E103+combined!E176</f>
        <v>-49011494.25</v>
      </c>
      <c r="F31" s="689">
        <f>combined!F30+combined!F103+combined!F176</f>
        <v>-69058678.533437952</v>
      </c>
      <c r="G31" s="689">
        <f>combined!G30+combined!G103+combined!G176</f>
        <v>-51842058.617699996</v>
      </c>
      <c r="H31" s="690">
        <f>combined!H30+combined!H103+combined!H176</f>
        <v>-3815975.9332547998</v>
      </c>
      <c r="I31" s="689">
        <f>combined!I30+combined!I103+combined!I176</f>
        <v>-3892295.4519198956</v>
      </c>
      <c r="J31" s="690">
        <f>combined!J30+combined!J103+combined!J176</f>
        <v>-52338850.70156718</v>
      </c>
      <c r="K31" s="689">
        <f>combined!K30+combined!K103+combined!K176</f>
        <v>-53385627.715598539</v>
      </c>
      <c r="L31" s="689">
        <f>combined!L30+combined!L103+combined!L176</f>
        <v>0</v>
      </c>
      <c r="M31" s="689">
        <f>combined!M30+combined!M103+combined!M176</f>
        <v>0</v>
      </c>
      <c r="N31" s="689">
        <v>0</v>
      </c>
      <c r="O31" s="710"/>
    </row>
    <row r="32" spans="1:15" ht="11.25" customHeight="1">
      <c r="A32" s="875" t="s">
        <v>473</v>
      </c>
      <c r="B32" s="875"/>
      <c r="D32" s="689">
        <f>combined!D31+combined!D104+combined!D177</f>
        <v>0</v>
      </c>
      <c r="E32" s="690">
        <f>combined!E31+combined!E104+combined!E177</f>
        <v>-13319015.708308499</v>
      </c>
      <c r="F32" s="689">
        <f>combined!F31+combined!F104+combined!F177</f>
        <v>-13585396.022474671</v>
      </c>
      <c r="G32" s="689">
        <f>combined!G31+combined!G104+combined!G177</f>
        <v>-14487348.942924164</v>
      </c>
      <c r="H32" s="690">
        <f>combined!H31+combined!H104+combined!H177</f>
        <v>-9865539.7714420613</v>
      </c>
      <c r="I32" s="689">
        <f>combined!I31+combined!I104+combined!I177</f>
        <v>-10062850.566870904</v>
      </c>
      <c r="J32" s="690">
        <f>combined!J31+combined!J104+combined!J177</f>
        <v>-1688098.267368335</v>
      </c>
      <c r="K32" s="689">
        <f>combined!K31+combined!K104+combined!K177</f>
        <v>-1721860.2327157017</v>
      </c>
      <c r="L32" s="689">
        <f>combined!L31+combined!L104+combined!L177</f>
        <v>0</v>
      </c>
      <c r="M32" s="689">
        <f>combined!M31+combined!M104+combined!M177</f>
        <v>0</v>
      </c>
      <c r="N32" s="689">
        <v>0</v>
      </c>
      <c r="O32" s="710"/>
    </row>
    <row r="33" spans="1:15" ht="11.25" customHeight="1">
      <c r="A33" s="875" t="s">
        <v>144</v>
      </c>
      <c r="B33" s="875"/>
      <c r="D33" s="689">
        <f>combined!D32+combined!D105+combined!D178</f>
        <v>0</v>
      </c>
      <c r="E33" s="690">
        <f>combined!E32+combined!E105+combined!E178</f>
        <v>-9966217.5098999999</v>
      </c>
      <c r="F33" s="689">
        <f>combined!F32+combined!F105+combined!F178</f>
        <v>-10165541.860097999</v>
      </c>
      <c r="G33" s="689">
        <f>combined!G32+combined!G105+combined!G178</f>
        <v>-10368852.697299959</v>
      </c>
      <c r="H33" s="690">
        <f>combined!H32+combined!H105+combined!H178</f>
        <v>-32185833.447503395</v>
      </c>
      <c r="I33" s="689">
        <f>combined!I32+combined!I105+combined!I178</f>
        <v>-32829550.116453461</v>
      </c>
      <c r="J33" s="690">
        <f>combined!J32+combined!J105+combined!J178</f>
        <v>0</v>
      </c>
      <c r="K33" s="689">
        <f>combined!K32+combined!K105+combined!K178</f>
        <v>0</v>
      </c>
      <c r="L33" s="689">
        <f>combined!L32+combined!L105+combined!L178</f>
        <v>0</v>
      </c>
      <c r="M33" s="689">
        <f>combined!M32+combined!M105+combined!M178</f>
        <v>0</v>
      </c>
      <c r="N33" s="689">
        <v>0</v>
      </c>
      <c r="O33" s="710"/>
    </row>
    <row r="34" spans="1:15" ht="11.25" customHeight="1">
      <c r="A34" s="875" t="s">
        <v>469</v>
      </c>
      <c r="B34" s="875"/>
      <c r="D34" s="689">
        <f>combined!D33+combined!D106+combined!D179</f>
        <v>0</v>
      </c>
      <c r="E34" s="690">
        <f>combined!E33+combined!E106+combined!E179</f>
        <v>-7532697.6671800008</v>
      </c>
      <c r="F34" s="689">
        <f>combined!F33+combined!F106+combined!F179</f>
        <v>-7683351.6205236008</v>
      </c>
      <c r="G34" s="689">
        <f>combined!G33+combined!G106+combined!G179</f>
        <v>-7837018.6529340725</v>
      </c>
      <c r="H34" s="690">
        <f>combined!H33+combined!H106+combined!H179</f>
        <v>-5035888.7131238747</v>
      </c>
      <c r="I34" s="689">
        <f>combined!I33+combined!I106+combined!I179</f>
        <v>-5136606.4873863524</v>
      </c>
      <c r="J34" s="690">
        <f>combined!J33+combined!J106+combined!J179</f>
        <v>-13072873.246266725</v>
      </c>
      <c r="K34" s="689">
        <f>combined!K33+combined!K106+combined!K179</f>
        <v>-13334330.71119206</v>
      </c>
      <c r="L34" s="689">
        <f>combined!L33+combined!L106+combined!L179</f>
        <v>0</v>
      </c>
      <c r="M34" s="689">
        <f>combined!M33+combined!M106+combined!M179</f>
        <v>0</v>
      </c>
      <c r="N34" s="689">
        <v>0</v>
      </c>
      <c r="O34" s="710"/>
    </row>
    <row r="35" spans="1:15" ht="11.25" customHeight="1">
      <c r="A35" s="875" t="s">
        <v>468</v>
      </c>
      <c r="B35" s="875"/>
      <c r="D35" s="689"/>
      <c r="E35" s="690"/>
      <c r="F35" s="689"/>
      <c r="G35" s="689"/>
      <c r="H35" s="690"/>
      <c r="I35" s="689"/>
      <c r="J35" s="690"/>
      <c r="K35" s="689"/>
      <c r="L35" s="689"/>
      <c r="M35" s="689"/>
      <c r="N35" s="689">
        <v>0</v>
      </c>
      <c r="O35" s="710"/>
    </row>
    <row r="36" spans="1:15" ht="11.25" customHeight="1">
      <c r="A36" s="875" t="s">
        <v>515</v>
      </c>
      <c r="B36" s="875"/>
      <c r="D36" s="689"/>
      <c r="E36" s="690"/>
      <c r="F36" s="689"/>
      <c r="G36" s="689"/>
      <c r="H36" s="690"/>
      <c r="I36" s="689"/>
      <c r="J36" s="690"/>
      <c r="K36" s="689"/>
      <c r="L36" s="689"/>
      <c r="M36" s="689"/>
      <c r="N36" s="689">
        <v>0</v>
      </c>
      <c r="O36" s="710"/>
    </row>
    <row r="37" spans="1:15" ht="11.25" customHeight="1">
      <c r="A37" s="875" t="s">
        <v>283</v>
      </c>
      <c r="B37" s="875"/>
      <c r="D37" s="689">
        <f>combined!D34+combined!D107+combined!D180</f>
        <v>0</v>
      </c>
      <c r="E37" s="690">
        <f>combined!E34+combined!E107+combined!E180</f>
        <v>-9738961.59045</v>
      </c>
      <c r="F37" s="689">
        <f>combined!F34+combined!F107+combined!F180</f>
        <v>-9933740.8222590014</v>
      </c>
      <c r="G37" s="689">
        <f>combined!G34+combined!G107+combined!G180</f>
        <v>-10132415.638704181</v>
      </c>
      <c r="H37" s="690">
        <f>combined!H34+combined!H107+combined!H180</f>
        <v>0</v>
      </c>
      <c r="I37" s="689">
        <f>combined!I34+combined!I107+combined!I180</f>
        <v>0</v>
      </c>
      <c r="J37" s="690">
        <f>combined!J34+combined!J107+combined!J180</f>
        <v>0</v>
      </c>
      <c r="K37" s="689">
        <f>combined!K34+combined!K107+combined!K180</f>
        <v>0</v>
      </c>
      <c r="L37" s="689">
        <f>combined!L34+combined!L107+combined!L180</f>
        <v>0</v>
      </c>
      <c r="M37" s="689">
        <f>combined!M34+combined!M107+combined!M180</f>
        <v>0</v>
      </c>
      <c r="N37" s="689">
        <f>combined!N34+combined!N107+combined!N180</f>
        <v>0</v>
      </c>
      <c r="O37" s="710"/>
    </row>
    <row r="38" spans="1:15" ht="11.25" customHeight="1">
      <c r="A38" s="688"/>
      <c r="B38" s="688" t="s">
        <v>514</v>
      </c>
      <c r="D38" s="674"/>
      <c r="E38" s="690"/>
      <c r="F38" s="689"/>
      <c r="G38" s="689"/>
      <c r="H38" s="690"/>
      <c r="I38" s="689"/>
      <c r="J38" s="690"/>
      <c r="K38" s="689"/>
      <c r="L38" s="689"/>
      <c r="M38" s="689"/>
      <c r="N38" s="689">
        <v>0</v>
      </c>
      <c r="O38" s="710"/>
    </row>
    <row r="39" spans="1:15" ht="11.25" customHeight="1">
      <c r="A39" s="875" t="s">
        <v>513</v>
      </c>
      <c r="B39" s="875"/>
      <c r="D39" s="689">
        <f>combined!D37+combined!D110+combined!D183</f>
        <v>0</v>
      </c>
      <c r="E39" s="690">
        <f>combined!E37+combined!E110+combined!E183</f>
        <v>-42997813.976721264</v>
      </c>
      <c r="F39" s="689">
        <f>combined!F37+combined!F110+combined!F183</f>
        <v>-42997813.976721264</v>
      </c>
      <c r="G39" s="689">
        <f>combined!G37+combined!G110+combined!G183</f>
        <v>-42997813.976721264</v>
      </c>
      <c r="H39" s="690">
        <f>combined!H37+combined!H110+combined!H183</f>
        <v>-912637.68</v>
      </c>
      <c r="I39" s="689">
        <f>combined!I37+combined!I110+combined!I183</f>
        <v>-912637.68</v>
      </c>
      <c r="J39" s="690">
        <f>combined!J37+combined!J110+combined!J183</f>
        <v>-304212.56</v>
      </c>
      <c r="K39" s="689">
        <f>combined!K37+combined!K110+combined!K183</f>
        <v>-304212.56</v>
      </c>
      <c r="L39" s="689">
        <f>combined!L37+combined!L110+combined!L183</f>
        <v>0</v>
      </c>
      <c r="M39" s="689">
        <f>combined!M37+combined!M110+combined!M183</f>
        <v>0</v>
      </c>
      <c r="N39" s="689">
        <f>combined!N37+combined!N110+combined!N183</f>
        <v>0</v>
      </c>
      <c r="O39" s="710"/>
    </row>
    <row r="40" spans="1:15" ht="11.25" customHeight="1">
      <c r="A40" s="711"/>
      <c r="B40" s="711" t="s">
        <v>512</v>
      </c>
      <c r="D40" s="712"/>
      <c r="E40" s="713"/>
      <c r="F40" s="712"/>
      <c r="G40" s="712"/>
      <c r="H40" s="713"/>
      <c r="I40" s="712"/>
      <c r="J40" s="713"/>
      <c r="K40" s="712"/>
      <c r="L40" s="712"/>
      <c r="M40" s="712"/>
      <c r="N40" s="689">
        <v>0</v>
      </c>
      <c r="O40" s="686"/>
    </row>
    <row r="41" spans="1:15" ht="11.25" customHeight="1">
      <c r="A41" s="874" t="s">
        <v>457</v>
      </c>
      <c r="B41" s="874"/>
      <c r="D41" s="694">
        <f t="shared" ref="D41:N41" si="3">SUM(D25:D40)</f>
        <v>0</v>
      </c>
      <c r="E41" s="695">
        <f t="shared" si="3"/>
        <v>-161670915.41755977</v>
      </c>
      <c r="F41" s="694">
        <f t="shared" si="3"/>
        <v>-182839369.24481449</v>
      </c>
      <c r="G41" s="694">
        <f t="shared" si="3"/>
        <v>-167668651.86376962</v>
      </c>
      <c r="H41" s="695">
        <f t="shared" si="3"/>
        <v>-138688473.88121912</v>
      </c>
      <c r="I41" s="694">
        <f t="shared" si="3"/>
        <v>-141443990.6052435</v>
      </c>
      <c r="J41" s="695">
        <f t="shared" si="3"/>
        <v>-93980226.855407819</v>
      </c>
      <c r="K41" s="694">
        <f t="shared" si="3"/>
        <v>-95853747.141315982</v>
      </c>
      <c r="L41" s="694">
        <f t="shared" si="3"/>
        <v>0</v>
      </c>
      <c r="M41" s="694">
        <f t="shared" si="3"/>
        <v>0</v>
      </c>
      <c r="N41" s="694">
        <f t="shared" si="3"/>
        <v>0</v>
      </c>
      <c r="O41" s="686"/>
    </row>
    <row r="42" spans="1:15" s="715" customFormat="1" ht="11.25" customHeight="1">
      <c r="A42" s="714"/>
      <c r="B42" s="714"/>
      <c r="D42" s="716"/>
      <c r="E42" s="717"/>
      <c r="G42" s="389"/>
      <c r="H42" s="718"/>
      <c r="I42" s="389"/>
      <c r="J42" s="718"/>
      <c r="M42" s="719"/>
      <c r="N42" s="719"/>
      <c r="O42" s="719"/>
    </row>
    <row r="43" spans="1:15" ht="11.25" customHeight="1">
      <c r="A43" s="720" t="s">
        <v>511</v>
      </c>
      <c r="B43" s="720"/>
      <c r="D43" s="721"/>
      <c r="E43" s="722"/>
      <c r="F43" s="677"/>
      <c r="G43" s="677"/>
      <c r="H43" s="723"/>
      <c r="I43" s="677"/>
      <c r="J43" s="723"/>
      <c r="K43" s="677"/>
      <c r="L43" s="677"/>
      <c r="M43" s="677"/>
      <c r="N43" s="677"/>
      <c r="O43" s="677"/>
    </row>
    <row r="44" spans="1:15" ht="11.25" customHeight="1">
      <c r="A44" s="875" t="s">
        <v>510</v>
      </c>
      <c r="B44" s="875"/>
      <c r="D44" s="724">
        <f t="shared" ref="D44:N44" si="4">D21</f>
        <v>0</v>
      </c>
      <c r="E44" s="725">
        <f t="shared" si="4"/>
        <v>0</v>
      </c>
      <c r="F44" s="724">
        <f t="shared" si="4"/>
        <v>0</v>
      </c>
      <c r="G44" s="724">
        <f t="shared" si="4"/>
        <v>0</v>
      </c>
      <c r="H44" s="725">
        <f t="shared" si="4"/>
        <v>29791262.190646037</v>
      </c>
      <c r="I44" s="724">
        <f t="shared" si="4"/>
        <v>47954564.262644291</v>
      </c>
      <c r="J44" s="725">
        <f t="shared" si="4"/>
        <v>126865854.75642902</v>
      </c>
      <c r="K44" s="724">
        <f t="shared" si="4"/>
        <v>137079345.52738893</v>
      </c>
      <c r="L44" s="724">
        <f t="shared" si="4"/>
        <v>65103840.302117802</v>
      </c>
      <c r="M44" s="726">
        <f t="shared" si="4"/>
        <v>76683726.948262081</v>
      </c>
      <c r="N44" s="726">
        <f t="shared" si="4"/>
        <v>84634436.867772728</v>
      </c>
      <c r="O44" s="727"/>
    </row>
    <row r="45" spans="1:15" ht="11.25" customHeight="1">
      <c r="A45" s="688"/>
      <c r="B45" s="688" t="s">
        <v>509</v>
      </c>
      <c r="D45" s="689">
        <f t="shared" ref="D45:N45" si="5">D22</f>
        <v>0</v>
      </c>
      <c r="E45" s="690">
        <f t="shared" si="5"/>
        <v>0</v>
      </c>
      <c r="F45" s="689">
        <f t="shared" si="5"/>
        <v>0</v>
      </c>
      <c r="G45" s="689">
        <f t="shared" si="5"/>
        <v>0</v>
      </c>
      <c r="H45" s="690">
        <f t="shared" si="5"/>
        <v>0</v>
      </c>
      <c r="I45" s="689">
        <f t="shared" si="5"/>
        <v>0</v>
      </c>
      <c r="J45" s="690">
        <f t="shared" si="5"/>
        <v>0</v>
      </c>
      <c r="K45" s="689">
        <f t="shared" si="5"/>
        <v>0</v>
      </c>
      <c r="L45" s="689">
        <f t="shared" si="5"/>
        <v>0</v>
      </c>
      <c r="M45" s="728">
        <f t="shared" si="5"/>
        <v>0</v>
      </c>
      <c r="N45" s="728">
        <f t="shared" si="5"/>
        <v>1171600377.8441215</v>
      </c>
      <c r="O45" s="686"/>
    </row>
    <row r="46" spans="1:15" ht="11.25" customHeight="1">
      <c r="A46" s="875" t="s">
        <v>508</v>
      </c>
      <c r="B46" s="875"/>
      <c r="D46" s="729"/>
      <c r="E46" s="730"/>
      <c r="F46" s="710"/>
      <c r="G46" s="710"/>
      <c r="H46" s="731"/>
      <c r="I46" s="710"/>
      <c r="J46" s="731"/>
      <c r="K46" s="710"/>
      <c r="L46" s="710"/>
      <c r="M46" s="710"/>
      <c r="N46" s="710"/>
      <c r="O46" s="710"/>
    </row>
    <row r="47" spans="1:15" ht="11.25" customHeight="1">
      <c r="A47" s="875" t="s">
        <v>457</v>
      </c>
      <c r="B47" s="875"/>
      <c r="D47" s="724">
        <f t="shared" ref="D47:N47" si="6">D41</f>
        <v>0</v>
      </c>
      <c r="E47" s="725">
        <f t="shared" si="6"/>
        <v>-161670915.41755977</v>
      </c>
      <c r="F47" s="724">
        <f t="shared" si="6"/>
        <v>-182839369.24481449</v>
      </c>
      <c r="G47" s="724">
        <f t="shared" si="6"/>
        <v>-167668651.86376962</v>
      </c>
      <c r="H47" s="725">
        <f t="shared" si="6"/>
        <v>-138688473.88121912</v>
      </c>
      <c r="I47" s="724">
        <f t="shared" si="6"/>
        <v>-141443990.6052435</v>
      </c>
      <c r="J47" s="725">
        <f t="shared" si="6"/>
        <v>-93980226.855407819</v>
      </c>
      <c r="K47" s="724">
        <f t="shared" si="6"/>
        <v>-95853747.141315982</v>
      </c>
      <c r="L47" s="724">
        <f t="shared" si="6"/>
        <v>0</v>
      </c>
      <c r="M47" s="726">
        <f t="shared" si="6"/>
        <v>0</v>
      </c>
      <c r="N47" s="726">
        <f t="shared" si="6"/>
        <v>0</v>
      </c>
      <c r="O47" s="710"/>
    </row>
    <row r="48" spans="1:15" ht="11.25" customHeight="1">
      <c r="A48" s="732" t="s">
        <v>507</v>
      </c>
      <c r="B48" s="733"/>
      <c r="D48" s="694">
        <f t="shared" ref="D48:N48" si="7">SUM(D44:D47)</f>
        <v>0</v>
      </c>
      <c r="E48" s="695">
        <f t="shared" si="7"/>
        <v>-161670915.41755977</v>
      </c>
      <c r="F48" s="694">
        <f t="shared" si="7"/>
        <v>-182839369.24481449</v>
      </c>
      <c r="G48" s="694">
        <f t="shared" si="7"/>
        <v>-167668651.86376962</v>
      </c>
      <c r="H48" s="695">
        <f t="shared" si="7"/>
        <v>-108897211.69057308</v>
      </c>
      <c r="I48" s="694">
        <f t="shared" si="7"/>
        <v>-93489426.342599213</v>
      </c>
      <c r="J48" s="695">
        <f t="shared" si="7"/>
        <v>32885627.901021197</v>
      </c>
      <c r="K48" s="694">
        <f t="shared" si="7"/>
        <v>41225598.386072949</v>
      </c>
      <c r="L48" s="694">
        <f t="shared" si="7"/>
        <v>65103840.302117802</v>
      </c>
      <c r="M48" s="694">
        <f t="shared" si="7"/>
        <v>76683726.948262081</v>
      </c>
      <c r="N48" s="694">
        <f t="shared" si="7"/>
        <v>1256234814.7118943</v>
      </c>
      <c r="O48" s="696"/>
    </row>
    <row r="49" spans="1:15" ht="11.25" customHeight="1">
      <c r="A49" s="732" t="s">
        <v>506</v>
      </c>
      <c r="B49" s="733"/>
      <c r="D49" s="734">
        <f>combined!D69+combined!D142+combined!D215</f>
        <v>0</v>
      </c>
      <c r="E49" s="735">
        <f>combined!E69+combined!E142+combined!E215</f>
        <v>-123162927.80454619</v>
      </c>
      <c r="F49" s="734">
        <f>combined!F69+combined!F142+combined!F215</f>
        <v>-11335456.463068062</v>
      </c>
      <c r="G49" s="734">
        <f>combined!G69+combined!G142+combined!G215</f>
        <v>-14084920.754468961</v>
      </c>
      <c r="H49" s="735">
        <f>combined!H69+combined!H142+combined!H215</f>
        <v>-94150079.100045472</v>
      </c>
      <c r="I49" s="734">
        <f>combined!I69+combined!I142+combined!I215</f>
        <v>25367119.503251605</v>
      </c>
      <c r="J49" s="735">
        <f>combined!J69+combined!J142+combined!J215</f>
        <v>72908332.748196676</v>
      </c>
      <c r="K49" s="734">
        <f>combined!K69+combined!K142+combined!K215</f>
        <v>102749756.58893687</v>
      </c>
      <c r="L49" s="734">
        <f>combined!L69+combined!L142+combined!L215</f>
        <v>72440500.048247635</v>
      </c>
      <c r="M49" s="734">
        <f>combined!M69+combined!M142+combined!M215</f>
        <v>38224020.220287599</v>
      </c>
      <c r="N49" s="734">
        <f>combined!N69+combined!N142+combined!N215</f>
        <v>600556959.00985694</v>
      </c>
      <c r="O49" s="699"/>
    </row>
    <row r="50" spans="1:15" ht="11.25" customHeight="1">
      <c r="A50" s="732" t="s">
        <v>505</v>
      </c>
      <c r="B50" s="733"/>
      <c r="D50" s="734">
        <f>SUM(combined!D60,combined!D66,combined!D133,combined!D139,combined!D206,combined!D212)</f>
        <v>0</v>
      </c>
      <c r="E50" s="735">
        <f>SUM(combined!E60,combined!E66,combined!E133,combined!E139,combined!E206,combined!E212)</f>
        <v>0</v>
      </c>
      <c r="F50" s="734">
        <f>SUM(combined!F60,combined!F66,combined!F133,combined!F139,combined!F206,combined!F212)</f>
        <v>-5701488.1612804774</v>
      </c>
      <c r="G50" s="734">
        <f>SUM(combined!G60,combined!G66,combined!G133,combined!G139,combined!G206,combined!G212)</f>
        <v>-14084920.754468961</v>
      </c>
      <c r="H50" s="735">
        <f>SUM(combined!H60,combined!H66,combined!H133,combined!H139,combined!H206,combined!H212)</f>
        <v>-14716363.997584509</v>
      </c>
      <c r="I50" s="734">
        <f>SUM(combined!I60,combined!I66,combined!I133,combined!I139,combined!I206,combined!I212)</f>
        <v>-21788563.527846687</v>
      </c>
      <c r="J50" s="735">
        <f>SUM(combined!J60,combined!J66,combined!J133,combined!J139,combined!J206,combined!J212)</f>
        <v>-28261535.882115774</v>
      </c>
      <c r="K50" s="734">
        <f>SUM(combined!K60,combined!K66,combined!K133,combined!K139,combined!K206,combined!K212)</f>
        <v>-33054223.239181571</v>
      </c>
      <c r="L50" s="734">
        <f>SUM(combined!L60,combined!L66,combined!L133,combined!L139,combined!L206,combined!L212)</f>
        <v>-37394293.586886853</v>
      </c>
      <c r="M50" s="734">
        <f>SUM(combined!M60,combined!M66,combined!M133,combined!M139,combined!M206,combined!M212)</f>
        <v>-37394293.586886853</v>
      </c>
      <c r="N50" s="734">
        <f>SUM(combined!N60,combined!N66,combined!N133,combined!N139,combined!N206,combined!N212)</f>
        <v>-42851942.766870543</v>
      </c>
      <c r="O50" s="699"/>
    </row>
    <row r="51" spans="1:15" ht="11.25" customHeight="1">
      <c r="A51" s="736" t="s">
        <v>504</v>
      </c>
      <c r="B51" s="736"/>
      <c r="D51" s="737">
        <f>NPV(discountrate,combined!D224:N224)</f>
        <v>61787910.599838592</v>
      </c>
      <c r="E51" s="708"/>
      <c r="F51" s="699"/>
      <c r="G51" s="699"/>
      <c r="H51" s="718"/>
      <c r="I51" s="699"/>
      <c r="J51" s="709"/>
      <c r="K51" s="699"/>
      <c r="L51" s="699"/>
      <c r="M51" s="699"/>
      <c r="N51" s="699"/>
      <c r="O51" s="699"/>
    </row>
    <row r="52" spans="1:15" ht="11.25" customHeight="1">
      <c r="A52" s="732" t="s">
        <v>503</v>
      </c>
      <c r="B52" s="408"/>
      <c r="D52" s="738">
        <f>loantovalue</f>
        <v>0.65</v>
      </c>
      <c r="E52" s="697"/>
      <c r="F52" s="410"/>
      <c r="G52" s="410"/>
      <c r="H52" s="739"/>
      <c r="I52" s="410"/>
      <c r="J52" s="698"/>
      <c r="K52" s="410"/>
      <c r="L52" s="410"/>
      <c r="M52" s="673"/>
      <c r="N52" s="673"/>
      <c r="O52" s="673"/>
    </row>
    <row r="53" spans="1:15" ht="11.25" customHeight="1">
      <c r="A53" s="408" t="s">
        <v>502</v>
      </c>
      <c r="B53" s="408"/>
      <c r="D53" s="740">
        <f>combined!C224</f>
        <v>0.10734502105564903</v>
      </c>
      <c r="E53" s="697"/>
      <c r="F53" s="410"/>
      <c r="G53" s="741" t="s">
        <v>501</v>
      </c>
      <c r="H53" s="699"/>
      <c r="I53" s="742"/>
      <c r="J53" s="395">
        <f>6000000*17+SUM('acq-demo-repur'!U6:U8)</f>
        <v>126152343.75695689</v>
      </c>
      <c r="K53" s="410"/>
      <c r="L53" s="410"/>
      <c r="M53" s="699"/>
      <c r="N53" s="699"/>
      <c r="O53" s="699"/>
    </row>
    <row r="54" spans="1:15" ht="11.25" customHeight="1">
      <c r="A54" s="408" t="s">
        <v>500</v>
      </c>
      <c r="B54" s="408"/>
      <c r="D54" s="740">
        <f>combined!C225</f>
        <v>0.22185238677214558</v>
      </c>
      <c r="E54" s="697"/>
      <c r="F54" s="410"/>
      <c r="G54" s="743" t="s">
        <v>499</v>
      </c>
      <c r="H54" s="410"/>
      <c r="I54" s="744"/>
      <c r="J54" s="409">
        <f>SUM(combined!N35,combined!N108,combined!N181)</f>
        <v>1171600377.8441215</v>
      </c>
      <c r="K54" s="410"/>
      <c r="L54" s="410"/>
      <c r="M54" s="699"/>
      <c r="N54" s="699"/>
      <c r="O54" s="699"/>
    </row>
    <row r="55" spans="1:15" ht="11.25" customHeight="1">
      <c r="E55" s="718"/>
      <c r="N55" s="745"/>
      <c r="O55" s="746"/>
    </row>
    <row r="56" spans="1:15" s="672" customFormat="1" ht="11.25" customHeight="1">
      <c r="A56" s="876" t="s">
        <v>498</v>
      </c>
      <c r="B56" s="876"/>
      <c r="C56" s="876"/>
      <c r="D56" s="876"/>
      <c r="E56" s="876"/>
      <c r="F56" s="876"/>
      <c r="G56" s="876"/>
      <c r="H56" s="876"/>
      <c r="I56" s="876"/>
      <c r="J56" s="876"/>
      <c r="K56" s="876"/>
      <c r="L56" s="876"/>
      <c r="M56" s="876"/>
      <c r="N56" s="876"/>
      <c r="O56" s="876"/>
    </row>
    <row r="57" spans="1:15" ht="11.25" customHeight="1">
      <c r="D57" s="747" t="s">
        <v>497</v>
      </c>
      <c r="E57" s="687"/>
      <c r="F57" s="686"/>
      <c r="G57" s="686"/>
      <c r="H57" s="687"/>
      <c r="I57" s="686"/>
      <c r="J57" s="687"/>
      <c r="K57" s="686"/>
      <c r="L57" s="686"/>
      <c r="M57" s="686"/>
      <c r="N57" s="686"/>
      <c r="O57" s="686"/>
    </row>
    <row r="58" spans="1:15" s="674" customFormat="1" ht="11.25" customHeight="1">
      <c r="A58" s="678"/>
      <c r="B58" s="678"/>
      <c r="C58" s="733" t="s">
        <v>496</v>
      </c>
      <c r="D58" s="748">
        <v>0</v>
      </c>
      <c r="E58" s="681">
        <v>1</v>
      </c>
      <c r="F58" s="679">
        <f t="shared" ref="F58:L58" si="8">E58+1</f>
        <v>2</v>
      </c>
      <c r="G58" s="679">
        <f t="shared" si="8"/>
        <v>3</v>
      </c>
      <c r="H58" s="681">
        <f t="shared" si="8"/>
        <v>4</v>
      </c>
      <c r="I58" s="679">
        <f t="shared" si="8"/>
        <v>5</v>
      </c>
      <c r="J58" s="681">
        <f t="shared" si="8"/>
        <v>6</v>
      </c>
      <c r="K58" s="679">
        <f t="shared" si="8"/>
        <v>7</v>
      </c>
      <c r="L58" s="682">
        <f t="shared" si="8"/>
        <v>8</v>
      </c>
      <c r="M58" s="682">
        <v>9</v>
      </c>
      <c r="N58" s="682">
        <v>10</v>
      </c>
      <c r="O58" s="679"/>
    </row>
    <row r="59" spans="1:15" ht="11.25" customHeight="1">
      <c r="A59" s="683" t="s">
        <v>495</v>
      </c>
      <c r="B59" s="683"/>
      <c r="C59" s="693"/>
      <c r="D59" s="747"/>
      <c r="E59" s="687"/>
      <c r="F59" s="686"/>
      <c r="G59" s="686"/>
      <c r="H59" s="687"/>
      <c r="I59" s="686"/>
      <c r="J59" s="687"/>
      <c r="K59" s="686"/>
      <c r="L59" s="677"/>
      <c r="M59" s="677"/>
      <c r="N59" s="677"/>
      <c r="O59" s="686"/>
    </row>
    <row r="60" spans="1:15" ht="11.25" customHeight="1">
      <c r="A60" s="872" t="s">
        <v>481</v>
      </c>
      <c r="B60" s="688" t="s">
        <v>477</v>
      </c>
      <c r="C60" s="749" t="s">
        <v>494</v>
      </c>
      <c r="D60" s="750">
        <f>SUM('res, market-rate'!E10,'res, market-rate'!E39,'res, market-rate'!E66)/Residentialmarketrateaveragesize</f>
        <v>0</v>
      </c>
      <c r="E60" s="751">
        <f>SUM('res, market-rate'!F10,'res, market-rate'!F39,'res, market-rate'!F66)/Residentialmarketrateaveragesize</f>
        <v>0</v>
      </c>
      <c r="F60" s="750">
        <f>SUM('res, market-rate'!G10,'res, market-rate'!G39,'res, market-rate'!G66)/Residentialmarketrateaveragesize</f>
        <v>0</v>
      </c>
      <c r="G60" s="750">
        <f>SUM('res, market-rate'!H10,'res, market-rate'!H39,'res, market-rate'!H66)/Residentialmarketrateaveragesize</f>
        <v>0</v>
      </c>
      <c r="H60" s="751">
        <f>SUM('res, market-rate'!I10,'res, market-rate'!I39,'res, market-rate'!I66)/Residentialmarketrateaveragesize</f>
        <v>471.04017977528082</v>
      </c>
      <c r="I60" s="750">
        <f>SUM('res, market-rate'!J10,'res, market-rate'!J39,'res, market-rate'!J66)/Residentialmarketrateaveragesize</f>
        <v>471.04017977528082</v>
      </c>
      <c r="J60" s="751">
        <f>SUM('res, market-rate'!K10,'res, market-rate'!K39,'res, market-rate'!K66)/Residentialmarketrateaveragesize</f>
        <v>1036.9548895011235</v>
      </c>
      <c r="K60" s="750">
        <f>SUM('res, market-rate'!L10,'res, market-rate'!L39,'res, market-rate'!L66)/Residentialmarketrateaveragesize</f>
        <v>1036.9548895011235</v>
      </c>
      <c r="L60" s="750">
        <f>SUM('res, market-rate'!M10,'res, market-rate'!M39,'res, market-rate'!M66)/Residentialmarketrateaveragesize</f>
        <v>1410.4045973662919</v>
      </c>
      <c r="M60" s="750">
        <f>SUM('res, market-rate'!N10,'res, market-rate'!N39,'res, market-rate'!N66)/Residentialmarketrateaveragesize</f>
        <v>1410.4045973662919</v>
      </c>
      <c r="N60" s="750">
        <f>SUM('res, market-rate'!O10,'res, market-rate'!O39,'res, market-rate'!O66)/Residentialmarketrateaveragesize</f>
        <v>1410.4045973662919</v>
      </c>
      <c r="O60" s="710"/>
    </row>
    <row r="61" spans="1:15" ht="11.25" customHeight="1">
      <c r="A61" s="873"/>
      <c r="B61" s="688" t="s">
        <v>476</v>
      </c>
      <c r="C61" s="749" t="s">
        <v>494</v>
      </c>
      <c r="D61" s="750">
        <f>SUM('res, condo'!E11,'res, condo'!E38,'res, condo'!E65)</f>
        <v>0</v>
      </c>
      <c r="E61" s="751">
        <f>SUM('res, condo'!F11,'res, condo'!F38,'res, condo'!F65)</f>
        <v>0</v>
      </c>
      <c r="F61" s="750">
        <f>SUM('res, condo'!G11,'res, condo'!G38,'res, condo'!G65)</f>
        <v>0</v>
      </c>
      <c r="G61" s="750">
        <f>SUM('res, condo'!H11,'res, condo'!H38,'res, condo'!H65)</f>
        <v>0</v>
      </c>
      <c r="H61" s="751">
        <f>SUM('res, condo'!I11,'res, condo'!I38,'res, condo'!I65)</f>
        <v>72.744216216216216</v>
      </c>
      <c r="I61" s="750">
        <f>SUM('res, condo'!J11,'res, condo'!J38,'res, condo'!J65)</f>
        <v>145.48843243243243</v>
      </c>
      <c r="J61" s="751">
        <f>SUM('res, condo'!K11,'res, condo'!K38,'res, condo'!K65)</f>
        <v>406.47984102702708</v>
      </c>
      <c r="K61" s="750">
        <f>SUM('res, condo'!L11,'res, condo'!L38,'res, condo'!L65)</f>
        <v>667.47124962162172</v>
      </c>
      <c r="L61" s="750">
        <f>SUM('res, condo'!M11,'res, condo'!M38,'res, condo'!M65)</f>
        <v>667.47124962162172</v>
      </c>
      <c r="M61" s="750">
        <f>SUM('res, condo'!N11,'res, condo'!N38,'res, condo'!N65)</f>
        <v>667.47124962162172</v>
      </c>
      <c r="N61" s="750">
        <f>SUM('res, condo'!O11,'res, condo'!O38,'res, condo'!O65)</f>
        <v>667.47124962162172</v>
      </c>
      <c r="O61" s="710"/>
    </row>
    <row r="62" spans="1:15" ht="11.25" customHeight="1">
      <c r="A62" s="872" t="s">
        <v>478</v>
      </c>
      <c r="B62" s="688" t="s">
        <v>477</v>
      </c>
      <c r="C62" s="749" t="s">
        <v>494</v>
      </c>
      <c r="D62" s="750">
        <f>SUM('res, affordable'!E10,'res, affordable'!E37,'res, affordable'!E64)/Residentialaffordableaveragesize</f>
        <v>0</v>
      </c>
      <c r="E62" s="751">
        <f>SUM('res, affordable'!F10,'res, affordable'!F37,'res, affordable'!F64)/Residentialaffordableaveragesize</f>
        <v>0</v>
      </c>
      <c r="F62" s="750">
        <f>SUM('res, affordable'!G10,'res, affordable'!G37,'res, affordable'!G64)/Residentialaffordableaveragesize</f>
        <v>0</v>
      </c>
      <c r="G62" s="750">
        <f>SUM('res, affordable'!H10,'res, affordable'!H37,'res, affordable'!H64)/Residentialaffordableaveragesize</f>
        <v>0</v>
      </c>
      <c r="H62" s="751">
        <f>SUM('res, affordable'!I10,'res, affordable'!I37,'res, affordable'!I64)/Residentialaffordableaveragesize</f>
        <v>88.79862857142858</v>
      </c>
      <c r="I62" s="750">
        <f>SUM('res, affordable'!J10,'res, affordable'!J37,'res, affordable'!J64)/Residentialaffordableaveragesize</f>
        <v>88.79862857142858</v>
      </c>
      <c r="J62" s="751">
        <f>SUM('res, affordable'!K10,'res, affordable'!K37,'res, affordable'!K64)/Residentialaffordableaveragesize</f>
        <v>204.40949881714286</v>
      </c>
      <c r="K62" s="750">
        <f>SUM('res, affordable'!L10,'res, affordable'!L37,'res, affordable'!L64)/Residentialaffordableaveragesize</f>
        <v>204.40949881714286</v>
      </c>
      <c r="L62" s="750">
        <f>SUM('res, affordable'!M10,'res, affordable'!M37,'res, affordable'!M64)/Residentialaffordableaveragesize</f>
        <v>263.76132738857143</v>
      </c>
      <c r="M62" s="750">
        <f>SUM('res, affordable'!N10,'res, affordable'!N37,'res, affordable'!N64)/Residentialaffordableaveragesize</f>
        <v>263.76132738857143</v>
      </c>
      <c r="N62" s="750">
        <f>SUM('res, affordable'!O10,'res, affordable'!O37,'res, affordable'!O64)/Residentialaffordableaveragesize</f>
        <v>263.76132738857143</v>
      </c>
      <c r="O62" s="710"/>
    </row>
    <row r="63" spans="1:15" ht="11.25" customHeight="1">
      <c r="A63" s="873"/>
      <c r="B63" s="688" t="s">
        <v>476</v>
      </c>
      <c r="C63" s="749" t="s">
        <v>494</v>
      </c>
      <c r="D63" s="752"/>
      <c r="E63" s="731"/>
      <c r="F63" s="710"/>
      <c r="G63" s="710"/>
      <c r="H63" s="731"/>
      <c r="I63" s="710"/>
      <c r="J63" s="731"/>
      <c r="K63" s="710"/>
      <c r="L63" s="710"/>
      <c r="M63" s="710"/>
      <c r="N63" s="710"/>
      <c r="O63" s="710"/>
    </row>
    <row r="64" spans="1:15" ht="11.25" customHeight="1">
      <c r="A64" s="875" t="s">
        <v>489</v>
      </c>
      <c r="B64" s="875"/>
      <c r="C64" s="749" t="s">
        <v>494</v>
      </c>
      <c r="D64" s="752"/>
      <c r="E64" s="731"/>
      <c r="F64" s="710"/>
      <c r="G64" s="710"/>
      <c r="H64" s="731"/>
      <c r="I64" s="710"/>
      <c r="J64" s="731"/>
      <c r="K64" s="710"/>
      <c r="L64" s="710"/>
      <c r="M64" s="710"/>
      <c r="N64" s="710"/>
      <c r="O64" s="710"/>
    </row>
    <row r="65" spans="1:15" ht="11.25" customHeight="1">
      <c r="A65" s="875" t="s">
        <v>144</v>
      </c>
      <c r="B65" s="875"/>
      <c r="C65" s="749" t="s">
        <v>493</v>
      </c>
      <c r="D65" s="753">
        <f>SUM(hotel!E14,hotel!E42,hotel!E70)</f>
        <v>0</v>
      </c>
      <c r="E65" s="754">
        <f>SUM(hotel!F14,hotel!F42,hotel!F70)</f>
        <v>0</v>
      </c>
      <c r="F65" s="753">
        <f>SUM(hotel!G14,hotel!G42,hotel!G70)</f>
        <v>0</v>
      </c>
      <c r="G65" s="753">
        <f>SUM(hotel!H14,hotel!H42,hotel!H70)</f>
        <v>0</v>
      </c>
      <c r="H65" s="754">
        <f>SUM(hotel!I14,hotel!I42,hotel!I70)</f>
        <v>193.5187866</v>
      </c>
      <c r="I65" s="753">
        <f>SUM(hotel!J14,hotel!J42,hotel!J70)</f>
        <v>193.5187866</v>
      </c>
      <c r="J65" s="754">
        <f>SUM(hotel!K14,hotel!K42,hotel!K70)</f>
        <v>507.60996810000006</v>
      </c>
      <c r="K65" s="753">
        <f>SUM(hotel!L14,hotel!L42,hotel!L70)</f>
        <v>507.60996810000006</v>
      </c>
      <c r="L65" s="753">
        <f>SUM(hotel!M14,hotel!M42,hotel!M70)</f>
        <v>507.60996810000006</v>
      </c>
      <c r="M65" s="753">
        <f>SUM(hotel!N14,hotel!N42,hotel!N70)</f>
        <v>507.60996810000006</v>
      </c>
      <c r="N65" s="753">
        <f>SUM(hotel!O14,hotel!O42,hotel!O70)</f>
        <v>507.60996810000006</v>
      </c>
      <c r="O65" s="710"/>
    </row>
    <row r="66" spans="1:15" ht="11.25" customHeight="1">
      <c r="A66" s="875" t="s">
        <v>469</v>
      </c>
      <c r="B66" s="875"/>
      <c r="C66" s="749" t="s">
        <v>492</v>
      </c>
      <c r="D66" s="750">
        <f>SUM(parking!E10,parking!E36,parking!E62)</f>
        <v>0</v>
      </c>
      <c r="E66" s="751">
        <f>SUM(parking!F10,parking!F36,parking!F62)</f>
        <v>0</v>
      </c>
      <c r="F66" s="750">
        <f>SUM(parking!G10,parking!G36,parking!G62)</f>
        <v>0</v>
      </c>
      <c r="G66" s="750">
        <f>SUM(parking!H10,parking!H36,parking!H62)</f>
        <v>0</v>
      </c>
      <c r="H66" s="751">
        <f>SUM(parking!I10,parking!I36,parking!I62)</f>
        <v>940.28126220000001</v>
      </c>
      <c r="I66" s="750">
        <f>SUM(parking!J10,parking!J36,parking!J62)</f>
        <v>940.28126220000001</v>
      </c>
      <c r="J66" s="751">
        <f>SUM(parking!K10,parking!K36,parking!K62)</f>
        <v>1335.1853184000001</v>
      </c>
      <c r="K66" s="750">
        <f>SUM(parking!L10,parking!L36,parking!L62)</f>
        <v>1335.1853184000001</v>
      </c>
      <c r="L66" s="750">
        <f>SUM(parking!M10,parking!M36,parking!M62)</f>
        <v>2320.5254631000003</v>
      </c>
      <c r="M66" s="750">
        <f>SUM(parking!N10,parking!N36,parking!N62)</f>
        <v>2320.5254631000003</v>
      </c>
      <c r="N66" s="750">
        <f>SUM(parking!O10,parking!O36,parking!O62)</f>
        <v>2320.5254631000003</v>
      </c>
      <c r="O66" s="710"/>
    </row>
    <row r="67" spans="1:15" ht="11.25" customHeight="1">
      <c r="A67" s="875" t="s">
        <v>468</v>
      </c>
      <c r="B67" s="875"/>
      <c r="C67" s="749" t="s">
        <v>492</v>
      </c>
      <c r="D67" s="755"/>
      <c r="E67" s="756"/>
      <c r="F67" s="727"/>
      <c r="G67" s="727"/>
      <c r="H67" s="756"/>
      <c r="I67" s="727"/>
      <c r="J67" s="756"/>
      <c r="K67" s="727"/>
      <c r="L67" s="710"/>
      <c r="M67" s="710"/>
      <c r="N67" s="710"/>
      <c r="O67" s="727"/>
    </row>
    <row r="68" spans="1:15" ht="11.25" customHeight="1">
      <c r="A68" s="877" t="s">
        <v>126</v>
      </c>
      <c r="B68" s="877"/>
      <c r="C68" s="758"/>
      <c r="D68" s="759"/>
      <c r="E68" s="760"/>
      <c r="F68" s="696"/>
      <c r="G68" s="696"/>
      <c r="H68" s="760"/>
      <c r="I68" s="696"/>
      <c r="J68" s="760"/>
      <c r="K68" s="696"/>
      <c r="L68" s="696"/>
      <c r="M68" s="696"/>
      <c r="N68" s="696"/>
      <c r="O68" s="696"/>
    </row>
    <row r="69" spans="1:15" ht="11.25" customHeight="1">
      <c r="A69" s="683" t="s">
        <v>491</v>
      </c>
      <c r="B69" s="683"/>
      <c r="C69" s="693"/>
      <c r="D69" s="747"/>
      <c r="E69" s="687"/>
      <c r="F69" s="686"/>
      <c r="G69" s="686"/>
      <c r="H69" s="687"/>
      <c r="I69" s="686"/>
      <c r="J69" s="687"/>
      <c r="K69" s="686"/>
      <c r="L69" s="677"/>
      <c r="M69" s="677"/>
      <c r="N69" s="677"/>
      <c r="O69" s="686"/>
    </row>
    <row r="70" spans="1:15" ht="11.25" customHeight="1">
      <c r="A70" s="872" t="s">
        <v>481</v>
      </c>
      <c r="B70" s="688" t="s">
        <v>477</v>
      </c>
      <c r="C70" s="749" t="s">
        <v>488</v>
      </c>
      <c r="D70" s="753">
        <f>SUM('res, market-rate'!E9,'res, market-rate'!E38,'res, market-rate'!E65)</f>
        <v>0</v>
      </c>
      <c r="E70" s="754">
        <f>SUM('res, market-rate'!F9,'res, market-rate'!F38,'res, market-rate'!F65)</f>
        <v>0</v>
      </c>
      <c r="F70" s="753">
        <f>SUM('res, market-rate'!G9,'res, market-rate'!G38,'res, market-rate'!G65)</f>
        <v>0</v>
      </c>
      <c r="G70" s="753">
        <f>SUM('res, market-rate'!H9,'res, market-rate'!H38,'res, market-rate'!H65)</f>
        <v>0</v>
      </c>
      <c r="H70" s="754">
        <f>SUM('res, market-rate'!I9,'res, market-rate'!I38,'res, market-rate'!I65)</f>
        <v>349354.79999999993</v>
      </c>
      <c r="I70" s="753">
        <f>SUM('res, market-rate'!J9,'res, market-rate'!J38,'res, market-rate'!J65)</f>
        <v>349354.79999999993</v>
      </c>
      <c r="J70" s="754">
        <f>SUM('res, market-rate'!K9,'res, market-rate'!K38,'res, market-rate'!K65)</f>
        <v>769074.87637999991</v>
      </c>
      <c r="K70" s="753">
        <f>SUM('res, market-rate'!L9,'res, market-rate'!L38,'res, market-rate'!L65)</f>
        <v>769074.87637999991</v>
      </c>
      <c r="L70" s="753">
        <f>SUM('res, market-rate'!M9,'res, market-rate'!M38,'res, market-rate'!M65)</f>
        <v>1046050.07638</v>
      </c>
      <c r="M70" s="753">
        <f>SUM('res, market-rate'!N9,'res, market-rate'!N38,'res, market-rate'!N65)</f>
        <v>1046050.07638</v>
      </c>
      <c r="N70" s="753">
        <f>SUM('res, market-rate'!O9,'res, market-rate'!O38,'res, market-rate'!O65)</f>
        <v>1046050.07638</v>
      </c>
      <c r="O70" s="710"/>
    </row>
    <row r="71" spans="1:15" ht="11.25" customHeight="1">
      <c r="A71" s="873"/>
      <c r="B71" s="688" t="s">
        <v>476</v>
      </c>
      <c r="C71" s="749" t="s">
        <v>488</v>
      </c>
      <c r="D71" s="753">
        <f>SUM('res, condo'!E9,'res, condo'!E36,'res, condo'!E63)</f>
        <v>0</v>
      </c>
      <c r="E71" s="754">
        <f>SUM('res, condo'!F9,'res, condo'!F36,'res, condo'!F63)</f>
        <v>0</v>
      </c>
      <c r="F71" s="753">
        <f>SUM('res, condo'!G9,'res, condo'!G36,'res, condo'!G63)</f>
        <v>0</v>
      </c>
      <c r="G71" s="753">
        <f>SUM('res, condo'!H9,'res, condo'!H36,'res, condo'!H63)</f>
        <v>0</v>
      </c>
      <c r="H71" s="754">
        <f>SUM('res, condo'!I9,'res, condo'!I36,'res, condo'!I63)</f>
        <v>134576.79999999999</v>
      </c>
      <c r="I71" s="753">
        <f>SUM('res, condo'!J9,'res, condo'!J36,'res, condo'!J63)</f>
        <v>134576.79999999999</v>
      </c>
      <c r="J71" s="754">
        <f>SUM('res, condo'!K9,'res, condo'!K36,'res, condo'!K63)</f>
        <v>617410.90590000001</v>
      </c>
      <c r="K71" s="753">
        <f>SUM('res, condo'!L9,'res, condo'!L36,'res, condo'!L63)</f>
        <v>617410.90590000001</v>
      </c>
      <c r="L71" s="753">
        <f>SUM('res, condo'!M9,'res, condo'!M36,'res, condo'!M63)</f>
        <v>617410.90590000001</v>
      </c>
      <c r="M71" s="753">
        <f>SUM('res, condo'!N9,'res, condo'!N36,'res, condo'!N63)</f>
        <v>617410.90590000001</v>
      </c>
      <c r="N71" s="753">
        <f>SUM('res, condo'!O9,'res, condo'!O36,'res, condo'!O63)</f>
        <v>617410.90590000001</v>
      </c>
      <c r="O71" s="710"/>
    </row>
    <row r="72" spans="1:15" ht="11.25" customHeight="1">
      <c r="A72" s="872" t="s">
        <v>478</v>
      </c>
      <c r="B72" s="688" t="s">
        <v>477</v>
      </c>
      <c r="C72" s="749" t="s">
        <v>488</v>
      </c>
      <c r="D72" s="753">
        <f>SUM('res, affordable'!E9,'res, affordable'!E36,'res, affordable'!E63)</f>
        <v>0</v>
      </c>
      <c r="E72" s="754">
        <f>SUM('res, affordable'!F9,'res, affordable'!F36,'res, affordable'!F63)</f>
        <v>0</v>
      </c>
      <c r="F72" s="753">
        <f>SUM('res, affordable'!G9,'res, affordable'!G36,'res, affordable'!G63)</f>
        <v>0</v>
      </c>
      <c r="G72" s="753">
        <f>SUM('res, affordable'!H9,'res, affordable'!H36,'res, affordable'!H63)</f>
        <v>0</v>
      </c>
      <c r="H72" s="754">
        <f>SUM('res, affordable'!I9,'res, affordable'!I36,'res, affordable'!I63)</f>
        <v>103598.40000000001</v>
      </c>
      <c r="I72" s="753">
        <f>SUM('res, affordable'!J9,'res, affordable'!J36,'res, affordable'!J63)</f>
        <v>103598.40000000001</v>
      </c>
      <c r="J72" s="754">
        <f>SUM('res, affordable'!K9,'res, affordable'!K36,'res, affordable'!K63)</f>
        <v>238477.74862000003</v>
      </c>
      <c r="K72" s="753">
        <f>SUM('res, affordable'!L9,'res, affordable'!L36,'res, affordable'!L63)</f>
        <v>238477.74862000003</v>
      </c>
      <c r="L72" s="753">
        <f>SUM('res, affordable'!M9,'res, affordable'!M36,'res, affordable'!M63)</f>
        <v>307721.54862000002</v>
      </c>
      <c r="M72" s="753">
        <f>SUM('res, affordable'!N9,'res, affordable'!N36,'res, affordable'!N63)</f>
        <v>307721.54862000002</v>
      </c>
      <c r="N72" s="753">
        <f>SUM('res, affordable'!O9,'res, affordable'!O36,'res, affordable'!O63)</f>
        <v>307721.54862000002</v>
      </c>
      <c r="O72" s="710"/>
    </row>
    <row r="73" spans="1:15" ht="11.25" customHeight="1">
      <c r="A73" s="873"/>
      <c r="B73" s="688" t="s">
        <v>476</v>
      </c>
      <c r="C73" s="749" t="s">
        <v>488</v>
      </c>
      <c r="D73" s="752"/>
      <c r="E73" s="731"/>
      <c r="F73" s="710"/>
      <c r="G73" s="710"/>
      <c r="H73" s="731"/>
      <c r="I73" s="710"/>
      <c r="J73" s="731"/>
      <c r="K73" s="710"/>
      <c r="L73" s="710"/>
      <c r="M73" s="710"/>
      <c r="N73" s="710"/>
      <c r="O73" s="710"/>
    </row>
    <row r="74" spans="1:15" ht="11.25" customHeight="1">
      <c r="A74" s="875" t="s">
        <v>474</v>
      </c>
      <c r="B74" s="875"/>
      <c r="C74" s="749" t="s">
        <v>488</v>
      </c>
      <c r="D74" s="753">
        <f>SUM(office!E9:E10,office!E38,office!E64)</f>
        <v>0</v>
      </c>
      <c r="E74" s="754">
        <f>SUM(office!F9:F10,office!F38,office!F64)</f>
        <v>0</v>
      </c>
      <c r="F74" s="753">
        <f>SUM(office!G9:G10,office!G38,office!G64)</f>
        <v>0</v>
      </c>
      <c r="G74" s="753">
        <f>SUM(office!H9:H10,office!H38,office!H64)</f>
        <v>0</v>
      </c>
      <c r="H74" s="754">
        <f>SUM(office!I10,office!I38,office!I64)</f>
        <v>768858.5</v>
      </c>
      <c r="I74" s="753">
        <f>SUM(office!J10,office!J38,office!J64)</f>
        <v>768858.5</v>
      </c>
      <c r="J74" s="754">
        <f>SUM(office!K10,office!K38,office!K64)</f>
        <v>807649</v>
      </c>
      <c r="K74" s="753">
        <f>SUM(office!L10,office!L38,office!L64)</f>
        <v>807649</v>
      </c>
      <c r="L74" s="753">
        <f>SUM(office!M10,office!M38,office!M64)</f>
        <v>1319028.8234250001</v>
      </c>
      <c r="M74" s="753">
        <f>SUM(office!N10,office!N38,office!N64)</f>
        <v>1319028.8234250001</v>
      </c>
      <c r="N74" s="753">
        <f>SUM(office!O10,office!O38,office!O64)</f>
        <v>1319028.8234250001</v>
      </c>
      <c r="O74" s="710"/>
    </row>
    <row r="75" spans="1:15" ht="11.25" customHeight="1">
      <c r="A75" s="875" t="s">
        <v>490</v>
      </c>
      <c r="B75" s="875"/>
      <c r="C75" s="749" t="s">
        <v>488</v>
      </c>
      <c r="D75" s="753">
        <f>SUM(retail!E9:E10,retail!E38,retail!E64)</f>
        <v>0</v>
      </c>
      <c r="E75" s="754">
        <f>SUM(retail!F9:F10,retail!F38,retail!F64)</f>
        <v>0</v>
      </c>
      <c r="F75" s="753">
        <f>SUM(retail!G9:G10,retail!G38,retail!G64)</f>
        <v>0</v>
      </c>
      <c r="G75" s="753">
        <f>SUM(retail!H9:H10,retail!H38,retail!H64)</f>
        <v>0</v>
      </c>
      <c r="H75" s="754">
        <f>SUM(retail!I10,retail!I38,retail!I64)</f>
        <v>152440.54370000001</v>
      </c>
      <c r="I75" s="753">
        <f>SUM(retail!J10,retail!J38,retail!J64)</f>
        <v>152440.54370000001</v>
      </c>
      <c r="J75" s="754">
        <f>SUM(retail!K10,retail!K38,retail!K64)</f>
        <v>246458.73210000002</v>
      </c>
      <c r="K75" s="753">
        <f>SUM(retail!L10,retail!L38,retail!L64)</f>
        <v>246458.73210000002</v>
      </c>
      <c r="L75" s="753">
        <f>SUM(retail!M10,retail!M38,retail!M64)</f>
        <v>261921.54167500001</v>
      </c>
      <c r="M75" s="753">
        <f>SUM(retail!N10,retail!N38,retail!N64)</f>
        <v>261921.54167500001</v>
      </c>
      <c r="N75" s="753">
        <f>SUM(retail!O10,retail!O38,retail!O64)</f>
        <v>261921.54167500001</v>
      </c>
      <c r="O75" s="710"/>
    </row>
    <row r="76" spans="1:15" ht="11.25" customHeight="1">
      <c r="A76" s="688"/>
      <c r="B76" s="688" t="s">
        <v>489</v>
      </c>
      <c r="C76" s="749" t="s">
        <v>488</v>
      </c>
      <c r="D76" s="752"/>
      <c r="E76" s="731"/>
      <c r="F76" s="710"/>
      <c r="G76" s="710"/>
      <c r="H76" s="731"/>
      <c r="I76" s="710"/>
      <c r="J76" s="731"/>
      <c r="K76" s="710"/>
      <c r="L76" s="710"/>
      <c r="M76" s="710"/>
      <c r="N76" s="710"/>
      <c r="O76" s="710"/>
    </row>
    <row r="77" spans="1:15" ht="11.25" customHeight="1">
      <c r="A77" s="875" t="s">
        <v>144</v>
      </c>
      <c r="B77" s="875"/>
      <c r="C77" s="749" t="s">
        <v>488</v>
      </c>
      <c r="D77" s="753">
        <f>SUM(hotel!E9,hotel!E37,hotel!E65)</f>
        <v>0</v>
      </c>
      <c r="E77" s="754">
        <f>SUM(hotel!F9,hotel!F37,hotel!F65)</f>
        <v>0</v>
      </c>
      <c r="F77" s="753">
        <f>SUM(hotel!G9,hotel!G37,hotel!G65)</f>
        <v>0</v>
      </c>
      <c r="G77" s="753">
        <f>SUM(hotel!H9,hotel!H37,hotel!H65)</f>
        <v>0</v>
      </c>
      <c r="H77" s="754">
        <f>SUM(hotel!I9,hotel!I37,hotel!I65)</f>
        <v>129012.52439999999</v>
      </c>
      <c r="I77" s="753">
        <f>SUM(hotel!J9,hotel!J37,hotel!J65)</f>
        <v>129012.52439999999</v>
      </c>
      <c r="J77" s="754">
        <f>SUM(hotel!K9,hotel!K37,hotel!K65)</f>
        <v>338406.64540000004</v>
      </c>
      <c r="K77" s="753">
        <f>SUM(hotel!L9,hotel!L37,hotel!L65)</f>
        <v>338406.64540000004</v>
      </c>
      <c r="L77" s="753">
        <f>SUM(hotel!M9,hotel!M37,hotel!M65)</f>
        <v>338406.64540000004</v>
      </c>
      <c r="M77" s="753">
        <f>SUM(hotel!N9,hotel!N37,hotel!N65)</f>
        <v>338406.64540000004</v>
      </c>
      <c r="N77" s="753">
        <f>SUM(hotel!O9,hotel!O37,hotel!O65)</f>
        <v>338406.64540000004</v>
      </c>
      <c r="O77" s="710"/>
    </row>
    <row r="78" spans="1:15" ht="11.25" customHeight="1">
      <c r="A78" s="875" t="s">
        <v>469</v>
      </c>
      <c r="B78" s="875"/>
      <c r="C78" s="749" t="s">
        <v>488</v>
      </c>
      <c r="D78" s="753">
        <f>SUM(parking!E9,parking!E35,parking!E61)</f>
        <v>0</v>
      </c>
      <c r="E78" s="754">
        <f>SUM(parking!F9,parking!F35,parking!F61)</f>
        <v>0</v>
      </c>
      <c r="F78" s="753">
        <f>SUM(parking!G9,parking!G35,parking!G61)</f>
        <v>0</v>
      </c>
      <c r="G78" s="753">
        <f>SUM(parking!H9,parking!H35,parking!H61)</f>
        <v>0</v>
      </c>
      <c r="H78" s="754">
        <f>SUM(parking!I9,parking!I35,parking!I61)</f>
        <v>313427.08740000002</v>
      </c>
      <c r="I78" s="753">
        <f>SUM(parking!J9,parking!J35,parking!J61)</f>
        <v>313427.08740000002</v>
      </c>
      <c r="J78" s="754">
        <f>SUM(parking!K9,parking!K35,parking!K61)</f>
        <v>445061.77280000004</v>
      </c>
      <c r="K78" s="753">
        <f>SUM(parking!L9,parking!L35,parking!L61)</f>
        <v>445061.77280000004</v>
      </c>
      <c r="L78" s="753">
        <f>SUM(parking!M9,parking!M35,parking!M61)</f>
        <v>773508.48770000006</v>
      </c>
      <c r="M78" s="753">
        <f>SUM(parking!N9,parking!N35,parking!N61)</f>
        <v>773508.48770000006</v>
      </c>
      <c r="N78" s="753">
        <f>SUM(parking!O9,parking!O35,parking!O61)</f>
        <v>773508.48770000006</v>
      </c>
      <c r="O78" s="710"/>
    </row>
    <row r="79" spans="1:15" ht="11.25" customHeight="1">
      <c r="A79" s="875" t="s">
        <v>468</v>
      </c>
      <c r="B79" s="875"/>
      <c r="C79" s="749" t="s">
        <v>488</v>
      </c>
      <c r="D79" s="752"/>
      <c r="E79" s="731"/>
      <c r="F79" s="710"/>
      <c r="G79" s="710"/>
      <c r="H79" s="731"/>
      <c r="I79" s="710"/>
      <c r="J79" s="731"/>
      <c r="K79" s="710"/>
      <c r="L79" s="710"/>
      <c r="M79" s="710"/>
      <c r="N79" s="710"/>
      <c r="O79" s="710"/>
    </row>
    <row r="80" spans="1:15" ht="11.25" customHeight="1">
      <c r="A80" s="877" t="s">
        <v>283</v>
      </c>
      <c r="B80" s="877"/>
      <c r="C80" s="761" t="s">
        <v>488</v>
      </c>
      <c r="D80" s="753">
        <f>SUM('public bldgs'!E9,'public bldgs'!E32,'public bldgs'!E52)</f>
        <v>0</v>
      </c>
      <c r="E80" s="754">
        <f>SUM('public bldgs'!F9,'public bldgs'!F32,'public bldgs'!F52)</f>
        <v>0</v>
      </c>
      <c r="F80" s="753">
        <f>SUM('public bldgs'!G9,'public bldgs'!G32,'public bldgs'!G52)</f>
        <v>0</v>
      </c>
      <c r="G80" s="753">
        <f>SUM('public bldgs'!H9,'public bldgs'!H32,'public bldgs'!H52)</f>
        <v>0</v>
      </c>
      <c r="H80" s="754">
        <f>SUM('public bldgs'!I9,'public bldgs'!I32,'public bldgs'!I52)</f>
        <v>126070.70019999999</v>
      </c>
      <c r="I80" s="753">
        <f>SUM('public bldgs'!J9,'public bldgs'!J32,'public bldgs'!J52)</f>
        <v>126070.70019999999</v>
      </c>
      <c r="J80" s="754">
        <f>SUM('public bldgs'!K9,'public bldgs'!K32,'public bldgs'!K52)</f>
        <v>126070.70019999999</v>
      </c>
      <c r="K80" s="753">
        <f>SUM('public bldgs'!L9,'public bldgs'!L32,'public bldgs'!L52)</f>
        <v>126070.70019999999</v>
      </c>
      <c r="L80" s="753">
        <f>SUM('public bldgs'!M9,'public bldgs'!M32,'public bldgs'!M52)</f>
        <v>126070.70019999999</v>
      </c>
      <c r="M80" s="753">
        <f>SUM('public bldgs'!N9,'public bldgs'!N32,'public bldgs'!N52)</f>
        <v>126070.70019999999</v>
      </c>
      <c r="N80" s="753">
        <f>SUM('public bldgs'!O9,'public bldgs'!O32,'public bldgs'!O52)</f>
        <v>126070.70019999999</v>
      </c>
      <c r="O80" s="710"/>
    </row>
    <row r="81" spans="1:17" ht="11.25" customHeight="1">
      <c r="A81" s="879" t="s">
        <v>200</v>
      </c>
      <c r="B81" s="879"/>
      <c r="C81" s="678" t="s">
        <v>488</v>
      </c>
      <c r="D81" s="762">
        <f>SUM(D70:D80)</f>
        <v>0</v>
      </c>
      <c r="E81" s="763">
        <f t="shared" ref="E81:N81" si="9">SUM(E70:E80)</f>
        <v>0</v>
      </c>
      <c r="F81" s="762">
        <f t="shared" si="9"/>
        <v>0</v>
      </c>
      <c r="G81" s="762">
        <f t="shared" si="9"/>
        <v>0</v>
      </c>
      <c r="H81" s="763">
        <f t="shared" si="9"/>
        <v>2077339.3557000002</v>
      </c>
      <c r="I81" s="762">
        <f t="shared" si="9"/>
        <v>2077339.3557000002</v>
      </c>
      <c r="J81" s="763">
        <f t="shared" si="9"/>
        <v>3588610.3813999998</v>
      </c>
      <c r="K81" s="762">
        <f t="shared" si="9"/>
        <v>3588610.3813999998</v>
      </c>
      <c r="L81" s="762">
        <f t="shared" si="9"/>
        <v>4790118.7293000007</v>
      </c>
      <c r="M81" s="762">
        <f t="shared" si="9"/>
        <v>4790118.7293000007</v>
      </c>
      <c r="N81" s="762">
        <f t="shared" si="9"/>
        <v>4790118.7293000007</v>
      </c>
      <c r="O81" s="696"/>
    </row>
    <row r="82" spans="1:17" ht="11.25" customHeight="1"/>
    <row r="83" spans="1:17" s="672" customFormat="1" ht="11.25" customHeight="1">
      <c r="A83" s="882" t="s">
        <v>487</v>
      </c>
      <c r="B83" s="882"/>
      <c r="C83" s="882"/>
      <c r="D83" s="882"/>
      <c r="E83" s="882"/>
      <c r="F83" s="882"/>
      <c r="H83" s="926" t="s">
        <v>486</v>
      </c>
      <c r="I83" s="926"/>
      <c r="J83" s="926"/>
      <c r="K83" s="926"/>
      <c r="L83" s="926"/>
      <c r="M83" s="926"/>
      <c r="N83" s="926"/>
      <c r="O83" s="926"/>
    </row>
    <row r="84" spans="1:17" s="764" customFormat="1" ht="11.25" customHeight="1">
      <c r="A84" s="880" t="s">
        <v>485</v>
      </c>
      <c r="B84" s="880"/>
      <c r="C84" s="881" t="s">
        <v>484</v>
      </c>
      <c r="D84" s="881"/>
      <c r="E84" s="881" t="s">
        <v>483</v>
      </c>
      <c r="F84" s="881"/>
      <c r="H84" s="927"/>
      <c r="I84" s="927"/>
      <c r="J84" s="927"/>
      <c r="K84" s="928" t="s">
        <v>482</v>
      </c>
      <c r="L84" s="928"/>
      <c r="M84" s="929" t="s">
        <v>540</v>
      </c>
      <c r="N84" s="930" t="s">
        <v>541</v>
      </c>
      <c r="O84" s="930"/>
    </row>
    <row r="85" spans="1:17" ht="11.25" customHeight="1">
      <c r="A85" s="872" t="s">
        <v>481</v>
      </c>
      <c r="B85" s="765" t="s">
        <v>477</v>
      </c>
      <c r="C85" s="898" t="s">
        <v>475</v>
      </c>
      <c r="D85" s="898"/>
      <c r="E85" s="899">
        <f>ABS(SUM(D26:N26)/N60)</f>
        <v>113135.52944954512</v>
      </c>
      <c r="F85" s="899"/>
      <c r="H85" s="926" t="s">
        <v>480</v>
      </c>
      <c r="I85" s="926"/>
      <c r="J85" s="926"/>
      <c r="K85" s="931"/>
      <c r="L85" s="931"/>
      <c r="M85" s="932"/>
      <c r="N85" s="933"/>
      <c r="O85" s="933"/>
    </row>
    <row r="86" spans="1:17" ht="11.25" customHeight="1">
      <c r="A86" s="873"/>
      <c r="B86" s="688" t="s">
        <v>476</v>
      </c>
      <c r="C86" s="875" t="s">
        <v>475</v>
      </c>
      <c r="D86" s="875"/>
      <c r="E86" s="878">
        <f>ABS(SUM(D27:N27)/N61)</f>
        <v>168678.82504669717</v>
      </c>
      <c r="F86" s="878"/>
      <c r="H86" s="932"/>
      <c r="I86" s="932"/>
      <c r="J86" s="932" t="s">
        <v>525</v>
      </c>
      <c r="K86" s="934">
        <f>ABS(SUM(combined!D49:N49,combined!D122:N122,combined!D195:N195))</f>
        <v>294163308.98408127</v>
      </c>
      <c r="L86" s="934"/>
      <c r="M86" s="935">
        <f>K86/C105</f>
        <v>0.29951096494374546</v>
      </c>
      <c r="N86" s="936">
        <f ca="1">K86/$K$92</f>
        <v>2.6933819419901809E-5</v>
      </c>
      <c r="O86" s="936"/>
    </row>
    <row r="87" spans="1:17" ht="11.25" customHeight="1">
      <c r="A87" s="692" t="s">
        <v>479</v>
      </c>
      <c r="B87" s="688" t="s">
        <v>477</v>
      </c>
      <c r="C87" s="688"/>
      <c r="D87" s="688" t="s">
        <v>475</v>
      </c>
      <c r="E87" s="897"/>
      <c r="F87" s="897"/>
      <c r="H87" s="932"/>
      <c r="I87" s="932"/>
      <c r="J87" s="932"/>
      <c r="K87" s="934"/>
      <c r="L87" s="934"/>
      <c r="M87" s="933"/>
      <c r="N87" s="932"/>
      <c r="O87" s="932"/>
    </row>
    <row r="88" spans="1:17" ht="11.25" customHeight="1">
      <c r="A88" s="872" t="s">
        <v>478</v>
      </c>
      <c r="B88" s="688" t="s">
        <v>477</v>
      </c>
      <c r="C88" s="875" t="s">
        <v>475</v>
      </c>
      <c r="D88" s="875"/>
      <c r="E88" s="878">
        <f>ABS(SUM(D29:N29)/N62)</f>
        <v>172633.81464370154</v>
      </c>
      <c r="F88" s="878"/>
      <c r="H88" s="937" t="s">
        <v>471</v>
      </c>
      <c r="I88" s="937"/>
      <c r="J88" s="937"/>
      <c r="K88" s="938"/>
      <c r="L88" s="938"/>
      <c r="M88" s="939">
        <f>1-M86</f>
        <v>0.70048903505625448</v>
      </c>
      <c r="N88" s="933"/>
      <c r="O88" s="933"/>
    </row>
    <row r="89" spans="1:17" ht="11.25" customHeight="1">
      <c r="A89" s="873"/>
      <c r="B89" s="688" t="s">
        <v>476</v>
      </c>
      <c r="C89" s="875" t="s">
        <v>475</v>
      </c>
      <c r="D89" s="875"/>
      <c r="E89" s="878"/>
      <c r="F89" s="878"/>
      <c r="H89" s="932"/>
      <c r="I89" s="933"/>
      <c r="J89" s="933" t="s">
        <v>530</v>
      </c>
      <c r="K89" s="938">
        <f>ABS(SUM(combined!D59:N59,combined!D132:N132,combined!D205:N205))</f>
        <v>540179956.25513184</v>
      </c>
      <c r="L89" s="938"/>
      <c r="M89" s="933"/>
      <c r="N89" s="935">
        <f ca="1">K89/$K$92</f>
        <v>4.9459293364195561E-5</v>
      </c>
      <c r="O89" s="935"/>
    </row>
    <row r="90" spans="1:17" ht="11.25" customHeight="1">
      <c r="A90" s="875" t="s">
        <v>474</v>
      </c>
      <c r="B90" s="875"/>
      <c r="C90" s="875" t="s">
        <v>472</v>
      </c>
      <c r="D90" s="875"/>
      <c r="E90" s="878">
        <f>ABS(SUM(D31:N31)/N74)</f>
        <v>214.81333551737151</v>
      </c>
      <c r="F90" s="878"/>
      <c r="H90" s="932"/>
      <c r="I90" s="933"/>
      <c r="J90" s="933" t="s">
        <v>531</v>
      </c>
      <c r="K90" s="938">
        <f>ABS(SUM(combined!D65:N65,combined!D138:N138,combined!D211:N211))</f>
        <v>725900723.91498196</v>
      </c>
      <c r="L90" s="938"/>
      <c r="M90" s="933"/>
      <c r="N90" s="935">
        <f ca="1">K90/$K$92</f>
        <v>6.6464030073037233E-5</v>
      </c>
      <c r="O90" s="935"/>
    </row>
    <row r="91" spans="1:17" ht="11.25" customHeight="1">
      <c r="A91" s="875" t="s">
        <v>473</v>
      </c>
      <c r="B91" s="875"/>
      <c r="C91" s="875" t="s">
        <v>472</v>
      </c>
      <c r="D91" s="875"/>
      <c r="E91" s="878">
        <f>ABS(SUM(D32:N32)/N75)</f>
        <v>247.13549369842733</v>
      </c>
      <c r="F91" s="878"/>
      <c r="H91" s="933"/>
      <c r="I91" s="933"/>
      <c r="J91" s="933"/>
      <c r="K91" s="938"/>
      <c r="L91" s="938"/>
      <c r="M91" s="933"/>
      <c r="N91" s="933"/>
      <c r="O91" s="933"/>
    </row>
    <row r="92" spans="1:17" ht="11.25" customHeight="1">
      <c r="A92" s="875" t="s">
        <v>144</v>
      </c>
      <c r="B92" s="875"/>
      <c r="C92" s="875" t="s">
        <v>470</v>
      </c>
      <c r="D92" s="875"/>
      <c r="E92" s="878">
        <f>ABS(SUM(D33:N33)/N65)</f>
        <v>188168.08501372454</v>
      </c>
      <c r="F92" s="878"/>
      <c r="H92" s="940" t="s">
        <v>200</v>
      </c>
      <c r="I92" s="940"/>
      <c r="J92" s="940"/>
      <c r="K92" s="934">
        <f ca="1">SUM(K86:L96)</f>
        <v>10923268168069.15</v>
      </c>
      <c r="L92" s="934"/>
      <c r="M92" s="933"/>
      <c r="N92" s="941">
        <v>1</v>
      </c>
      <c r="O92" s="941"/>
    </row>
    <row r="93" spans="1:17" ht="11.25" customHeight="1">
      <c r="A93" s="875" t="s">
        <v>469</v>
      </c>
      <c r="B93" s="875"/>
      <c r="C93" s="875" t="s">
        <v>467</v>
      </c>
      <c r="D93" s="875"/>
      <c r="E93" s="878">
        <f>ABS(SUM(D34:N34)/N66)</f>
        <v>25697.958521404464</v>
      </c>
      <c r="F93" s="878"/>
    </row>
    <row r="94" spans="1:17" ht="11.25" customHeight="1" thickBot="1">
      <c r="A94" s="875" t="s">
        <v>468</v>
      </c>
      <c r="B94" s="875"/>
      <c r="C94" s="688"/>
      <c r="D94" s="710" t="s">
        <v>467</v>
      </c>
      <c r="E94" s="887"/>
      <c r="F94" s="887"/>
      <c r="H94" s="711"/>
      <c r="I94" s="711"/>
      <c r="J94" s="711"/>
      <c r="K94" s="766"/>
      <c r="L94" s="766"/>
      <c r="M94" s="711"/>
      <c r="N94" s="711"/>
      <c r="O94" s="711"/>
    </row>
    <row r="95" spans="1:17" ht="11.25" customHeight="1">
      <c r="A95" s="877" t="s">
        <v>126</v>
      </c>
      <c r="B95" s="877"/>
      <c r="C95" s="877" t="s">
        <v>467</v>
      </c>
      <c r="D95" s="877"/>
      <c r="E95" s="888"/>
      <c r="F95" s="888"/>
      <c r="H95" s="890" t="s">
        <v>756</v>
      </c>
      <c r="I95" s="891"/>
      <c r="J95" s="891"/>
      <c r="K95" s="891"/>
      <c r="L95" s="891"/>
      <c r="M95" s="891"/>
      <c r="N95" s="891"/>
      <c r="O95" s="891"/>
      <c r="P95" s="891"/>
      <c r="Q95" s="892"/>
    </row>
    <row r="96" spans="1:17" ht="11.25" customHeight="1" thickBot="1">
      <c r="A96" s="720" t="s">
        <v>466</v>
      </c>
      <c r="B96" s="720"/>
      <c r="C96" s="896" t="s">
        <v>465</v>
      </c>
      <c r="D96" s="896"/>
      <c r="E96" s="886" t="s">
        <v>464</v>
      </c>
      <c r="F96" s="886"/>
      <c r="I96" s="768"/>
      <c r="J96" s="768"/>
      <c r="K96" s="889" t="s">
        <v>89</v>
      </c>
      <c r="L96" s="889"/>
      <c r="M96" s="889"/>
      <c r="N96" s="889"/>
      <c r="O96" s="768"/>
      <c r="Q96" s="769"/>
    </row>
    <row r="97" spans="1:32" ht="11.25" customHeight="1">
      <c r="A97" s="710"/>
      <c r="B97" s="688" t="s">
        <v>463</v>
      </c>
      <c r="C97" s="884">
        <f>SUMIF(infstrc!$D$4:$D$24,$B97,infstrc!$J$4:$J$24)*(1+Developerfee)</f>
        <v>5848752</v>
      </c>
      <c r="D97" s="884"/>
      <c r="E97" s="894"/>
      <c r="F97" s="894"/>
      <c r="H97" s="806"/>
      <c r="I97" s="807"/>
      <c r="J97" s="808"/>
      <c r="K97" s="809" t="s">
        <v>219</v>
      </c>
      <c r="L97" s="809" t="s">
        <v>220</v>
      </c>
      <c r="M97" s="809" t="s">
        <v>321</v>
      </c>
      <c r="N97" s="800" t="s">
        <v>950</v>
      </c>
      <c r="O97" s="810" t="s">
        <v>951</v>
      </c>
      <c r="Q97" s="769"/>
    </row>
    <row r="98" spans="1:32" ht="11.25" customHeight="1">
      <c r="A98" s="710"/>
      <c r="B98" s="688" t="s">
        <v>462</v>
      </c>
      <c r="C98" s="884">
        <f>SUMIF(infstrc!$D$4:$D$24,$B98,infstrc!$J$4:$J$24)*(1+Developerfee)</f>
        <v>2575000</v>
      </c>
      <c r="D98" s="884"/>
      <c r="E98" s="885"/>
      <c r="F98" s="885"/>
      <c r="H98" s="767" t="s">
        <v>947</v>
      </c>
      <c r="N98" s="801"/>
      <c r="O98" s="769"/>
      <c r="Q98" s="769"/>
      <c r="AB98" s="411" t="s">
        <v>550</v>
      </c>
      <c r="AC98" s="408" t="s">
        <v>823</v>
      </c>
      <c r="AD98" s="408" t="s">
        <v>824</v>
      </c>
    </row>
    <row r="99" spans="1:32" ht="11.25" customHeight="1">
      <c r="A99" s="710"/>
      <c r="B99" s="688" t="s">
        <v>461</v>
      </c>
      <c r="C99" s="884">
        <f>SUMIF(infstrc!$D$4:$D$24,$B99,infstrc!$J$4:$J$24)*(1+Developerfee)</f>
        <v>108870307.2101638</v>
      </c>
      <c r="D99" s="884"/>
      <c r="E99" s="885"/>
      <c r="F99" s="885"/>
      <c r="H99" s="785" t="s">
        <v>551</v>
      </c>
      <c r="I99" s="786"/>
      <c r="J99" s="787" t="s">
        <v>714</v>
      </c>
      <c r="K99" s="788">
        <f>combined!C72</f>
        <v>148583305.02208319</v>
      </c>
      <c r="L99" s="788">
        <f>combined!C145</f>
        <v>117083825.94073677</v>
      </c>
      <c r="M99" s="788">
        <f>combined!C218</f>
        <v>85100180.895826951</v>
      </c>
      <c r="N99" s="802">
        <f>SUM(K99:M99)</f>
        <v>350767311.85864693</v>
      </c>
      <c r="O99" s="815">
        <f>N99/$N$105</f>
        <v>0.32261765389304947</v>
      </c>
      <c r="Q99" s="771">
        <f>N99/$O$100</f>
        <v>7862625813.6650476</v>
      </c>
      <c r="AB99" s="389" t="s">
        <v>800</v>
      </c>
      <c r="AC99" s="405">
        <v>395</v>
      </c>
      <c r="AD99" s="406">
        <f>AG114</f>
        <v>0.36722963469582681</v>
      </c>
    </row>
    <row r="100" spans="1:32" ht="11.25" customHeight="1">
      <c r="A100" s="710"/>
      <c r="B100" s="688" t="s">
        <v>303</v>
      </c>
      <c r="C100" s="884">
        <f>SUMIF(infstrc!$D$4:$D$24,$B100,infstrc!$J$4:$J$24)*(1+Developerfee)</f>
        <v>3509251.2</v>
      </c>
      <c r="D100" s="884"/>
      <c r="E100" s="885"/>
      <c r="F100" s="885"/>
      <c r="H100" s="789"/>
      <c r="I100" s="786"/>
      <c r="J100" s="787" t="s">
        <v>700</v>
      </c>
      <c r="K100" s="788">
        <f>phase1landcontribution</f>
        <v>36019158.874690436</v>
      </c>
      <c r="L100" s="788">
        <f>phase2landcontribution</f>
        <v>8216204.5472456096</v>
      </c>
      <c r="M100" s="788">
        <f>phase3landcontribution</f>
        <v>4269188</v>
      </c>
      <c r="N100" s="802">
        <f>SUM(K100:M100)</f>
        <v>48504551.421936043</v>
      </c>
      <c r="O100" s="815">
        <f t="shared" ref="O100:O103" si="10">N100/$N$105</f>
        <v>4.4611980802777375E-2</v>
      </c>
      <c r="P100" s="772" t="e">
        <f>O100/$O$105</f>
        <v>#DIV/0!</v>
      </c>
      <c r="Q100" s="771">
        <f>N100/$O$100</f>
        <v>1087253929.3058319</v>
      </c>
      <c r="AB100" s="389" t="s">
        <v>797</v>
      </c>
      <c r="AC100" s="405">
        <v>537</v>
      </c>
      <c r="AD100" s="406">
        <f>AG115</f>
        <v>0.49682961973751155</v>
      </c>
    </row>
    <row r="101" spans="1:32" ht="11.25" customHeight="1">
      <c r="B101" s="768" t="s">
        <v>805</v>
      </c>
      <c r="C101" s="884">
        <f>SUMIF(infstrc!$D$4:$D$24,$B101,infstrc!$J$4:$J$24)*(1+Developerfee)</f>
        <v>964080</v>
      </c>
      <c r="D101" s="884"/>
      <c r="E101" s="885"/>
      <c r="F101" s="885"/>
      <c r="H101" s="790" t="s">
        <v>552</v>
      </c>
      <c r="I101" s="410"/>
      <c r="J101" s="408" t="s">
        <v>701</v>
      </c>
      <c r="K101" s="409">
        <f>SUM(combined!D59:N59)</f>
        <v>281698415.08937919</v>
      </c>
      <c r="L101" s="409">
        <f>SUM(combined!D132:N132)</f>
        <v>154072855.46755448</v>
      </c>
      <c r="M101" s="409">
        <f>SUM(combined!D205:N205)</f>
        <v>104408685.69819809</v>
      </c>
      <c r="N101" s="803">
        <f>SUM(K101:M101)</f>
        <v>540179956.25513172</v>
      </c>
      <c r="O101" s="816">
        <f t="shared" si="10"/>
        <v>0.49682961973751155</v>
      </c>
      <c r="Q101" s="769"/>
      <c r="AB101" s="389" t="s">
        <v>702</v>
      </c>
      <c r="AC101" s="405">
        <v>148</v>
      </c>
      <c r="AD101" s="406">
        <f>AG116</f>
        <v>0.13594074556666169</v>
      </c>
    </row>
    <row r="102" spans="1:32" ht="11.25" customHeight="1">
      <c r="A102" s="696"/>
      <c r="B102" s="757" t="s">
        <v>460</v>
      </c>
      <c r="C102" s="884">
        <f>SUMIF(infstrc!$D$4:$D$24,$B102,infstrc!$J$4:$J$24)*(1+Developerfee)</f>
        <v>9659752</v>
      </c>
      <c r="D102" s="884"/>
      <c r="E102" s="895"/>
      <c r="F102" s="895"/>
      <c r="H102" s="785" t="s">
        <v>702</v>
      </c>
      <c r="I102" s="786"/>
      <c r="J102" s="787" t="s">
        <v>707</v>
      </c>
      <c r="K102" s="788">
        <f>combined!Q13</f>
        <v>103029670.57227798</v>
      </c>
      <c r="L102" s="788">
        <f>combined!Q86</f>
        <v>21927232.477436259</v>
      </c>
      <c r="M102" s="788">
        <f>combined!Q159</f>
        <v>11345206.720403055</v>
      </c>
      <c r="N102" s="802">
        <f>SUM(K102:M102)</f>
        <v>136302109.77011728</v>
      </c>
      <c r="O102" s="815">
        <f t="shared" si="10"/>
        <v>0.12536363962109634</v>
      </c>
      <c r="P102" s="772" t="e">
        <f>O101/$O$105</f>
        <v>#DIV/0!</v>
      </c>
      <c r="Q102" s="773">
        <f>N101/$O$101</f>
        <v>1087253929.3058319</v>
      </c>
      <c r="AC102" s="407">
        <v>1080</v>
      </c>
      <c r="AD102" s="403">
        <v>1</v>
      </c>
    </row>
    <row r="103" spans="1:32" ht="11.25" customHeight="1">
      <c r="A103" s="408"/>
      <c r="B103" s="733" t="s">
        <v>459</v>
      </c>
      <c r="C103" s="390"/>
      <c r="E103" s="893"/>
      <c r="F103" s="893"/>
      <c r="G103" s="772"/>
      <c r="H103" s="789"/>
      <c r="I103" s="786"/>
      <c r="J103" s="787" t="s">
        <v>703</v>
      </c>
      <c r="K103" s="788">
        <f>combined!Q17</f>
        <v>11500000</v>
      </c>
      <c r="L103" s="788">
        <f>combined!Q90</f>
        <v>0</v>
      </c>
      <c r="M103" s="788">
        <f>combined!Q163</f>
        <v>0</v>
      </c>
      <c r="N103" s="802">
        <f>SUM(K103:M103)</f>
        <v>11500000</v>
      </c>
      <c r="O103" s="815">
        <f t="shared" si="10"/>
        <v>1.0577105945565346E-2</v>
      </c>
      <c r="Q103" s="769"/>
      <c r="AB103" s="408" t="s">
        <v>548</v>
      </c>
      <c r="AC103" s="409"/>
      <c r="AD103" s="410"/>
    </row>
    <row r="104" spans="1:32" ht="11.25" customHeight="1">
      <c r="A104" s="408"/>
      <c r="B104" s="733" t="s">
        <v>458</v>
      </c>
      <c r="D104" s="395">
        <f>SUM(C97:D102)</f>
        <v>131427142.4101638</v>
      </c>
      <c r="E104" s="883"/>
      <c r="F104" s="883"/>
      <c r="G104" s="774"/>
      <c r="H104" s="770"/>
      <c r="N104" s="801"/>
      <c r="O104" s="817"/>
      <c r="P104" s="772"/>
      <c r="Q104" s="773">
        <f>N102/$O$103</f>
        <v>12886522123.498682</v>
      </c>
      <c r="AB104" s="389" t="s">
        <v>746</v>
      </c>
      <c r="AC104" s="405">
        <v>72</v>
      </c>
      <c r="AD104" s="406">
        <f>AG119</f>
        <v>6.6826058955042317E-2</v>
      </c>
    </row>
    <row r="105" spans="1:32" ht="14.15" customHeight="1">
      <c r="A105" s="408"/>
      <c r="B105" s="733" t="s">
        <v>457</v>
      </c>
      <c r="C105" s="775">
        <f>ABS(SUM(D41:N41))</f>
        <v>982145375.00933039</v>
      </c>
      <c r="D105" s="776"/>
      <c r="H105" s="799"/>
      <c r="I105" s="791"/>
      <c r="J105" s="792" t="s">
        <v>706</v>
      </c>
      <c r="K105" s="793">
        <f>SUM(K99:K103)</f>
        <v>580830549.55843079</v>
      </c>
      <c r="L105" s="793">
        <f>SUM(L99:L103)</f>
        <v>301300118.43297309</v>
      </c>
      <c r="M105" s="793">
        <f>SUM(M99:M103)</f>
        <v>205123261.31442809</v>
      </c>
      <c r="N105" s="804">
        <f>SUM(N99:N103)</f>
        <v>1087253929.3058319</v>
      </c>
      <c r="O105" s="818"/>
      <c r="P105" s="772" t="e">
        <f>O103/$O$105</f>
        <v>#DIV/0!</v>
      </c>
      <c r="Q105" s="773">
        <f>N103/$O$103</f>
        <v>1087253929.3058319</v>
      </c>
      <c r="AB105" s="389" t="s">
        <v>798</v>
      </c>
      <c r="AC105" s="405">
        <v>821</v>
      </c>
      <c r="AD105" s="406">
        <f>AG120</f>
        <v>0.76023260671951653</v>
      </c>
    </row>
    <row r="106" spans="1:32" ht="14.15" customHeight="1">
      <c r="B106" s="393" t="s">
        <v>547</v>
      </c>
      <c r="D106" s="942">
        <f>ABS(SUM(combined!D60:N60,combined!D133:N133,combined!D206:N206))</f>
        <v>87787671.770509899</v>
      </c>
      <c r="H106" s="770"/>
      <c r="N106" s="801"/>
      <c r="O106" s="817"/>
      <c r="AB106" s="389" t="s">
        <v>300</v>
      </c>
      <c r="AC106" s="405">
        <v>131</v>
      </c>
      <c r="AD106" s="406">
        <f>AG121</f>
        <v>0.12087989646914844</v>
      </c>
    </row>
    <row r="107" spans="1:32" ht="14.15" customHeight="1">
      <c r="B107" s="393" t="s">
        <v>553</v>
      </c>
      <c r="D107" s="942">
        <f>ABS(SUM(combined!D58:N58,combined!D131:N131,combined!D204:N204))</f>
        <v>10803599.125102634</v>
      </c>
      <c r="H107" s="777" t="s">
        <v>948</v>
      </c>
      <c r="J107" s="393"/>
      <c r="K107" s="774"/>
      <c r="N107" s="801"/>
      <c r="O107" s="817"/>
      <c r="Q107" s="769"/>
      <c r="AB107" s="389" t="s">
        <v>799</v>
      </c>
      <c r="AC107" s="405">
        <v>56</v>
      </c>
      <c r="AD107" s="406">
        <f>AG122</f>
        <v>5.2061437856292761E-2</v>
      </c>
    </row>
    <row r="108" spans="1:32" ht="14.15" customHeight="1">
      <c r="B108" s="393" t="s">
        <v>697</v>
      </c>
      <c r="D108" s="942">
        <f>SUM(combined!Q14:Q15,combined!Q87:Q88,combined!Q160:Q161)</f>
        <v>9541147.6839082092</v>
      </c>
      <c r="H108" s="794" t="s">
        <v>746</v>
      </c>
      <c r="I108" s="786"/>
      <c r="J108" s="787" t="s">
        <v>699</v>
      </c>
      <c r="K108" s="788">
        <f>K100</f>
        <v>36019158.874690436</v>
      </c>
      <c r="L108" s="788">
        <f>L100</f>
        <v>8216204.5472456096</v>
      </c>
      <c r="M108" s="788">
        <f>M100</f>
        <v>4269188</v>
      </c>
      <c r="N108" s="802">
        <f>SUM(K108:M108)</f>
        <v>48504551.421936043</v>
      </c>
      <c r="O108" s="815">
        <f>N108/$N$119</f>
        <v>4.4611980802777375E-2</v>
      </c>
      <c r="Q108" s="769"/>
      <c r="AC108" s="407">
        <v>1080</v>
      </c>
      <c r="AD108" s="403">
        <v>1</v>
      </c>
    </row>
    <row r="109" spans="1:32" ht="14.15" customHeight="1">
      <c r="B109" s="391" t="s">
        <v>699</v>
      </c>
      <c r="D109" s="943"/>
      <c r="H109" s="794"/>
      <c r="I109" s="786"/>
      <c r="J109" s="787" t="s">
        <v>602</v>
      </c>
      <c r="K109" s="788">
        <f>'acq-demo-repur'!U6</f>
        <v>5085389.3585189339</v>
      </c>
      <c r="L109" s="788">
        <v>0</v>
      </c>
      <c r="M109" s="788">
        <v>0</v>
      </c>
      <c r="N109" s="802">
        <f t="shared" ref="N109:N111" si="11">SUM(K109:M109)</f>
        <v>5085389.3585189339</v>
      </c>
      <c r="O109" s="815">
        <f t="shared" ref="O109:O117" si="12">N109/$N$119</f>
        <v>4.6772784364787273E-3</v>
      </c>
      <c r="Q109" s="769"/>
    </row>
    <row r="110" spans="1:32" ht="14.15" customHeight="1">
      <c r="B110" s="391" t="s">
        <v>549</v>
      </c>
      <c r="D110" s="944">
        <f>SUM(C105:D108)</f>
        <v>1090277793.588851</v>
      </c>
      <c r="H110" s="794"/>
      <c r="I110" s="786"/>
      <c r="J110" s="787" t="s">
        <v>252</v>
      </c>
      <c r="K110" s="788">
        <f>'acq-demo-repur'!U7</f>
        <v>8949365.7142857127</v>
      </c>
      <c r="L110" s="788">
        <v>0</v>
      </c>
      <c r="M110" s="788">
        <v>0</v>
      </c>
      <c r="N110" s="802">
        <f t="shared" si="11"/>
        <v>8949365.7142857127</v>
      </c>
      <c r="O110" s="815">
        <f t="shared" si="12"/>
        <v>8.2311642874443539E-3</v>
      </c>
      <c r="Q110" s="769"/>
    </row>
    <row r="111" spans="1:32" ht="14.15" customHeight="1">
      <c r="H111" s="794"/>
      <c r="I111" s="786"/>
      <c r="J111" s="787" t="s">
        <v>261</v>
      </c>
      <c r="K111" s="788">
        <f>'acq-demo-repur'!U8</f>
        <v>10117588.684152242</v>
      </c>
      <c r="L111" s="788">
        <v>0</v>
      </c>
      <c r="M111" s="788">
        <v>0</v>
      </c>
      <c r="N111" s="802">
        <f t="shared" si="11"/>
        <v>10117588.684152242</v>
      </c>
      <c r="O111" s="815">
        <f t="shared" si="12"/>
        <v>9.3056354283418564E-3</v>
      </c>
      <c r="P111" s="778" t="e">
        <f>O111/$O$119</f>
        <v>#DIV/0!</v>
      </c>
      <c r="Q111" s="769"/>
    </row>
    <row r="112" spans="1:32" ht="14.15" customHeight="1">
      <c r="H112" s="795" t="s">
        <v>708</v>
      </c>
      <c r="I112" s="796">
        <v>0.8</v>
      </c>
      <c r="J112" s="733" t="s">
        <v>709</v>
      </c>
      <c r="K112" s="409">
        <f t="shared" ref="K112:M113" si="13">$I112*K$125</f>
        <v>287226520.67121857</v>
      </c>
      <c r="L112" s="409">
        <f t="shared" si="13"/>
        <v>222645751.30117008</v>
      </c>
      <c r="M112" s="409">
        <f t="shared" si="13"/>
        <v>151380439.10137904</v>
      </c>
      <c r="N112" s="803">
        <f t="shared" ref="N112:N117" si="14">SUM(K112:M112)</f>
        <v>661252711.07376766</v>
      </c>
      <c r="O112" s="816">
        <f t="shared" si="12"/>
        <v>0.60818608537561325</v>
      </c>
      <c r="P112" s="778"/>
      <c r="Q112" s="769"/>
      <c r="S112" s="391"/>
      <c r="AB112" s="391" t="s">
        <v>89</v>
      </c>
      <c r="AC112" s="392">
        <v>1</v>
      </c>
      <c r="AD112" s="392">
        <v>2</v>
      </c>
      <c r="AE112" s="392">
        <v>3</v>
      </c>
      <c r="AF112" s="393" t="s">
        <v>200</v>
      </c>
    </row>
    <row r="113" spans="8:33" ht="14.15" customHeight="1">
      <c r="H113" s="795"/>
      <c r="I113" s="796">
        <v>0.2</v>
      </c>
      <c r="J113" s="733" t="s">
        <v>710</v>
      </c>
      <c r="K113" s="409">
        <f t="shared" si="13"/>
        <v>71806630.167804644</v>
      </c>
      <c r="L113" s="409">
        <f t="shared" si="13"/>
        <v>55661437.82529252</v>
      </c>
      <c r="M113" s="409">
        <f t="shared" si="13"/>
        <v>37845109.775344759</v>
      </c>
      <c r="N113" s="803">
        <f t="shared" si="14"/>
        <v>165313177.76844192</v>
      </c>
      <c r="O113" s="816">
        <f t="shared" si="12"/>
        <v>0.15204652134390331</v>
      </c>
      <c r="P113" s="778" t="e">
        <f>O113/$O$119</f>
        <v>#DIV/0!</v>
      </c>
      <c r="Q113" s="769"/>
      <c r="AB113" s="394" t="s">
        <v>550</v>
      </c>
    </row>
    <row r="114" spans="8:33" ht="14.15" customHeight="1">
      <c r="H114" s="794" t="s">
        <v>300</v>
      </c>
      <c r="I114" s="786"/>
      <c r="J114" s="797" t="s">
        <v>300</v>
      </c>
      <c r="K114" s="788">
        <f>infstrc!K25</f>
        <v>128993441.9301638</v>
      </c>
      <c r="L114" s="788">
        <f>infstrc!L25</f>
        <v>1825275.36</v>
      </c>
      <c r="M114" s="788">
        <f>infstrc!M25</f>
        <v>608425.12</v>
      </c>
      <c r="N114" s="802">
        <f t="shared" si="14"/>
        <v>131427142.4101638</v>
      </c>
      <c r="O114" s="815">
        <f t="shared" si="12"/>
        <v>0.12087989646914844</v>
      </c>
      <c r="P114" s="778" t="e">
        <f>O114/$O$119</f>
        <v>#DIV/0!</v>
      </c>
      <c r="Q114" s="769"/>
      <c r="AB114" s="389" t="s">
        <v>800</v>
      </c>
      <c r="AC114" s="390">
        <f>SUM(K99:K100)</f>
        <v>184602463.89677364</v>
      </c>
      <c r="AD114" s="390">
        <f>SUM(L99:L100)</f>
        <v>125300030.48798238</v>
      </c>
      <c r="AE114" s="390">
        <f>SUM(M99:M100)</f>
        <v>89369368.895826951</v>
      </c>
      <c r="AF114" s="396">
        <f>SUM(AC114:AE114)</f>
        <v>399271863.28058296</v>
      </c>
      <c r="AG114" s="404">
        <f>AF114/$AF$117</f>
        <v>0.36722963469582681</v>
      </c>
    </row>
    <row r="115" spans="8:33" ht="14.15" customHeight="1">
      <c r="H115" s="795" t="s">
        <v>711</v>
      </c>
      <c r="I115" s="410"/>
      <c r="J115" s="733" t="s">
        <v>712</v>
      </c>
      <c r="K115" s="409">
        <f>ABS(SUMIF(combined!D69:N69,"&lt;0",combined!D60:N60))</f>
        <v>19786408.915749438</v>
      </c>
      <c r="L115" s="409">
        <f>ABS(SUMIF(combined!D142:N142,"&lt;0",combined!D133:N133))</f>
        <v>8335086.016493273</v>
      </c>
      <c r="M115" s="409">
        <f>ABS(SUMIF(combined!D215:N215,"&lt;0",combined!D206:N206))-combined!L188</f>
        <v>8137761.1333121303</v>
      </c>
      <c r="N115" s="803">
        <f t="shared" si="14"/>
        <v>36259256.065554842</v>
      </c>
      <c r="O115" s="816">
        <f t="shared" si="12"/>
        <v>3.3349390688065784E-2</v>
      </c>
      <c r="P115" s="778"/>
      <c r="Q115" s="769"/>
      <c r="AB115" s="389" t="s">
        <v>797</v>
      </c>
      <c r="AC115" s="390">
        <f>SUM(K101)</f>
        <v>281698415.08937919</v>
      </c>
      <c r="AD115" s="390">
        <f>SUM(L101)</f>
        <v>154072855.46755448</v>
      </c>
      <c r="AE115" s="390">
        <f>SUM(M101)</f>
        <v>104408685.69819809</v>
      </c>
      <c r="AF115" s="396">
        <f>SUM(AC115:AE115)</f>
        <v>540179956.25513172</v>
      </c>
      <c r="AG115" s="404">
        <f>AF115/$AF$117</f>
        <v>0.49682961973751155</v>
      </c>
    </row>
    <row r="116" spans="8:33" ht="14.15" customHeight="1" thickBot="1">
      <c r="H116" s="798"/>
      <c r="I116" s="410"/>
      <c r="J116" s="733" t="s">
        <v>713</v>
      </c>
      <c r="K116" s="409">
        <f>ABS(SUM(combined!D58:N58))</f>
        <v>5633968.3017875841</v>
      </c>
      <c r="L116" s="409">
        <f>ABS(SUM(combined!D131:N131))</f>
        <v>3081457.1093510892</v>
      </c>
      <c r="M116" s="409">
        <f>ABS(SUM(combined!D204:N204))</f>
        <v>2088173.7139639619</v>
      </c>
      <c r="N116" s="803">
        <f t="shared" si="14"/>
        <v>10803599.125102634</v>
      </c>
      <c r="O116" s="816">
        <f t="shared" si="12"/>
        <v>9.9365923947502301E-3</v>
      </c>
      <c r="P116" s="778"/>
      <c r="Q116" s="769"/>
      <c r="AB116" s="389" t="s">
        <v>702</v>
      </c>
      <c r="AC116" s="395">
        <f>SUM(K102:K103)</f>
        <v>114529670.57227798</v>
      </c>
      <c r="AD116" s="395">
        <f>SUM(L102:L103)</f>
        <v>21927232.477436259</v>
      </c>
      <c r="AE116" s="395">
        <f>SUM(M102:M103)</f>
        <v>11345206.720403055</v>
      </c>
      <c r="AF116" s="396">
        <f>SUM(AC116:AE116)</f>
        <v>147802109.77011728</v>
      </c>
      <c r="AG116" s="404">
        <f>AF116/$AF$117</f>
        <v>0.13594074556666169</v>
      </c>
    </row>
    <row r="117" spans="8:33" ht="14.15" customHeight="1" thickBot="1">
      <c r="H117" s="798"/>
      <c r="I117" s="410"/>
      <c r="J117" s="733" t="s">
        <v>696</v>
      </c>
      <c r="K117" s="409">
        <f>SUM(combined!Q14:Q15)</f>
        <v>7212076.9400594588</v>
      </c>
      <c r="L117" s="409">
        <f>SUM(combined!Q87:Q88)</f>
        <v>1534906.2734205381</v>
      </c>
      <c r="M117" s="409">
        <f>SUM(combined!Q160:Q161)</f>
        <v>794164.47042821383</v>
      </c>
      <c r="N117" s="803">
        <f t="shared" si="14"/>
        <v>9541147.6839082111</v>
      </c>
      <c r="O117" s="816">
        <f t="shared" si="12"/>
        <v>8.7754547734767464E-3</v>
      </c>
      <c r="P117" s="778" t="e">
        <f>O117/$O$119</f>
        <v>#DIV/0!</v>
      </c>
      <c r="Q117" s="769"/>
      <c r="AC117" s="390">
        <f t="shared" ref="AC117:AE117" si="15">SUM(AC114:AC116)</f>
        <v>580830549.55843079</v>
      </c>
      <c r="AD117" s="390">
        <f t="shared" si="15"/>
        <v>301300118.43297309</v>
      </c>
      <c r="AE117" s="390">
        <f t="shared" si="15"/>
        <v>205123261.31442809</v>
      </c>
      <c r="AF117" s="397">
        <f>SUM(AF114:AF116)</f>
        <v>1087253929.3058319</v>
      </c>
      <c r="AG117" s="404"/>
    </row>
    <row r="118" spans="8:33" ht="14.15" customHeight="1">
      <c r="H118" s="770"/>
      <c r="N118" s="801"/>
      <c r="O118" s="817"/>
      <c r="Q118" s="769"/>
      <c r="AB118" s="394" t="s">
        <v>548</v>
      </c>
      <c r="AG118" s="404"/>
    </row>
    <row r="119" spans="8:33" ht="14.15" customHeight="1" thickBot="1">
      <c r="H119" s="811"/>
      <c r="I119" s="812"/>
      <c r="J119" s="813" t="s">
        <v>949</v>
      </c>
      <c r="K119" s="814">
        <f>SUM(K108:K111,K112:K113,K114,K115:K117)</f>
        <v>580830549.55843079</v>
      </c>
      <c r="L119" s="814">
        <f>SUM(L108:L111,L112:L113,L114,L115:L117)</f>
        <v>301300118.43297309</v>
      </c>
      <c r="M119" s="814">
        <f>SUM(M108:M111,M112:M113,M114,M115:M117)</f>
        <v>205123261.31442812</v>
      </c>
      <c r="N119" s="805">
        <f>SUM(N108:N111,N112:N113,N114,N115:N117)</f>
        <v>1087253929.3058319</v>
      </c>
      <c r="O119" s="819"/>
      <c r="Q119" s="780">
        <f>O119-O105</f>
        <v>0</v>
      </c>
      <c r="AB119" s="389" t="s">
        <v>746</v>
      </c>
      <c r="AC119" s="390">
        <f>SUM(K108:K111)</f>
        <v>60171502.631647334</v>
      </c>
      <c r="AD119" s="390">
        <f>SUM(L108:L111)</f>
        <v>8216204.5472456096</v>
      </c>
      <c r="AE119" s="390">
        <f>SUM(M108:M111)</f>
        <v>4269188</v>
      </c>
      <c r="AF119" s="396">
        <f>SUM(AC119:AE119)</f>
        <v>72656895.17889294</v>
      </c>
      <c r="AG119" s="404">
        <f>AF119/$AF$123</f>
        <v>6.6826058955042317E-2</v>
      </c>
    </row>
    <row r="120" spans="8:33" ht="14.15" customHeight="1">
      <c r="AB120" s="389" t="s">
        <v>798</v>
      </c>
      <c r="AC120" s="390">
        <f>SUM(K112:K113)</f>
        <v>359033150.83902323</v>
      </c>
      <c r="AD120" s="390">
        <f>SUM(L112:L113)</f>
        <v>278307189.12646258</v>
      </c>
      <c r="AE120" s="390">
        <f>SUM(M112:M113)</f>
        <v>189225548.8767238</v>
      </c>
      <c r="AF120" s="396">
        <f>SUM(AC120:AE120)</f>
        <v>826565888.84220958</v>
      </c>
      <c r="AG120" s="404">
        <f>AF120/$AF$123</f>
        <v>0.76023260671951653</v>
      </c>
    </row>
    <row r="121" spans="8:33" ht="14.15" customHeight="1">
      <c r="AB121" s="389" t="s">
        <v>300</v>
      </c>
      <c r="AC121" s="390">
        <f>K114</f>
        <v>128993441.9301638</v>
      </c>
      <c r="AD121" s="390">
        <f>L114</f>
        <v>1825275.36</v>
      </c>
      <c r="AE121" s="390">
        <f>M114</f>
        <v>608425.12</v>
      </c>
      <c r="AF121" s="396">
        <f>SUM(AC121:AE121)</f>
        <v>131427142.4101638</v>
      </c>
      <c r="AG121" s="404">
        <f>AF121/$AF$123</f>
        <v>0.12087989646914844</v>
      </c>
    </row>
    <row r="122" spans="8:33" ht="14.15" customHeight="1" thickBot="1">
      <c r="H122" s="770"/>
      <c r="Q122" s="769"/>
      <c r="AB122" s="389" t="s">
        <v>799</v>
      </c>
      <c r="AC122" s="395">
        <f>SUM(K115:K117)</f>
        <v>32632454.157596484</v>
      </c>
      <c r="AD122" s="395">
        <f>SUM(L115:L117)</f>
        <v>12951449.399264902</v>
      </c>
      <c r="AE122" s="395">
        <f>SUM(M115:M117)</f>
        <v>11020099.317704305</v>
      </c>
      <c r="AF122" s="396">
        <f>SUM(AC122:AE122)</f>
        <v>56604002.874565691</v>
      </c>
      <c r="AG122" s="404">
        <f>AF122/$AF$123</f>
        <v>5.2061437856292761E-2</v>
      </c>
    </row>
    <row r="123" spans="8:33" ht="14.15" customHeight="1" thickBot="1">
      <c r="H123" s="781"/>
      <c r="I123" s="782"/>
      <c r="J123" s="782"/>
      <c r="K123" s="783">
        <f>K119-K105</f>
        <v>0</v>
      </c>
      <c r="L123" s="783">
        <f>L119-L105</f>
        <v>0</v>
      </c>
      <c r="M123" s="783">
        <f>M119-M105</f>
        <v>0</v>
      </c>
      <c r="N123" s="782"/>
      <c r="O123" s="782"/>
      <c r="P123" s="782"/>
      <c r="Q123" s="784"/>
      <c r="AC123" s="390">
        <f t="shared" ref="AC123:AE123" si="16">SUM(AC119:AC122)</f>
        <v>580830549.55843079</v>
      </c>
      <c r="AD123" s="390">
        <f t="shared" si="16"/>
        <v>301300118.43297315</v>
      </c>
      <c r="AE123" s="390">
        <f t="shared" si="16"/>
        <v>205123261.31442809</v>
      </c>
      <c r="AF123" s="397">
        <f>SUM(AF119:AF122)</f>
        <v>1087253929.3058319</v>
      </c>
    </row>
    <row r="125" spans="8:33" ht="14.15" customHeight="1">
      <c r="K125" s="779">
        <f>ABS(SUMIF(combined!D35:N35,"&lt;0",combined!D35:N35))-SUM(K109:K111)</f>
        <v>359033150.83902323</v>
      </c>
      <c r="L125" s="779">
        <f>ABS(SUMIF(combined!D108:N108,"&lt;0",combined!D108:N108))-SUM(L109:L111)</f>
        <v>278307189.12646258</v>
      </c>
      <c r="M125" s="779">
        <f>ABS(SUMIF(combined!D181:N181,"&lt;0",combined!D181:N181))-SUM(M109:M111)</f>
        <v>189225548.8767238</v>
      </c>
    </row>
    <row r="134" spans="8:12" ht="14.15" customHeight="1">
      <c r="H134" s="768"/>
      <c r="K134" s="405"/>
      <c r="L134" s="405"/>
    </row>
    <row r="135" spans="8:12" ht="14.15" customHeight="1">
      <c r="I135" s="768"/>
      <c r="K135" s="390"/>
      <c r="L135" s="390"/>
    </row>
    <row r="139" spans="8:12" ht="14.15" customHeight="1">
      <c r="H139" s="391"/>
    </row>
    <row r="140" spans="8:12" ht="14.15" customHeight="1">
      <c r="K140" s="390"/>
    </row>
    <row r="141" spans="8:12" ht="14.15" customHeight="1">
      <c r="K141" s="390"/>
    </row>
    <row r="142" spans="8:12" ht="14.15" customHeight="1">
      <c r="K142" s="390"/>
      <c r="L142" s="390"/>
    </row>
    <row r="144" spans="8:12" ht="14.15" customHeight="1">
      <c r="H144" s="391"/>
      <c r="K144" s="390"/>
    </row>
  </sheetData>
  <mergeCells count="100">
    <mergeCell ref="C91:D91"/>
    <mergeCell ref="E91:F91"/>
    <mergeCell ref="A85:A86"/>
    <mergeCell ref="C85:D85"/>
    <mergeCell ref="E85:F85"/>
    <mergeCell ref="A90:B90"/>
    <mergeCell ref="C90:D90"/>
    <mergeCell ref="E90:F90"/>
    <mergeCell ref="A79:B79"/>
    <mergeCell ref="A92:B92"/>
    <mergeCell ref="A93:B93"/>
    <mergeCell ref="A77:B77"/>
    <mergeCell ref="A78:B78"/>
    <mergeCell ref="A91:B91"/>
    <mergeCell ref="E87:F87"/>
    <mergeCell ref="A88:A89"/>
    <mergeCell ref="C88:D88"/>
    <mergeCell ref="E88:F88"/>
    <mergeCell ref="C89:D89"/>
    <mergeCell ref="E89:F89"/>
    <mergeCell ref="E103:F103"/>
    <mergeCell ref="C97:D97"/>
    <mergeCell ref="E97:F97"/>
    <mergeCell ref="E102:F102"/>
    <mergeCell ref="A94:B94"/>
    <mergeCell ref="A95:B95"/>
    <mergeCell ref="C102:D102"/>
    <mergeCell ref="E101:F101"/>
    <mergeCell ref="C99:D99"/>
    <mergeCell ref="E99:F99"/>
    <mergeCell ref="C96:D96"/>
    <mergeCell ref="C100:D100"/>
    <mergeCell ref="E100:F100"/>
    <mergeCell ref="E104:F104"/>
    <mergeCell ref="C98:D98"/>
    <mergeCell ref="E98:F98"/>
    <mergeCell ref="C101:D101"/>
    <mergeCell ref="N92:O92"/>
    <mergeCell ref="E96:F96"/>
    <mergeCell ref="E94:F94"/>
    <mergeCell ref="C92:D92"/>
    <mergeCell ref="E92:F92"/>
    <mergeCell ref="C95:D95"/>
    <mergeCell ref="E95:F95"/>
    <mergeCell ref="C93:D93"/>
    <mergeCell ref="E93:F93"/>
    <mergeCell ref="H92:J92"/>
    <mergeCell ref="K96:N96"/>
    <mergeCell ref="H95:Q95"/>
    <mergeCell ref="H85:J85"/>
    <mergeCell ref="C86:D86"/>
    <mergeCell ref="E86:F86"/>
    <mergeCell ref="K85:L85"/>
    <mergeCell ref="A80:B80"/>
    <mergeCell ref="A81:B81"/>
    <mergeCell ref="H83:O83"/>
    <mergeCell ref="A84:B84"/>
    <mergeCell ref="C84:D84"/>
    <mergeCell ref="E84:F84"/>
    <mergeCell ref="H84:J84"/>
    <mergeCell ref="K84:L84"/>
    <mergeCell ref="A83:F83"/>
    <mergeCell ref="A70:A71"/>
    <mergeCell ref="A72:A73"/>
    <mergeCell ref="A74:B74"/>
    <mergeCell ref="A75:B75"/>
    <mergeCell ref="A65:B65"/>
    <mergeCell ref="A66:B66"/>
    <mergeCell ref="A67:B67"/>
    <mergeCell ref="A68:B68"/>
    <mergeCell ref="A64:B64"/>
    <mergeCell ref="A37:B37"/>
    <mergeCell ref="A39:B39"/>
    <mergeCell ref="A41:B41"/>
    <mergeCell ref="A44:B44"/>
    <mergeCell ref="A46:B46"/>
    <mergeCell ref="A47:B47"/>
    <mergeCell ref="A56:O56"/>
    <mergeCell ref="A29:A30"/>
    <mergeCell ref="A31:B31"/>
    <mergeCell ref="A32:B32"/>
    <mergeCell ref="A60:A61"/>
    <mergeCell ref="A62:A63"/>
    <mergeCell ref="A33:B33"/>
    <mergeCell ref="A34:B34"/>
    <mergeCell ref="A35:B35"/>
    <mergeCell ref="A36:B36"/>
    <mergeCell ref="A22:B22"/>
    <mergeCell ref="A26:A27"/>
    <mergeCell ref="A5:A6"/>
    <mergeCell ref="A8:A9"/>
    <mergeCell ref="A21:B21"/>
    <mergeCell ref="A18:B18"/>
    <mergeCell ref="A10:B10"/>
    <mergeCell ref="A11:B11"/>
    <mergeCell ref="A13:B13"/>
    <mergeCell ref="A14:B14"/>
    <mergeCell ref="A16:B16"/>
    <mergeCell ref="A20:B20"/>
    <mergeCell ref="A15:B15"/>
  </mergeCells>
  <pageMargins left="0.25" right="0.25" top="0.75" bottom="0.75" header="0.3" footer="0.3"/>
  <pageSetup paperSize="17" scale="94" fitToHeight="0" orientation="portrait" r:id="rId1"/>
  <headerFooter alignWithMargins="0">
    <oddHeader xml:space="preserve">&amp;L&amp;"Arial,Bold"2017 ULI Hines Student Competition&amp;RTeam &amp;A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9195E-67AD-4188-A985-6F4959396189}">
  <sheetPr>
    <tabColor rgb="FF0000FF"/>
  </sheetPr>
  <dimension ref="A1:AS234"/>
  <sheetViews>
    <sheetView showGridLines="0" tabSelected="1" zoomScale="55" zoomScaleNormal="55" workbookViewId="0">
      <selection activeCell="W3" sqref="W3"/>
    </sheetView>
  </sheetViews>
  <sheetFormatPr defaultRowHeight="10.5"/>
  <cols>
    <col min="1" max="1" width="37.453125" style="65" customWidth="1"/>
    <col min="2" max="2" width="21.453125" style="65" customWidth="1"/>
    <col min="3" max="4" width="13.7265625" style="65" customWidth="1"/>
    <col min="5" max="5" width="14.1796875" style="65" bestFit="1" customWidth="1"/>
    <col min="6" max="6" width="20.453125" style="65" customWidth="1"/>
    <col min="7" max="7" width="14.1796875" style="65" bestFit="1" customWidth="1"/>
    <col min="8" max="8" width="14.26953125" style="65" bestFit="1" customWidth="1"/>
    <col min="9" max="9" width="12.6328125" style="65" bestFit="1" customWidth="1"/>
    <col min="10" max="10" width="17.54296875" style="65" bestFit="1" customWidth="1"/>
    <col min="11" max="13" width="14.1796875" style="65" bestFit="1" customWidth="1"/>
    <col min="14" max="14" width="13" style="65" bestFit="1" customWidth="1"/>
    <col min="15" max="16" width="14.54296875" style="65" customWidth="1"/>
    <col min="17" max="17" width="14.1796875" style="65" bestFit="1" customWidth="1"/>
    <col min="18" max="18" width="13" style="65" bestFit="1" customWidth="1"/>
    <col min="19" max="19" width="13.90625" style="65" bestFit="1" customWidth="1"/>
    <col min="20" max="20" width="14" style="65" bestFit="1" customWidth="1"/>
    <col min="21" max="23" width="14" style="65" customWidth="1"/>
    <col min="24" max="25" width="13" style="65" bestFit="1" customWidth="1"/>
    <col min="26" max="26" width="11.6328125" style="65" bestFit="1" customWidth="1"/>
    <col min="27" max="27" width="11.6328125" style="65" customWidth="1"/>
    <col min="28" max="28" width="10.54296875" style="65" bestFit="1" customWidth="1"/>
    <col min="29" max="29" width="17.1796875" style="66" bestFit="1" customWidth="1"/>
    <col min="30" max="30" width="17.1796875" style="66" customWidth="1"/>
    <col min="31" max="36" width="13.6328125" style="65" customWidth="1"/>
    <col min="37" max="37" width="9" style="65" bestFit="1" customWidth="1"/>
    <col min="38" max="38" width="8.7265625" style="152"/>
    <col min="39" max="16384" width="8.7265625" style="65"/>
  </cols>
  <sheetData>
    <row r="1" spans="1:39" ht="14.5" customHeight="1">
      <c r="A1" s="39"/>
      <c r="B1" s="900" t="s">
        <v>89</v>
      </c>
      <c r="C1" s="900"/>
      <c r="D1" s="900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48"/>
      <c r="AD1" s="148"/>
      <c r="AE1" s="901" t="s">
        <v>102</v>
      </c>
      <c r="AF1" s="902"/>
      <c r="AG1" s="902"/>
      <c r="AH1" s="902"/>
      <c r="AI1" s="902"/>
      <c r="AJ1" s="902"/>
      <c r="AK1" s="902"/>
      <c r="AL1" s="903"/>
    </row>
    <row r="2" spans="1:39" s="263" customFormat="1">
      <c r="A2" s="40"/>
      <c r="B2" s="265">
        <v>1</v>
      </c>
      <c r="C2" s="265">
        <v>2</v>
      </c>
      <c r="D2" s="265">
        <v>3</v>
      </c>
      <c r="E2" s="247" t="s">
        <v>0</v>
      </c>
      <c r="F2" s="61" t="s">
        <v>5</v>
      </c>
      <c r="G2" s="61" t="s">
        <v>6</v>
      </c>
      <c r="H2" s="61" t="s">
        <v>7</v>
      </c>
      <c r="I2" s="61" t="s">
        <v>8</v>
      </c>
      <c r="J2" s="61" t="s">
        <v>9</v>
      </c>
      <c r="K2" s="61" t="s">
        <v>10</v>
      </c>
      <c r="L2" s="61" t="s">
        <v>11</v>
      </c>
      <c r="M2" s="61" t="s">
        <v>26</v>
      </c>
      <c r="N2" s="61" t="s">
        <v>29</v>
      </c>
      <c r="O2" s="61" t="s">
        <v>30</v>
      </c>
      <c r="P2" s="61" t="s">
        <v>21</v>
      </c>
      <c r="Q2" s="61" t="s">
        <v>22</v>
      </c>
      <c r="R2" s="61" t="s">
        <v>32</v>
      </c>
      <c r="S2" s="61" t="s">
        <v>33</v>
      </c>
      <c r="T2" s="61" t="s">
        <v>34</v>
      </c>
      <c r="U2" s="61" t="s">
        <v>39</v>
      </c>
      <c r="V2" s="61" t="s">
        <v>40</v>
      </c>
      <c r="W2" s="61" t="s">
        <v>41</v>
      </c>
      <c r="X2" s="61" t="s">
        <v>42</v>
      </c>
      <c r="Y2" s="61" t="s">
        <v>43</v>
      </c>
      <c r="Z2" s="61" t="s">
        <v>60</v>
      </c>
      <c r="AA2" s="61" t="s">
        <v>65</v>
      </c>
      <c r="AB2" s="61" t="s">
        <v>61</v>
      </c>
      <c r="AC2" s="248">
        <f>COUNTA(E2:AB2)</f>
        <v>24</v>
      </c>
      <c r="AD2" s="248" t="s">
        <v>328</v>
      </c>
      <c r="AE2" s="237">
        <v>1</v>
      </c>
      <c r="AF2" s="238" t="s">
        <v>226</v>
      </c>
      <c r="AG2" s="239">
        <v>2</v>
      </c>
      <c r="AH2" s="238" t="s">
        <v>226</v>
      </c>
      <c r="AI2" s="239">
        <v>3</v>
      </c>
      <c r="AJ2" s="240" t="s">
        <v>226</v>
      </c>
      <c r="AK2" s="241" t="s">
        <v>200</v>
      </c>
      <c r="AL2" s="242" t="s">
        <v>226</v>
      </c>
    </row>
    <row r="3" spans="1:39">
      <c r="A3" s="43" t="s">
        <v>90</v>
      </c>
      <c r="B3" s="39"/>
      <c r="C3" s="39"/>
      <c r="D3" s="39"/>
      <c r="E3" s="156">
        <v>17</v>
      </c>
      <c r="F3" s="148">
        <f>17</f>
        <v>17</v>
      </c>
      <c r="G3" s="148">
        <f>17+3</f>
        <v>20</v>
      </c>
      <c r="H3" s="148">
        <f>3+6+11</f>
        <v>20</v>
      </c>
      <c r="I3" s="148">
        <v>12</v>
      </c>
      <c r="J3" s="148">
        <v>14</v>
      </c>
      <c r="K3" s="148">
        <v>13</v>
      </c>
      <c r="L3" s="148">
        <v>12</v>
      </c>
      <c r="M3" s="148">
        <v>15</v>
      </c>
      <c r="N3" s="148">
        <v>4</v>
      </c>
      <c r="O3" s="148">
        <v>12</v>
      </c>
      <c r="P3" s="148">
        <v>12</v>
      </c>
      <c r="Q3" s="148">
        <v>10</v>
      </c>
      <c r="R3" s="148">
        <v>6</v>
      </c>
      <c r="S3" s="148">
        <v>8</v>
      </c>
      <c r="T3" s="148">
        <v>8</v>
      </c>
      <c r="U3" s="148">
        <v>21</v>
      </c>
      <c r="V3" s="148">
        <v>21</v>
      </c>
      <c r="W3" s="148">
        <v>21</v>
      </c>
      <c r="X3" s="148">
        <v>4</v>
      </c>
      <c r="Y3" s="148">
        <v>4</v>
      </c>
      <c r="Z3" s="148">
        <v>3</v>
      </c>
      <c r="AA3" s="148">
        <v>1</v>
      </c>
      <c r="AB3" s="148">
        <v>2</v>
      </c>
      <c r="AC3" s="155">
        <f>SUM(E3:AB3)/AC2</f>
        <v>11.541666666666666</v>
      </c>
      <c r="AD3" s="155"/>
      <c r="AE3" s="83"/>
      <c r="AF3" s="224"/>
      <c r="AG3" s="154"/>
      <c r="AH3" s="224"/>
      <c r="AI3" s="154"/>
      <c r="AJ3" s="226"/>
      <c r="AL3" s="151"/>
    </row>
    <row r="4" spans="1:39">
      <c r="A4" s="43" t="s">
        <v>89</v>
      </c>
      <c r="B4" s="39"/>
      <c r="C4" s="39"/>
      <c r="D4" s="39"/>
      <c r="E4" s="330">
        <v>1</v>
      </c>
      <c r="F4" s="45">
        <v>1</v>
      </c>
      <c r="G4" s="45">
        <v>1</v>
      </c>
      <c r="H4" s="45">
        <v>1</v>
      </c>
      <c r="I4" s="45">
        <v>3</v>
      </c>
      <c r="J4" s="45">
        <v>3</v>
      </c>
      <c r="K4" s="45">
        <v>3</v>
      </c>
      <c r="L4" s="45">
        <v>3</v>
      </c>
      <c r="M4" s="45">
        <v>1</v>
      </c>
      <c r="N4" s="45">
        <v>2</v>
      </c>
      <c r="O4" s="45">
        <v>2</v>
      </c>
      <c r="P4" s="45">
        <v>2</v>
      </c>
      <c r="Q4" s="45">
        <v>2</v>
      </c>
      <c r="R4" s="45">
        <v>1</v>
      </c>
      <c r="S4" s="45">
        <v>1</v>
      </c>
      <c r="T4" s="45">
        <v>1</v>
      </c>
      <c r="U4" s="45">
        <v>2</v>
      </c>
      <c r="V4" s="45">
        <v>1</v>
      </c>
      <c r="W4" s="45">
        <v>2</v>
      </c>
      <c r="X4" s="45">
        <v>1</v>
      </c>
      <c r="Y4" s="45">
        <v>1</v>
      </c>
      <c r="Z4" s="45">
        <v>1</v>
      </c>
      <c r="AA4" s="45">
        <v>2</v>
      </c>
      <c r="AB4" s="45">
        <v>1</v>
      </c>
      <c r="AC4" s="155"/>
      <c r="AD4" s="155"/>
      <c r="AE4" s="83"/>
      <c r="AF4" s="224"/>
      <c r="AG4" s="154"/>
      <c r="AH4" s="224"/>
      <c r="AI4" s="154"/>
      <c r="AJ4" s="226"/>
      <c r="AL4" s="151"/>
    </row>
    <row r="5" spans="1:39">
      <c r="A5" s="43" t="s">
        <v>102</v>
      </c>
      <c r="B5" s="39"/>
      <c r="C5" s="39"/>
      <c r="D5" s="39"/>
      <c r="E5" s="156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 t="s">
        <v>99</v>
      </c>
      <c r="Q5" s="148" t="s">
        <v>99</v>
      </c>
      <c r="R5" s="148"/>
      <c r="S5" s="148" t="s">
        <v>99</v>
      </c>
      <c r="T5" s="148" t="s">
        <v>99</v>
      </c>
      <c r="U5" s="148"/>
      <c r="V5" s="148"/>
      <c r="W5" s="148"/>
      <c r="X5" s="148" t="s">
        <v>99</v>
      </c>
      <c r="Y5" s="148" t="s">
        <v>99</v>
      </c>
      <c r="Z5" s="148"/>
      <c r="AA5" s="148"/>
      <c r="AB5" s="148"/>
      <c r="AC5" s="155"/>
      <c r="AD5" s="155"/>
      <c r="AE5" s="83"/>
      <c r="AF5" s="224"/>
      <c r="AG5" s="154"/>
      <c r="AH5" s="224"/>
      <c r="AI5" s="154"/>
      <c r="AJ5" s="226"/>
      <c r="AL5" s="151"/>
    </row>
    <row r="6" spans="1:39">
      <c r="A6" s="43" t="s">
        <v>96</v>
      </c>
      <c r="B6" s="39"/>
      <c r="C6" s="39"/>
      <c r="D6" s="39"/>
      <c r="E6" s="156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55"/>
      <c r="AD6" s="155"/>
      <c r="AE6" s="83"/>
      <c r="AF6" s="224"/>
      <c r="AG6" s="154"/>
      <c r="AH6" s="224"/>
      <c r="AI6" s="154"/>
      <c r="AJ6" s="226"/>
      <c r="AL6" s="151"/>
    </row>
    <row r="7" spans="1:39">
      <c r="A7" s="43" t="s">
        <v>98</v>
      </c>
      <c r="B7" s="39"/>
      <c r="C7" s="39"/>
      <c r="D7" s="39"/>
      <c r="E7" s="144">
        <v>0.2</v>
      </c>
      <c r="F7" s="157">
        <v>0.2</v>
      </c>
      <c r="G7" s="157">
        <v>0</v>
      </c>
      <c r="H7" s="157">
        <v>0</v>
      </c>
      <c r="I7" s="157">
        <v>0</v>
      </c>
      <c r="J7" s="157">
        <v>0</v>
      </c>
      <c r="K7" s="157">
        <v>0</v>
      </c>
      <c r="L7" s="157">
        <v>0.2</v>
      </c>
      <c r="M7" s="157">
        <v>0</v>
      </c>
      <c r="N7" s="157">
        <v>0</v>
      </c>
      <c r="O7" s="157">
        <v>0.2</v>
      </c>
      <c r="P7" s="157">
        <v>0</v>
      </c>
      <c r="Q7" s="157">
        <v>0</v>
      </c>
      <c r="R7" s="157">
        <v>0</v>
      </c>
      <c r="S7" s="157">
        <v>0</v>
      </c>
      <c r="T7" s="157">
        <v>0</v>
      </c>
      <c r="U7" s="157">
        <v>0.2</v>
      </c>
      <c r="V7" s="157">
        <v>0</v>
      </c>
      <c r="W7" s="157">
        <v>0.2</v>
      </c>
      <c r="X7" s="157">
        <v>0</v>
      </c>
      <c r="Y7" s="157">
        <v>0</v>
      </c>
      <c r="Z7" s="157">
        <v>0</v>
      </c>
      <c r="AA7" s="157">
        <v>0</v>
      </c>
      <c r="AB7" s="157">
        <v>0</v>
      </c>
      <c r="AC7" s="155"/>
      <c r="AD7" s="155"/>
      <c r="AE7" s="83"/>
      <c r="AF7" s="224"/>
      <c r="AG7" s="154"/>
      <c r="AH7" s="224"/>
      <c r="AI7" s="154"/>
      <c r="AJ7" s="226"/>
      <c r="AL7" s="151"/>
    </row>
    <row r="8" spans="1:39">
      <c r="A8" s="43" t="s">
        <v>97</v>
      </c>
      <c r="B8" s="39"/>
      <c r="C8" s="39"/>
      <c r="D8" s="39"/>
      <c r="E8" s="144">
        <v>0</v>
      </c>
      <c r="F8" s="157">
        <v>0</v>
      </c>
      <c r="G8" s="157">
        <v>0</v>
      </c>
      <c r="H8" s="157">
        <v>0</v>
      </c>
      <c r="I8" s="157">
        <v>0</v>
      </c>
      <c r="J8" s="157">
        <v>0</v>
      </c>
      <c r="K8" s="157">
        <v>0</v>
      </c>
      <c r="L8" s="157">
        <v>0</v>
      </c>
      <c r="M8" s="157">
        <v>0</v>
      </c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5"/>
      <c r="AD8" s="155"/>
      <c r="AE8" s="83"/>
      <c r="AF8" s="224"/>
      <c r="AG8" s="154"/>
      <c r="AH8" s="224"/>
      <c r="AI8" s="154"/>
      <c r="AJ8" s="226"/>
      <c r="AL8" s="151"/>
    </row>
    <row r="9" spans="1:39">
      <c r="A9" s="43" t="s">
        <v>92</v>
      </c>
      <c r="B9" s="39"/>
      <c r="C9" s="39"/>
      <c r="D9" s="39"/>
      <c r="E9" s="144">
        <v>0.15</v>
      </c>
      <c r="F9" s="157">
        <v>0.15</v>
      </c>
      <c r="G9" s="157">
        <v>0</v>
      </c>
      <c r="H9" s="157">
        <v>0</v>
      </c>
      <c r="I9" s="157">
        <v>0</v>
      </c>
      <c r="J9" s="157">
        <v>0</v>
      </c>
      <c r="K9" s="157">
        <v>0</v>
      </c>
      <c r="L9" s="157">
        <v>0</v>
      </c>
      <c r="M9" s="157">
        <v>0</v>
      </c>
      <c r="N9" s="157">
        <v>0</v>
      </c>
      <c r="O9" s="157">
        <v>0.2</v>
      </c>
      <c r="P9" s="157">
        <v>0.2</v>
      </c>
      <c r="Q9" s="157">
        <v>1</v>
      </c>
      <c r="R9" s="157">
        <v>0</v>
      </c>
      <c r="S9" s="157">
        <v>0</v>
      </c>
      <c r="T9" s="157">
        <v>0</v>
      </c>
      <c r="U9" s="157">
        <v>0.4</v>
      </c>
      <c r="V9" s="157">
        <v>0.3</v>
      </c>
      <c r="W9" s="157">
        <v>0.4</v>
      </c>
      <c r="X9" s="157">
        <v>1</v>
      </c>
      <c r="Y9" s="157">
        <v>0</v>
      </c>
      <c r="Z9" s="157">
        <v>0</v>
      </c>
      <c r="AA9" s="157">
        <v>0</v>
      </c>
      <c r="AB9" s="157">
        <v>0</v>
      </c>
      <c r="AC9" s="155"/>
      <c r="AD9" s="155"/>
      <c r="AE9" s="83"/>
      <c r="AF9" s="224"/>
      <c r="AG9" s="154"/>
      <c r="AH9" s="224"/>
      <c r="AI9" s="154"/>
      <c r="AJ9" s="226"/>
      <c r="AL9" s="151"/>
    </row>
    <row r="10" spans="1:39">
      <c r="A10" s="43" t="s">
        <v>327</v>
      </c>
      <c r="B10" s="39"/>
      <c r="C10" s="39"/>
      <c r="D10" s="42">
        <f>SUM(B12:D12)/Residentialmarketrateaveragesize</f>
        <v>1567.1162192958802</v>
      </c>
      <c r="E10" s="156"/>
      <c r="F10" s="148"/>
      <c r="G10" s="148"/>
      <c r="H10" s="148"/>
      <c r="I10" s="148">
        <v>8189.8090000000002</v>
      </c>
      <c r="J10" s="148">
        <v>18112.6119</v>
      </c>
      <c r="K10" s="148">
        <v>26442.238300000001</v>
      </c>
      <c r="L10" s="148"/>
      <c r="M10" s="148">
        <v>10751.0437</v>
      </c>
      <c r="N10" s="148">
        <v>11955</v>
      </c>
      <c r="O10" s="148"/>
      <c r="P10" s="148"/>
      <c r="Q10" s="148"/>
      <c r="R10" s="148"/>
      <c r="S10" s="148">
        <v>6715</v>
      </c>
      <c r="T10" s="148">
        <f>6715</f>
        <v>6715</v>
      </c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83"/>
      <c r="AF10" s="224"/>
      <c r="AG10" s="154"/>
      <c r="AH10" s="224"/>
      <c r="AI10" s="154"/>
      <c r="AJ10" s="226"/>
      <c r="AL10" s="151"/>
      <c r="AM10" s="264"/>
    </row>
    <row r="11" spans="1:39">
      <c r="A11" s="249" t="s">
        <v>100</v>
      </c>
      <c r="B11" s="158">
        <f t="shared" ref="B11:D21" si="0">SUMIF($E$4:$AB$4,B$2,$E11:$AB11)</f>
        <v>587530</v>
      </c>
      <c r="C11" s="158">
        <f t="shared" si="0"/>
        <v>1037433.5308999999</v>
      </c>
      <c r="D11" s="158">
        <f t="shared" si="0"/>
        <v>346219</v>
      </c>
      <c r="E11" s="159">
        <f>SUM((19986*4)+(16988*5)+(13990*4))</f>
        <v>220844</v>
      </c>
      <c r="F11" s="158">
        <f>SUM((34353*1)+(22600*5)+(18079*5)+(14850*4))</f>
        <v>297148</v>
      </c>
      <c r="G11" s="158">
        <v>0</v>
      </c>
      <c r="H11" s="158">
        <v>0</v>
      </c>
      <c r="I11" s="158">
        <v>0</v>
      </c>
      <c r="J11" s="158">
        <v>0</v>
      </c>
      <c r="K11" s="158"/>
      <c r="L11" s="158">
        <f>(9758*12)+(8512*11)+(7759*9)+(9380*7)</f>
        <v>346219</v>
      </c>
      <c r="M11" s="158"/>
      <c r="N11" s="158"/>
      <c r="O11" s="158">
        <f>221202-O16+31721</f>
        <v>240576.57089999999</v>
      </c>
      <c r="P11" s="158">
        <f>14952.5207*6+7518.4914*5</f>
        <v>127307.58119999999</v>
      </c>
      <c r="Q11" s="158">
        <f>(16722.0587*9)+15496+18291.439+21729.0653+(25186.087*2)-20658</f>
        <v>235729.2066</v>
      </c>
      <c r="R11" s="158"/>
      <c r="S11" s="158">
        <v>0</v>
      </c>
      <c r="T11" s="158">
        <v>0</v>
      </c>
      <c r="U11" s="158">
        <f>223385-U16</f>
        <v>216910.08610000001</v>
      </c>
      <c r="V11" s="158">
        <v>0</v>
      </c>
      <c r="W11" s="158">
        <f>223385-W16</f>
        <v>216910.08610000001</v>
      </c>
      <c r="X11" s="158">
        <f>28439*2</f>
        <v>56878</v>
      </c>
      <c r="Y11" s="158">
        <f>(8914*2)+(1184*2)-7536</f>
        <v>12660</v>
      </c>
      <c r="Z11" s="158"/>
      <c r="AA11" s="158"/>
      <c r="AB11" s="158"/>
      <c r="AC11" s="158">
        <f t="shared" ref="AC11:AC24" si="1">SUM(E11:AB11)</f>
        <v>1971182.5308999997</v>
      </c>
      <c r="AD11" s="327">
        <f t="shared" ref="AD11:AD23" si="2">AC11/$AC$26</f>
        <v>0.41151016129156714</v>
      </c>
      <c r="AE11" s="221">
        <f t="shared" ref="AE11:AE16" si="3">SUMIFS($E11:$AB11,$E$4:$AB$4,AE$2,$E$5:$AB$5,"Yes")</f>
        <v>69538</v>
      </c>
      <c r="AF11" s="374">
        <f>IFERROR(AE11/B11,0)</f>
        <v>0.11835650945483635</v>
      </c>
      <c r="AG11" s="225">
        <f t="shared" ref="AG11:AG24" si="4">SUMIFS($E11:$AB11,$E$4:$AB$4,AG$2,$E$5:$AB$5,"Yes")</f>
        <v>363036.78779999999</v>
      </c>
      <c r="AH11" s="374">
        <f t="shared" ref="AH11:AH24" si="5">IFERROR(AG11/C11,0)</f>
        <v>0.34993739549275643</v>
      </c>
      <c r="AI11" s="225">
        <f t="shared" ref="AI11:AI24" si="6">SUMIFS($E11:$AB11,$E$4:$AB$4,AI$2,$E$5:$AB$5,"Yes")</f>
        <v>0</v>
      </c>
      <c r="AJ11" s="372">
        <f>IFERROR(AI11/D11,0)</f>
        <v>0</v>
      </c>
      <c r="AK11" s="222">
        <f t="shared" ref="AK11:AK24" si="7">SUMIF($E$5:$AB$5,"Yes",$E11:$AB11)</f>
        <v>432574.78779999999</v>
      </c>
      <c r="AL11" s="223">
        <f t="shared" ref="AL11:AL20" si="8">AK11/AC11</f>
        <v>0.2194493817893646</v>
      </c>
      <c r="AM11" s="264">
        <f>AC11/$AC$26</f>
        <v>0.41151016129156714</v>
      </c>
    </row>
    <row r="12" spans="1:39" ht="10" customHeight="1">
      <c r="A12" s="250" t="s">
        <v>164</v>
      </c>
      <c r="B12" s="158">
        <f t="shared" si="0"/>
        <v>349354.79999999993</v>
      </c>
      <c r="C12" s="158">
        <f t="shared" si="0"/>
        <v>419720.07637999998</v>
      </c>
      <c r="D12" s="158">
        <f t="shared" si="0"/>
        <v>276975.2</v>
      </c>
      <c r="E12" s="159">
        <f t="shared" ref="E12:AB12" si="9">E11-E13-E14</f>
        <v>143548.59999999998</v>
      </c>
      <c r="F12" s="158">
        <f t="shared" si="9"/>
        <v>193146.19999999998</v>
      </c>
      <c r="G12" s="158">
        <f t="shared" si="9"/>
        <v>0</v>
      </c>
      <c r="H12" s="158">
        <f t="shared" si="9"/>
        <v>0</v>
      </c>
      <c r="I12" s="158">
        <f t="shared" si="9"/>
        <v>0</v>
      </c>
      <c r="J12" s="158">
        <f t="shared" si="9"/>
        <v>0</v>
      </c>
      <c r="K12" s="158">
        <f t="shared" si="9"/>
        <v>0</v>
      </c>
      <c r="L12" s="158">
        <f t="shared" si="9"/>
        <v>276975.2</v>
      </c>
      <c r="M12" s="158">
        <f t="shared" si="9"/>
        <v>0</v>
      </c>
      <c r="N12" s="158">
        <f t="shared" si="9"/>
        <v>0</v>
      </c>
      <c r="O12" s="158">
        <f t="shared" si="9"/>
        <v>144345.94254000002</v>
      </c>
      <c r="P12" s="158">
        <f t="shared" si="9"/>
        <v>101846.06495999999</v>
      </c>
      <c r="Q12" s="158">
        <f t="shared" si="9"/>
        <v>0</v>
      </c>
      <c r="R12" s="158">
        <f t="shared" si="9"/>
        <v>0</v>
      </c>
      <c r="S12" s="158">
        <f t="shared" si="9"/>
        <v>0</v>
      </c>
      <c r="T12" s="158">
        <f t="shared" si="9"/>
        <v>0</v>
      </c>
      <c r="U12" s="158">
        <f>U11-U13-U14</f>
        <v>86764.034439999989</v>
      </c>
      <c r="V12" s="158">
        <f>V11-V13-V14</f>
        <v>0</v>
      </c>
      <c r="W12" s="158">
        <f>W11-W13-W14</f>
        <v>86764.034439999989</v>
      </c>
      <c r="X12" s="158">
        <f t="shared" si="9"/>
        <v>0</v>
      </c>
      <c r="Y12" s="158">
        <f t="shared" si="9"/>
        <v>12660</v>
      </c>
      <c r="Z12" s="158">
        <f t="shared" si="9"/>
        <v>0</v>
      </c>
      <c r="AA12" s="158"/>
      <c r="AB12" s="158">
        <f t="shared" si="9"/>
        <v>0</v>
      </c>
      <c r="AC12" s="158">
        <f t="shared" si="1"/>
        <v>1046050.0763799999</v>
      </c>
      <c r="AD12" s="327">
        <f t="shared" si="2"/>
        <v>0.21837664899234419</v>
      </c>
      <c r="AE12" s="160">
        <f t="shared" si="3"/>
        <v>12660</v>
      </c>
      <c r="AF12" s="375">
        <f>IFERROR(AE12/B12,0)</f>
        <v>3.6238231162130881E-2</v>
      </c>
      <c r="AG12" s="159">
        <f t="shared" si="4"/>
        <v>101846.06495999999</v>
      </c>
      <c r="AH12" s="375">
        <f t="shared" si="5"/>
        <v>0.24265235496572268</v>
      </c>
      <c r="AI12" s="159">
        <f t="shared" si="6"/>
        <v>0</v>
      </c>
      <c r="AJ12" s="373">
        <f>IFERROR(AI12/D12,0)</f>
        <v>0</v>
      </c>
      <c r="AK12" s="139">
        <f t="shared" si="7"/>
        <v>114506.06495999999</v>
      </c>
      <c r="AL12" s="140">
        <f t="shared" si="8"/>
        <v>0.1094651848372919</v>
      </c>
      <c r="AM12" s="291">
        <f>AC12/AC11</f>
        <v>0.5306713406710214</v>
      </c>
    </row>
    <row r="13" spans="1:39">
      <c r="A13" s="250" t="s">
        <v>156</v>
      </c>
      <c r="B13" s="158">
        <f t="shared" si="0"/>
        <v>134576.79999999999</v>
      </c>
      <c r="C13" s="158">
        <f t="shared" si="0"/>
        <v>482834.10590000002</v>
      </c>
      <c r="D13" s="158">
        <f t="shared" si="0"/>
        <v>0</v>
      </c>
      <c r="E13" s="159">
        <f t="shared" ref="E13:AB13" si="10">E11*E9</f>
        <v>33126.6</v>
      </c>
      <c r="F13" s="158">
        <f t="shared" si="10"/>
        <v>44572.2</v>
      </c>
      <c r="G13" s="158">
        <f t="shared" si="10"/>
        <v>0</v>
      </c>
      <c r="H13" s="158">
        <f t="shared" si="10"/>
        <v>0</v>
      </c>
      <c r="I13" s="158">
        <f t="shared" si="10"/>
        <v>0</v>
      </c>
      <c r="J13" s="158">
        <f t="shared" si="10"/>
        <v>0</v>
      </c>
      <c r="K13" s="158">
        <f t="shared" si="10"/>
        <v>0</v>
      </c>
      <c r="L13" s="158">
        <f t="shared" si="10"/>
        <v>0</v>
      </c>
      <c r="M13" s="158">
        <f t="shared" si="10"/>
        <v>0</v>
      </c>
      <c r="N13" s="158">
        <f t="shared" si="10"/>
        <v>0</v>
      </c>
      <c r="O13" s="158">
        <f t="shared" si="10"/>
        <v>48115.314180000001</v>
      </c>
      <c r="P13" s="158">
        <f t="shared" si="10"/>
        <v>25461.516239999997</v>
      </c>
      <c r="Q13" s="158">
        <f t="shared" si="10"/>
        <v>235729.2066</v>
      </c>
      <c r="R13" s="158">
        <f t="shared" si="10"/>
        <v>0</v>
      </c>
      <c r="S13" s="158">
        <f t="shared" si="10"/>
        <v>0</v>
      </c>
      <c r="T13" s="158">
        <f t="shared" si="10"/>
        <v>0</v>
      </c>
      <c r="U13" s="158">
        <f>U11*U9</f>
        <v>86764.034440000018</v>
      </c>
      <c r="V13" s="158">
        <f>V11*V9</f>
        <v>0</v>
      </c>
      <c r="W13" s="158">
        <f>W11*W9</f>
        <v>86764.034440000018</v>
      </c>
      <c r="X13" s="158">
        <f t="shared" si="10"/>
        <v>56878</v>
      </c>
      <c r="Y13" s="158">
        <f t="shared" si="10"/>
        <v>0</v>
      </c>
      <c r="Z13" s="158">
        <f t="shared" si="10"/>
        <v>0</v>
      </c>
      <c r="AA13" s="158"/>
      <c r="AB13" s="158">
        <f t="shared" si="10"/>
        <v>0</v>
      </c>
      <c r="AC13" s="158">
        <f t="shared" si="1"/>
        <v>617410.90590000001</v>
      </c>
      <c r="AD13" s="327">
        <f t="shared" si="2"/>
        <v>0.1288926101400048</v>
      </c>
      <c r="AE13" s="160">
        <f t="shared" si="3"/>
        <v>56878</v>
      </c>
      <c r="AF13" s="375">
        <f t="shared" ref="AF13:AF24" si="11">IFERROR(AE13/B13,0)</f>
        <v>0.422643427396104</v>
      </c>
      <c r="AG13" s="159">
        <f t="shared" si="4"/>
        <v>261190.72284</v>
      </c>
      <c r="AH13" s="375">
        <f t="shared" si="5"/>
        <v>0.54095334121673522</v>
      </c>
      <c r="AI13" s="159">
        <f t="shared" si="6"/>
        <v>0</v>
      </c>
      <c r="AJ13" s="373">
        <f t="shared" ref="AJ13:AJ24" si="12">IFERROR(AI13/D13,0)</f>
        <v>0</v>
      </c>
      <c r="AK13" s="139">
        <f t="shared" si="7"/>
        <v>318068.72284</v>
      </c>
      <c r="AL13" s="140">
        <f t="shared" si="8"/>
        <v>0.51516537819550035</v>
      </c>
      <c r="AM13" s="291">
        <f>AC13/AC11</f>
        <v>0.3132185356868516</v>
      </c>
    </row>
    <row r="14" spans="1:39">
      <c r="A14" s="250" t="s">
        <v>140</v>
      </c>
      <c r="B14" s="158">
        <f t="shared" si="0"/>
        <v>103598.40000000001</v>
      </c>
      <c r="C14" s="158">
        <f t="shared" si="0"/>
        <v>134879.34862</v>
      </c>
      <c r="D14" s="158">
        <f t="shared" si="0"/>
        <v>69243.8</v>
      </c>
      <c r="E14" s="159">
        <f t="shared" ref="E14:AB14" si="13">E11*E7</f>
        <v>44168.800000000003</v>
      </c>
      <c r="F14" s="158">
        <f t="shared" si="13"/>
        <v>59429.600000000006</v>
      </c>
      <c r="G14" s="158">
        <f t="shared" si="13"/>
        <v>0</v>
      </c>
      <c r="H14" s="158">
        <f t="shared" si="13"/>
        <v>0</v>
      </c>
      <c r="I14" s="158">
        <f t="shared" si="13"/>
        <v>0</v>
      </c>
      <c r="J14" s="158">
        <f t="shared" si="13"/>
        <v>0</v>
      </c>
      <c r="K14" s="158">
        <f t="shared" si="13"/>
        <v>0</v>
      </c>
      <c r="L14" s="158">
        <f t="shared" si="13"/>
        <v>69243.8</v>
      </c>
      <c r="M14" s="158">
        <f t="shared" si="13"/>
        <v>0</v>
      </c>
      <c r="N14" s="158">
        <f t="shared" si="13"/>
        <v>0</v>
      </c>
      <c r="O14" s="158">
        <f t="shared" si="13"/>
        <v>48115.314180000001</v>
      </c>
      <c r="P14" s="158">
        <f t="shared" si="13"/>
        <v>0</v>
      </c>
      <c r="Q14" s="158">
        <f t="shared" si="13"/>
        <v>0</v>
      </c>
      <c r="R14" s="158">
        <f t="shared" si="13"/>
        <v>0</v>
      </c>
      <c r="S14" s="158">
        <f t="shared" si="13"/>
        <v>0</v>
      </c>
      <c r="T14" s="158">
        <f t="shared" si="13"/>
        <v>0</v>
      </c>
      <c r="U14" s="158">
        <f>U11*U7</f>
        <v>43382.017220000009</v>
      </c>
      <c r="V14" s="158">
        <f>V11*V7</f>
        <v>0</v>
      </c>
      <c r="W14" s="158">
        <f>W11*W7</f>
        <v>43382.017220000009</v>
      </c>
      <c r="X14" s="158">
        <f t="shared" si="13"/>
        <v>0</v>
      </c>
      <c r="Y14" s="158">
        <f t="shared" si="13"/>
        <v>0</v>
      </c>
      <c r="Z14" s="158">
        <f t="shared" si="13"/>
        <v>0</v>
      </c>
      <c r="AA14" s="158"/>
      <c r="AB14" s="158">
        <f t="shared" si="13"/>
        <v>0</v>
      </c>
      <c r="AC14" s="158">
        <f t="shared" si="1"/>
        <v>307721.54862000002</v>
      </c>
      <c r="AD14" s="327">
        <f t="shared" si="2"/>
        <v>6.4240902159218224E-2</v>
      </c>
      <c r="AE14" s="160">
        <f t="shared" si="3"/>
        <v>0</v>
      </c>
      <c r="AF14" s="375">
        <f t="shared" si="11"/>
        <v>0</v>
      </c>
      <c r="AG14" s="159">
        <f t="shared" si="4"/>
        <v>0</v>
      </c>
      <c r="AH14" s="375">
        <f t="shared" si="5"/>
        <v>0</v>
      </c>
      <c r="AI14" s="159">
        <f t="shared" si="6"/>
        <v>0</v>
      </c>
      <c r="AJ14" s="373">
        <f t="shared" si="12"/>
        <v>0</v>
      </c>
      <c r="AK14" s="139">
        <f t="shared" si="7"/>
        <v>0</v>
      </c>
      <c r="AL14" s="140">
        <f t="shared" si="8"/>
        <v>0</v>
      </c>
      <c r="AM14" s="291">
        <f>AC14/AC11</f>
        <v>0.15611012364212712</v>
      </c>
    </row>
    <row r="15" spans="1:39">
      <c r="A15" s="251" t="s">
        <v>2</v>
      </c>
      <c r="B15" s="161">
        <f t="shared" si="0"/>
        <v>768858.5</v>
      </c>
      <c r="C15" s="161">
        <f t="shared" si="0"/>
        <v>38790.5</v>
      </c>
      <c r="D15" s="161">
        <f t="shared" si="0"/>
        <v>511379.82342500007</v>
      </c>
      <c r="E15" s="162">
        <v>0</v>
      </c>
      <c r="F15" s="161">
        <v>0</v>
      </c>
      <c r="G15" s="161">
        <f>SUM((10419*2)+(15443*3)+(12346*6)+(10141*5))-G16</f>
        <v>181529</v>
      </c>
      <c r="H15" s="161">
        <f>SUM((15013*2),(20977*3),(17411*6),(14451*4))-H16</f>
        <v>247720.5</v>
      </c>
      <c r="I15" s="161">
        <v>0</v>
      </c>
      <c r="J15" s="161">
        <f>SUM((18112*14))</f>
        <v>253568</v>
      </c>
      <c r="K15" s="161">
        <f>(K10*10)-K16</f>
        <v>257811.82342500004</v>
      </c>
      <c r="L15" s="161">
        <v>0</v>
      </c>
      <c r="M15" s="161"/>
      <c r="N15" s="161">
        <f>(N10*4)-N16-3052</f>
        <v>38790.5</v>
      </c>
      <c r="O15" s="161">
        <v>0</v>
      </c>
      <c r="P15" s="161"/>
      <c r="Q15" s="161"/>
      <c r="R15" s="161"/>
      <c r="S15" s="161">
        <f>S10*7</f>
        <v>47005</v>
      </c>
      <c r="T15" s="161">
        <f>T10*7</f>
        <v>47005</v>
      </c>
      <c r="U15" s="161">
        <v>0</v>
      </c>
      <c r="V15" s="161">
        <v>242901</v>
      </c>
      <c r="W15" s="161">
        <v>0</v>
      </c>
      <c r="X15" s="161">
        <v>0</v>
      </c>
      <c r="Y15" s="161">
        <f>(718*3)+544</f>
        <v>2698</v>
      </c>
      <c r="Z15" s="161"/>
      <c r="AA15" s="161"/>
      <c r="AB15" s="161"/>
      <c r="AC15" s="161">
        <f t="shared" si="1"/>
        <v>1319028.8234250001</v>
      </c>
      <c r="AD15" s="327">
        <f t="shared" si="2"/>
        <v>0.27536453644808828</v>
      </c>
      <c r="AE15" s="221">
        <f t="shared" si="3"/>
        <v>96708</v>
      </c>
      <c r="AF15" s="374">
        <f t="shared" si="11"/>
        <v>0.12578127184651011</v>
      </c>
      <c r="AG15" s="225">
        <f t="shared" si="4"/>
        <v>0</v>
      </c>
      <c r="AH15" s="374">
        <f t="shared" si="5"/>
        <v>0</v>
      </c>
      <c r="AI15" s="225">
        <f t="shared" si="6"/>
        <v>0</v>
      </c>
      <c r="AJ15" s="372">
        <f t="shared" si="12"/>
        <v>0</v>
      </c>
      <c r="AK15" s="222">
        <f t="shared" si="7"/>
        <v>96708</v>
      </c>
      <c r="AL15" s="223">
        <f t="shared" si="8"/>
        <v>7.331757902673218E-2</v>
      </c>
      <c r="AM15" s="264">
        <f>AC15/$AC$26</f>
        <v>0.27536453644808828</v>
      </c>
    </row>
    <row r="16" spans="1:39">
      <c r="A16" s="166" t="s">
        <v>141</v>
      </c>
      <c r="B16" s="163">
        <f t="shared" si="0"/>
        <v>152440.54370000001</v>
      </c>
      <c r="C16" s="163">
        <f t="shared" si="0"/>
        <v>94018.188399999999</v>
      </c>
      <c r="D16" s="163">
        <f t="shared" si="0"/>
        <v>15462.809574999999</v>
      </c>
      <c r="E16" s="164">
        <v>0</v>
      </c>
      <c r="F16" s="163">
        <v>0</v>
      </c>
      <c r="G16" s="236">
        <f>10419</f>
        <v>10419</v>
      </c>
      <c r="H16" s="236">
        <f>15013*0.5</f>
        <v>7506.5</v>
      </c>
      <c r="I16" s="163">
        <v>0</v>
      </c>
      <c r="J16" s="163">
        <v>0</v>
      </c>
      <c r="K16" s="163">
        <f>K10*0.25</f>
        <v>6610.5595750000002</v>
      </c>
      <c r="L16" s="163">
        <f>35409*0.25</f>
        <v>8852.25</v>
      </c>
      <c r="M16" s="163">
        <f>M10*1</f>
        <v>10751.0437</v>
      </c>
      <c r="N16" s="163">
        <f>N10*0.5</f>
        <v>5977.5</v>
      </c>
      <c r="O16" s="163">
        <f>(11548*1+13144.8582*1)*0.5</f>
        <v>12346.429100000001</v>
      </c>
      <c r="P16" s="163">
        <f>25551*0.25</f>
        <v>6387.75</v>
      </c>
      <c r="Q16" s="163">
        <f>16722.0587+15496.6228</f>
        <v>32218.681499999999</v>
      </c>
      <c r="R16" s="163"/>
      <c r="S16" s="163">
        <f>S10*1</f>
        <v>6715</v>
      </c>
      <c r="T16" s="163">
        <f>T10*1</f>
        <v>6715</v>
      </c>
      <c r="U16" s="163">
        <f>12949.8278*1*0.5</f>
        <v>6474.9138999999996</v>
      </c>
      <c r="V16" s="163">
        <v>0</v>
      </c>
      <c r="W16" s="163">
        <f>12949.8278*1*0.5</f>
        <v>6474.9138999999996</v>
      </c>
      <c r="X16" s="163">
        <f>1044+(9135*2)+583+(7721*2)+516+(6000*2)+500+(4992*2)+457+725+(4963*2)+(2397*2)</f>
        <v>74241</v>
      </c>
      <c r="Y16" s="163">
        <f>(8914*2)+(1184*2)</f>
        <v>20196</v>
      </c>
      <c r="Z16" s="163">
        <f>(4975)+2774+(1920*2)</f>
        <v>11589</v>
      </c>
      <c r="AA16" s="163">
        <v>24138</v>
      </c>
      <c r="AB16" s="163">
        <f>4308</f>
        <v>4308</v>
      </c>
      <c r="AC16" s="163">
        <f t="shared" si="1"/>
        <v>261921.54167500001</v>
      </c>
      <c r="AD16" s="327">
        <f t="shared" si="2"/>
        <v>5.4679551066842913E-2</v>
      </c>
      <c r="AE16" s="221">
        <f t="shared" si="3"/>
        <v>107867</v>
      </c>
      <c r="AF16" s="374">
        <f t="shared" si="11"/>
        <v>0.70760046757823258</v>
      </c>
      <c r="AG16" s="225">
        <f t="shared" si="4"/>
        <v>38606.431499999999</v>
      </c>
      <c r="AH16" s="374">
        <f t="shared" si="5"/>
        <v>0.41062726433048352</v>
      </c>
      <c r="AI16" s="225">
        <f t="shared" si="6"/>
        <v>0</v>
      </c>
      <c r="AJ16" s="372">
        <f t="shared" si="12"/>
        <v>0</v>
      </c>
      <c r="AK16" s="222">
        <f t="shared" si="7"/>
        <v>146473.43150000001</v>
      </c>
      <c r="AL16" s="223">
        <f t="shared" si="8"/>
        <v>0.55922636436581674</v>
      </c>
      <c r="AM16" s="264"/>
    </row>
    <row r="17" spans="1:40">
      <c r="A17" s="252" t="s">
        <v>165</v>
      </c>
      <c r="B17" s="163">
        <f t="shared" si="0"/>
        <v>144934.04370000001</v>
      </c>
      <c r="C17" s="163">
        <f t="shared" si="0"/>
        <v>57533.759299999998</v>
      </c>
      <c r="D17" s="163">
        <f t="shared" si="0"/>
        <v>15462.809574999999</v>
      </c>
      <c r="E17" s="164">
        <f>E16-E18-E19</f>
        <v>0</v>
      </c>
      <c r="F17" s="163">
        <f t="shared" ref="F17:AB17" si="14">F16-F18-F19</f>
        <v>0</v>
      </c>
      <c r="G17" s="163">
        <f t="shared" si="14"/>
        <v>10419</v>
      </c>
      <c r="H17" s="163">
        <f t="shared" si="14"/>
        <v>0</v>
      </c>
      <c r="I17" s="163">
        <f t="shared" si="14"/>
        <v>0</v>
      </c>
      <c r="J17" s="163">
        <f t="shared" si="14"/>
        <v>0</v>
      </c>
      <c r="K17" s="163">
        <f t="shared" si="14"/>
        <v>6610.5595750000002</v>
      </c>
      <c r="L17" s="163">
        <f t="shared" si="14"/>
        <v>8852.25</v>
      </c>
      <c r="M17" s="163">
        <f t="shared" si="14"/>
        <v>10751.0437</v>
      </c>
      <c r="N17" s="163">
        <f t="shared" si="14"/>
        <v>5977.5</v>
      </c>
      <c r="O17" s="163">
        <f t="shared" si="14"/>
        <v>0</v>
      </c>
      <c r="P17" s="163">
        <f t="shared" si="14"/>
        <v>6387.75</v>
      </c>
      <c r="Q17" s="163">
        <f t="shared" si="14"/>
        <v>32218.681499999999</v>
      </c>
      <c r="R17" s="163">
        <f t="shared" si="14"/>
        <v>0</v>
      </c>
      <c r="S17" s="163">
        <f t="shared" si="14"/>
        <v>6715</v>
      </c>
      <c r="T17" s="163">
        <f t="shared" si="14"/>
        <v>6715</v>
      </c>
      <c r="U17" s="163">
        <f>U16-U18-U19</f>
        <v>6474.9138999999996</v>
      </c>
      <c r="V17" s="163">
        <f>V16-V18-V19</f>
        <v>0</v>
      </c>
      <c r="W17" s="163">
        <f>W16-W18-W19</f>
        <v>6474.9138999999996</v>
      </c>
      <c r="X17" s="163">
        <f t="shared" si="14"/>
        <v>74241</v>
      </c>
      <c r="Y17" s="163">
        <f t="shared" si="14"/>
        <v>20196</v>
      </c>
      <c r="Z17" s="163">
        <f t="shared" si="14"/>
        <v>11589</v>
      </c>
      <c r="AA17" s="163"/>
      <c r="AB17" s="163">
        <f t="shared" si="14"/>
        <v>4308</v>
      </c>
      <c r="AC17" s="163">
        <f t="shared" si="1"/>
        <v>217930.61257500001</v>
      </c>
      <c r="AD17" s="327">
        <f t="shared" si="2"/>
        <v>4.5495868660200646E-2</v>
      </c>
      <c r="AE17" s="160"/>
      <c r="AF17" s="375">
        <f t="shared" si="11"/>
        <v>0</v>
      </c>
      <c r="AG17" s="159">
        <f t="shared" si="4"/>
        <v>38606.431499999999</v>
      </c>
      <c r="AH17" s="375">
        <f t="shared" si="5"/>
        <v>0.67102223059496824</v>
      </c>
      <c r="AI17" s="159">
        <f t="shared" si="6"/>
        <v>0</v>
      </c>
      <c r="AJ17" s="373">
        <f t="shared" si="12"/>
        <v>0</v>
      </c>
      <c r="AK17" s="139">
        <f t="shared" si="7"/>
        <v>146473.43150000001</v>
      </c>
      <c r="AL17" s="140">
        <f t="shared" si="8"/>
        <v>0.67211040142234135</v>
      </c>
      <c r="AM17" s="264"/>
    </row>
    <row r="18" spans="1:40">
      <c r="A18" s="252" t="s">
        <v>142</v>
      </c>
      <c r="B18" s="163">
        <f t="shared" si="0"/>
        <v>7506.5</v>
      </c>
      <c r="C18" s="163">
        <f t="shared" si="0"/>
        <v>0</v>
      </c>
      <c r="D18" s="163">
        <f t="shared" si="0"/>
        <v>0</v>
      </c>
      <c r="E18" s="164"/>
      <c r="F18" s="163">
        <f>F16</f>
        <v>0</v>
      </c>
      <c r="G18" s="165"/>
      <c r="H18" s="236">
        <v>7506.5</v>
      </c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>
        <f t="shared" si="1"/>
        <v>7506.5</v>
      </c>
      <c r="AD18" s="327">
        <f t="shared" si="2"/>
        <v>1.5670801548371969E-3</v>
      </c>
      <c r="AE18" s="160"/>
      <c r="AF18" s="375">
        <f t="shared" si="11"/>
        <v>0</v>
      </c>
      <c r="AG18" s="159">
        <f t="shared" si="4"/>
        <v>0</v>
      </c>
      <c r="AH18" s="375">
        <f t="shared" si="5"/>
        <v>0</v>
      </c>
      <c r="AI18" s="159">
        <f t="shared" si="6"/>
        <v>0</v>
      </c>
      <c r="AJ18" s="373">
        <f t="shared" si="12"/>
        <v>0</v>
      </c>
      <c r="AK18" s="139">
        <f t="shared" si="7"/>
        <v>0</v>
      </c>
      <c r="AL18" s="140">
        <f t="shared" si="8"/>
        <v>0</v>
      </c>
      <c r="AM18" s="264"/>
    </row>
    <row r="19" spans="1:40">
      <c r="A19" s="252" t="s">
        <v>143</v>
      </c>
      <c r="B19" s="163">
        <f t="shared" si="0"/>
        <v>0</v>
      </c>
      <c r="C19" s="163">
        <f t="shared" si="0"/>
        <v>12346.429100000001</v>
      </c>
      <c r="D19" s="163">
        <f t="shared" si="0"/>
        <v>0</v>
      </c>
      <c r="E19" s="164"/>
      <c r="F19" s="163"/>
      <c r="G19" s="165"/>
      <c r="H19" s="165"/>
      <c r="I19" s="163"/>
      <c r="J19" s="163"/>
      <c r="K19" s="163"/>
      <c r="L19" s="163"/>
      <c r="M19" s="163"/>
      <c r="N19" s="163"/>
      <c r="O19" s="163">
        <f>O16</f>
        <v>12346.429100000001</v>
      </c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>
        <f t="shared" si="1"/>
        <v>12346.429100000001</v>
      </c>
      <c r="AD19" s="327">
        <f t="shared" si="2"/>
        <v>2.5774787218696429E-3</v>
      </c>
      <c r="AE19" s="160"/>
      <c r="AF19" s="375">
        <f t="shared" si="11"/>
        <v>0</v>
      </c>
      <c r="AG19" s="159">
        <f t="shared" si="4"/>
        <v>0</v>
      </c>
      <c r="AH19" s="375">
        <f t="shared" si="5"/>
        <v>0</v>
      </c>
      <c r="AI19" s="159">
        <f t="shared" si="6"/>
        <v>0</v>
      </c>
      <c r="AJ19" s="373">
        <f t="shared" si="12"/>
        <v>0</v>
      </c>
      <c r="AK19" s="139">
        <f t="shared" si="7"/>
        <v>0</v>
      </c>
      <c r="AL19" s="140">
        <f t="shared" si="8"/>
        <v>0</v>
      </c>
      <c r="AM19" s="264"/>
    </row>
    <row r="20" spans="1:40">
      <c r="A20" s="253" t="s">
        <v>18</v>
      </c>
      <c r="B20" s="167">
        <f t="shared" si="0"/>
        <v>129012.52439999999</v>
      </c>
      <c r="C20" s="167">
        <f t="shared" si="0"/>
        <v>209394.12100000001</v>
      </c>
      <c r="D20" s="167">
        <f t="shared" si="0"/>
        <v>0</v>
      </c>
      <c r="E20" s="168"/>
      <c r="F20" s="167"/>
      <c r="G20" s="167"/>
      <c r="H20" s="167"/>
      <c r="I20" s="167"/>
      <c r="J20" s="167"/>
      <c r="K20" s="167"/>
      <c r="L20" s="167"/>
      <c r="M20" s="167">
        <f>M10*12</f>
        <v>129012.52439999999</v>
      </c>
      <c r="N20" s="167"/>
      <c r="O20" s="167"/>
      <c r="P20" s="167">
        <f>25511.2177*4+12412.5744*3+11685.2545*6</f>
        <v>209394.12100000001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>
        <f t="shared" si="1"/>
        <v>338406.64540000004</v>
      </c>
      <c r="AD20" s="327">
        <f t="shared" si="2"/>
        <v>7.0646817860703176E-2</v>
      </c>
      <c r="AE20" s="221">
        <f>SUMIFS($E20:$AB20,$E$4:$AB$4,AE$2,$E$5:$AB$5,"Yes")</f>
        <v>0</v>
      </c>
      <c r="AF20" s="374">
        <f t="shared" si="11"/>
        <v>0</v>
      </c>
      <c r="AG20" s="225">
        <f t="shared" si="4"/>
        <v>209394.12100000001</v>
      </c>
      <c r="AH20" s="374">
        <f t="shared" si="5"/>
        <v>1</v>
      </c>
      <c r="AI20" s="225">
        <f t="shared" si="6"/>
        <v>0</v>
      </c>
      <c r="AJ20" s="372">
        <f t="shared" si="12"/>
        <v>0</v>
      </c>
      <c r="AK20" s="222">
        <f t="shared" si="7"/>
        <v>209394.12100000001</v>
      </c>
      <c r="AL20" s="223">
        <f t="shared" si="8"/>
        <v>0.61876480218789465</v>
      </c>
      <c r="AM20" s="264">
        <f>AC20/$AC$26</f>
        <v>7.0646817860703176E-2</v>
      </c>
    </row>
    <row r="21" spans="1:40">
      <c r="A21" s="254" t="s">
        <v>130</v>
      </c>
      <c r="B21" s="169">
        <f t="shared" si="0"/>
        <v>313427.08740000002</v>
      </c>
      <c r="C21" s="169">
        <f t="shared" si="0"/>
        <v>131634.68540000002</v>
      </c>
      <c r="D21" s="169">
        <f t="shared" si="0"/>
        <v>328446.71490000002</v>
      </c>
      <c r="E21" s="170">
        <f>19986*2</f>
        <v>39972</v>
      </c>
      <c r="F21" s="169">
        <f>34353+22600</f>
        <v>56953</v>
      </c>
      <c r="G21" s="169">
        <f>0</f>
        <v>0</v>
      </c>
      <c r="H21" s="169">
        <f>0</f>
        <v>0</v>
      </c>
      <c r="I21" s="169">
        <f>130970+(125*40)</f>
        <v>135970</v>
      </c>
      <c r="J21" s="169">
        <f>400*100</f>
        <v>40000</v>
      </c>
      <c r="K21" s="169">
        <f>K10*3</f>
        <v>79326.714900000006</v>
      </c>
      <c r="L21" s="169">
        <f>385*190</f>
        <v>73150</v>
      </c>
      <c r="M21" s="169">
        <f>M10*2</f>
        <v>21502.0874</v>
      </c>
      <c r="N21" s="169"/>
      <c r="O21" s="169">
        <v>0</v>
      </c>
      <c r="P21" s="169">
        <f>(300*190)+(25511.2177*2)-P16</f>
        <v>101634.6854</v>
      </c>
      <c r="Q21" s="169"/>
      <c r="R21" s="169">
        <f>(225*400)*2</f>
        <v>180000</v>
      </c>
      <c r="S21" s="169"/>
      <c r="T21" s="169"/>
      <c r="U21" s="169">
        <v>15000</v>
      </c>
      <c r="V21" s="169">
        <v>15000</v>
      </c>
      <c r="W21" s="169">
        <v>15000</v>
      </c>
      <c r="X21" s="169"/>
      <c r="Y21" s="169"/>
      <c r="Z21" s="169"/>
      <c r="AA21" s="169"/>
      <c r="AB21" s="169"/>
      <c r="AC21" s="169">
        <f t="shared" si="1"/>
        <v>773508.48770000006</v>
      </c>
      <c r="AD21" s="327">
        <f t="shared" si="2"/>
        <v>0.16148002406884726</v>
      </c>
      <c r="AE21" s="160">
        <f>SUMIFS($E21:$AB21,$E$4:$AB$4,AE$2,$E$5:$AB$5,"Yes")</f>
        <v>0</v>
      </c>
      <c r="AF21" s="375">
        <f t="shared" si="11"/>
        <v>0</v>
      </c>
      <c r="AG21" s="159">
        <f t="shared" si="4"/>
        <v>101634.6854</v>
      </c>
      <c r="AH21" s="375">
        <f t="shared" si="5"/>
        <v>0.77209654196507083</v>
      </c>
      <c r="AI21" s="159">
        <f t="shared" si="6"/>
        <v>0</v>
      </c>
      <c r="AJ21" s="373">
        <f t="shared" si="12"/>
        <v>0</v>
      </c>
      <c r="AK21" s="139">
        <f t="shared" si="7"/>
        <v>101634.6854</v>
      </c>
      <c r="AL21" s="140"/>
      <c r="AM21" s="264">
        <f>AC21/$AC$26</f>
        <v>0.16148002406884726</v>
      </c>
    </row>
    <row r="22" spans="1:40">
      <c r="A22" s="255" t="s">
        <v>283</v>
      </c>
      <c r="B22" s="207">
        <f>SUM(B23:B24)</f>
        <v>126070.70019999999</v>
      </c>
      <c r="C22" s="207">
        <f>SUM(C23:C24)</f>
        <v>0</v>
      </c>
      <c r="D22" s="207">
        <f>SUM(D23:D24)</f>
        <v>0</v>
      </c>
      <c r="E22" s="208">
        <f>SUM(E23:E24)</f>
        <v>0</v>
      </c>
      <c r="F22" s="207">
        <f>SUM(F23:F24)</f>
        <v>0</v>
      </c>
      <c r="G22" s="207">
        <f t="shared" ref="G22:AB22" si="15">SUM(G23:G24)</f>
        <v>0</v>
      </c>
      <c r="H22" s="207">
        <f t="shared" si="15"/>
        <v>0</v>
      </c>
      <c r="I22" s="207">
        <f t="shared" si="15"/>
        <v>0</v>
      </c>
      <c r="J22" s="207">
        <f t="shared" si="15"/>
        <v>0</v>
      </c>
      <c r="K22" s="207">
        <f t="shared" si="15"/>
        <v>0</v>
      </c>
      <c r="L22" s="207">
        <f t="shared" si="15"/>
        <v>0</v>
      </c>
      <c r="M22" s="207">
        <f t="shared" si="15"/>
        <v>0</v>
      </c>
      <c r="N22" s="207">
        <f t="shared" si="15"/>
        <v>0</v>
      </c>
      <c r="O22" s="207">
        <f t="shared" si="15"/>
        <v>0</v>
      </c>
      <c r="P22" s="207">
        <f t="shared" si="15"/>
        <v>0</v>
      </c>
      <c r="Q22" s="207">
        <f t="shared" si="15"/>
        <v>0</v>
      </c>
      <c r="R22" s="207">
        <f t="shared" si="15"/>
        <v>101447</v>
      </c>
      <c r="S22" s="207">
        <f t="shared" si="15"/>
        <v>0</v>
      </c>
      <c r="T22" s="207">
        <f t="shared" si="15"/>
        <v>0</v>
      </c>
      <c r="U22" s="207">
        <f t="shared" si="15"/>
        <v>0</v>
      </c>
      <c r="V22" s="207">
        <f t="shared" si="15"/>
        <v>24623.700199999999</v>
      </c>
      <c r="W22" s="207">
        <f t="shared" si="15"/>
        <v>0</v>
      </c>
      <c r="X22" s="207">
        <f t="shared" si="15"/>
        <v>0</v>
      </c>
      <c r="Y22" s="207">
        <f t="shared" si="15"/>
        <v>0</v>
      </c>
      <c r="Z22" s="207">
        <f t="shared" si="15"/>
        <v>0</v>
      </c>
      <c r="AA22" s="207"/>
      <c r="AB22" s="207">
        <f t="shared" si="15"/>
        <v>0</v>
      </c>
      <c r="AC22" s="207">
        <f t="shared" si="1"/>
        <v>126070.70019999999</v>
      </c>
      <c r="AD22" s="327">
        <f t="shared" si="2"/>
        <v>2.6318909263951216E-2</v>
      </c>
      <c r="AE22" s="221">
        <f>SUMIFS($E22:$AB22,$E$4:$AB$4,AE$2,$E$5:$AB$5,"Yes")</f>
        <v>0</v>
      </c>
      <c r="AF22" s="374">
        <f t="shared" si="11"/>
        <v>0</v>
      </c>
      <c r="AG22" s="225">
        <f t="shared" si="4"/>
        <v>0</v>
      </c>
      <c r="AH22" s="374">
        <f t="shared" si="5"/>
        <v>0</v>
      </c>
      <c r="AI22" s="225">
        <f t="shared" si="6"/>
        <v>0</v>
      </c>
      <c r="AJ22" s="372">
        <f t="shared" si="12"/>
        <v>0</v>
      </c>
      <c r="AK22" s="222">
        <f t="shared" si="7"/>
        <v>0</v>
      </c>
      <c r="AL22" s="223"/>
      <c r="AM22" s="264">
        <f>AC22/$AC$26</f>
        <v>2.6318909263951216E-2</v>
      </c>
    </row>
    <row r="23" spans="1:40">
      <c r="A23" s="256" t="s">
        <v>149</v>
      </c>
      <c r="B23" s="207">
        <f t="shared" ref="B23:D24" si="16">SUMIF($E$4:$AB$4,B$2,$E23:$AB23)</f>
        <v>24623.700199999999</v>
      </c>
      <c r="C23" s="207">
        <f t="shared" si="16"/>
        <v>0</v>
      </c>
      <c r="D23" s="207">
        <f t="shared" si="16"/>
        <v>0</v>
      </c>
      <c r="E23" s="208"/>
      <c r="F23" s="207"/>
      <c r="G23" s="207"/>
      <c r="H23" s="207"/>
      <c r="I23" s="207"/>
      <c r="J23" s="207"/>
      <c r="K23" s="207"/>
      <c r="L23" s="207"/>
      <c r="M23" s="207"/>
      <c r="N23" s="207">
        <v>0</v>
      </c>
      <c r="O23" s="207"/>
      <c r="P23" s="207"/>
      <c r="Q23" s="207"/>
      <c r="R23" s="207"/>
      <c r="S23" s="207"/>
      <c r="T23" s="207"/>
      <c r="U23" s="207"/>
      <c r="V23" s="207">
        <f>12311.8501*2</f>
        <v>24623.700199999999</v>
      </c>
      <c r="W23" s="207"/>
      <c r="X23" s="207"/>
      <c r="Y23" s="207"/>
      <c r="Z23" s="207"/>
      <c r="AA23" s="207"/>
      <c r="AB23" s="207"/>
      <c r="AC23" s="207">
        <f t="shared" si="1"/>
        <v>24623.700199999999</v>
      </c>
      <c r="AD23" s="327">
        <f t="shared" si="2"/>
        <v>5.1405198057790863E-3</v>
      </c>
      <c r="AE23" s="160">
        <f>SUMIFS($E23:$AB23,$E$4:$AB$4,AE$2,$E$5:$AB$5,"Yes")</f>
        <v>0</v>
      </c>
      <c r="AF23" s="375">
        <f t="shared" si="11"/>
        <v>0</v>
      </c>
      <c r="AG23" s="159">
        <f t="shared" si="4"/>
        <v>0</v>
      </c>
      <c r="AH23" s="375">
        <f t="shared" si="5"/>
        <v>0</v>
      </c>
      <c r="AI23" s="159">
        <f t="shared" si="6"/>
        <v>0</v>
      </c>
      <c r="AJ23" s="373">
        <f t="shared" si="12"/>
        <v>0</v>
      </c>
      <c r="AK23" s="139">
        <f t="shared" si="7"/>
        <v>0</v>
      </c>
      <c r="AL23" s="140">
        <f>AK23/AC23</f>
        <v>0</v>
      </c>
      <c r="AM23" s="264"/>
    </row>
    <row r="24" spans="1:40">
      <c r="A24" s="256" t="s">
        <v>148</v>
      </c>
      <c r="B24" s="207">
        <f t="shared" si="16"/>
        <v>101447</v>
      </c>
      <c r="C24" s="207">
        <f t="shared" si="16"/>
        <v>0</v>
      </c>
      <c r="D24" s="207">
        <f t="shared" si="16"/>
        <v>0</v>
      </c>
      <c r="E24" s="208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>
        <f>42865*2+15717</f>
        <v>101447</v>
      </c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>
        <f t="shared" si="1"/>
        <v>101447</v>
      </c>
      <c r="AD24" s="327"/>
      <c r="AE24" s="160">
        <f>SUMIFS($E24:$AB24,$E$4:$AB$4,AE$2,$E$5:$AB$5,"Yes")</f>
        <v>0</v>
      </c>
      <c r="AF24" s="375">
        <f t="shared" si="11"/>
        <v>0</v>
      </c>
      <c r="AG24" s="159">
        <f t="shared" si="4"/>
        <v>0</v>
      </c>
      <c r="AH24" s="375">
        <f t="shared" si="5"/>
        <v>0</v>
      </c>
      <c r="AI24" s="159">
        <f t="shared" si="6"/>
        <v>0</v>
      </c>
      <c r="AJ24" s="373">
        <f t="shared" si="12"/>
        <v>0</v>
      </c>
      <c r="AK24" s="139">
        <f t="shared" si="7"/>
        <v>0</v>
      </c>
      <c r="AL24" s="140">
        <f>AK24/AC24</f>
        <v>0</v>
      </c>
      <c r="AM24" s="264"/>
    </row>
    <row r="25" spans="1:40">
      <c r="A25" s="39"/>
      <c r="B25" s="234">
        <f>SUM(B11,B15,B16,B20,B21,B22)</f>
        <v>2077339.3557000002</v>
      </c>
      <c r="C25" s="234">
        <f t="shared" ref="C25:AB25" si="17">SUM(C11,C15,C16,C20,C21,C22)</f>
        <v>1511271.0257000001</v>
      </c>
      <c r="D25" s="234">
        <f t="shared" si="17"/>
        <v>1201508.3478999999</v>
      </c>
      <c r="E25" s="234">
        <f t="shared" si="17"/>
        <v>260816</v>
      </c>
      <c r="F25" s="234">
        <f t="shared" si="17"/>
        <v>354101</v>
      </c>
      <c r="G25" s="234">
        <f t="shared" si="17"/>
        <v>191948</v>
      </c>
      <c r="H25" s="234">
        <f t="shared" si="17"/>
        <v>255227</v>
      </c>
      <c r="I25" s="234">
        <f t="shared" si="17"/>
        <v>135970</v>
      </c>
      <c r="J25" s="234">
        <f t="shared" si="17"/>
        <v>293568</v>
      </c>
      <c r="K25" s="234">
        <f t="shared" si="17"/>
        <v>343749.09790000005</v>
      </c>
      <c r="L25" s="234">
        <f t="shared" si="17"/>
        <v>428221.25</v>
      </c>
      <c r="M25" s="234">
        <f t="shared" si="17"/>
        <v>161265.65549999999</v>
      </c>
      <c r="N25" s="234">
        <f t="shared" si="17"/>
        <v>44768</v>
      </c>
      <c r="O25" s="234">
        <f t="shared" si="17"/>
        <v>252923</v>
      </c>
      <c r="P25" s="234">
        <f t="shared" si="17"/>
        <v>444724.13760000002</v>
      </c>
      <c r="Q25" s="234">
        <f t="shared" si="17"/>
        <v>267947.88809999998</v>
      </c>
      <c r="R25" s="234">
        <f t="shared" si="17"/>
        <v>281447</v>
      </c>
      <c r="S25" s="234">
        <f t="shared" si="17"/>
        <v>53720</v>
      </c>
      <c r="T25" s="234">
        <f t="shared" si="17"/>
        <v>53720</v>
      </c>
      <c r="U25" s="234">
        <f t="shared" si="17"/>
        <v>238385</v>
      </c>
      <c r="V25" s="234">
        <f t="shared" si="17"/>
        <v>282524.70020000002</v>
      </c>
      <c r="W25" s="234">
        <f t="shared" si="17"/>
        <v>238385</v>
      </c>
      <c r="X25" s="234">
        <f t="shared" si="17"/>
        <v>131119</v>
      </c>
      <c r="Y25" s="234">
        <f t="shared" si="17"/>
        <v>35554</v>
      </c>
      <c r="Z25" s="234">
        <f t="shared" si="17"/>
        <v>11589</v>
      </c>
      <c r="AA25" s="234">
        <f t="shared" si="17"/>
        <v>24138</v>
      </c>
      <c r="AB25" s="234">
        <f t="shared" si="17"/>
        <v>4308</v>
      </c>
      <c r="AC25" s="148"/>
      <c r="AD25" s="148"/>
      <c r="AE25" s="230">
        <f>SUM(AE11:AE24)</f>
        <v>343651</v>
      </c>
      <c r="AF25" s="231"/>
      <c r="AG25" s="232">
        <f>SUM(AG11:AG24)</f>
        <v>1114315.2449999999</v>
      </c>
      <c r="AH25" s="231"/>
      <c r="AI25" s="232">
        <f>SUM(AI11:AI24)</f>
        <v>0</v>
      </c>
      <c r="AJ25" s="233"/>
      <c r="AK25" s="234">
        <f>SUM(AK11:AK24)</f>
        <v>1565833.2449999999</v>
      </c>
      <c r="AL25" s="235">
        <f>AK25/AC26</f>
        <v>0.32688819077117565</v>
      </c>
      <c r="AM25" s="264"/>
    </row>
    <row r="26" spans="1:40" ht="15" thickBot="1">
      <c r="B26" s="264">
        <f>B25/SUM($B$25:$D$25)</f>
        <v>0.43367178834073922</v>
      </c>
      <c r="C26" s="264">
        <f>C25/SUM($B$25:$D$25)</f>
        <v>0.31549761312927799</v>
      </c>
      <c r="D26" s="264">
        <f>D25/SUM($B$25:$D$25)</f>
        <v>0.25083059852998285</v>
      </c>
      <c r="G26" s="73"/>
      <c r="U26"/>
      <c r="V26"/>
      <c r="W26"/>
      <c r="AB26" s="266" t="s">
        <v>386</v>
      </c>
      <c r="AC26" s="67">
        <f>SUM(AC11,AC15,AC16,AC20,AC21,AC22)</f>
        <v>4790118.7292999998</v>
      </c>
      <c r="AE26" s="171">
        <f>AE25/$AK$25</f>
        <v>0.21946845304079621</v>
      </c>
      <c r="AF26" s="227"/>
      <c r="AG26" s="228">
        <f>AG25/$AK$25</f>
        <v>0.711643623967123</v>
      </c>
      <c r="AH26" s="227"/>
      <c r="AI26" s="228">
        <f>AI25/$AK$25</f>
        <v>0</v>
      </c>
      <c r="AJ26" s="229"/>
      <c r="AK26" s="141"/>
      <c r="AL26" s="153"/>
    </row>
    <row r="27" spans="1:40" ht="14.5">
      <c r="O27" s="234"/>
      <c r="U27"/>
      <c r="V27"/>
      <c r="W27"/>
    </row>
    <row r="28" spans="1:40" ht="14.5">
      <c r="U28"/>
      <c r="V28"/>
      <c r="W28"/>
    </row>
    <row r="29" spans="1:40" ht="14.5">
      <c r="U29"/>
      <c r="V29"/>
      <c r="W29"/>
      <c r="AN29" s="66"/>
    </row>
    <row r="30" spans="1:40" ht="14.5">
      <c r="B30" s="73"/>
      <c r="R30" s="68"/>
      <c r="U30"/>
      <c r="V30" s="148"/>
      <c r="W30"/>
      <c r="AN30" s="66"/>
    </row>
    <row r="31" spans="1:40" ht="14.5">
      <c r="B31" s="73"/>
      <c r="I31" s="69"/>
      <c r="U31"/>
      <c r="V31"/>
      <c r="W31"/>
      <c r="AN31" s="66"/>
    </row>
    <row r="32" spans="1:40" ht="14.5">
      <c r="U32"/>
      <c r="V32"/>
      <c r="W32"/>
      <c r="AN32" s="245"/>
    </row>
    <row r="33" spans="3:45" ht="14.5">
      <c r="C33" s="234"/>
      <c r="U33"/>
      <c r="V33"/>
      <c r="W33"/>
      <c r="AN33" s="246"/>
    </row>
    <row r="34" spans="3:45" ht="14.5">
      <c r="C34" s="73"/>
      <c r="U34"/>
      <c r="V34"/>
      <c r="W34"/>
      <c r="AN34" s="246"/>
      <c r="AS34" s="245"/>
    </row>
    <row r="35" spans="3:45" ht="14.5">
      <c r="C35" s="73"/>
      <c r="U35"/>
      <c r="V35"/>
      <c r="W35"/>
    </row>
    <row r="36" spans="3:45" ht="14.5">
      <c r="R36" s="68"/>
      <c r="U36"/>
      <c r="V36"/>
      <c r="W36"/>
    </row>
    <row r="37" spans="3:45" ht="14.5">
      <c r="U37"/>
      <c r="V37"/>
      <c r="W37"/>
      <c r="AN37" s="246"/>
    </row>
    <row r="38" spans="3:45" ht="14.5">
      <c r="U38"/>
      <c r="V38"/>
      <c r="W38"/>
      <c r="AN38" s="246"/>
    </row>
    <row r="39" spans="3:45" ht="14.5">
      <c r="U39"/>
      <c r="V39"/>
      <c r="W39"/>
      <c r="AN39" s="246"/>
    </row>
    <row r="40" spans="3:45" ht="14.5">
      <c r="U40"/>
      <c r="V40"/>
      <c r="W40"/>
    </row>
    <row r="41" spans="3:45" ht="14.5">
      <c r="R41" s="68"/>
      <c r="U41"/>
      <c r="V41"/>
      <c r="W41"/>
    </row>
    <row r="44" spans="3:45">
      <c r="AN44" s="66"/>
    </row>
    <row r="45" spans="3:45">
      <c r="R45" s="68"/>
    </row>
    <row r="47" spans="3:45">
      <c r="R47" s="68"/>
    </row>
    <row r="50" spans="18:18">
      <c r="R50" s="68"/>
    </row>
    <row r="51" spans="18:18">
      <c r="R51" s="68"/>
    </row>
    <row r="53" spans="18:18">
      <c r="R53" s="70"/>
    </row>
    <row r="96" spans="2:10">
      <c r="B96" s="65" t="s">
        <v>764</v>
      </c>
      <c r="C96" s="234">
        <f>B11</f>
        <v>587530</v>
      </c>
      <c r="D96" s="234">
        <f t="shared" ref="D96:E96" si="18">C11</f>
        <v>1037433.5308999999</v>
      </c>
      <c r="E96" s="234">
        <f t="shared" si="18"/>
        <v>346219</v>
      </c>
      <c r="F96" s="234">
        <f>SUM(C96:E96)</f>
        <v>1971182.5308999999</v>
      </c>
      <c r="G96" s="384">
        <f t="shared" ref="G96:J101" si="19">C96/C$102</f>
        <v>0.28282812742553576</v>
      </c>
      <c r="H96" s="384">
        <f t="shared" si="19"/>
        <v>0.68646424979892329</v>
      </c>
      <c r="I96" s="384">
        <f t="shared" si="19"/>
        <v>0.28815363672264338</v>
      </c>
      <c r="J96" s="384">
        <f t="shared" si="19"/>
        <v>0.41151016129156714</v>
      </c>
    </row>
    <row r="97" spans="1:10">
      <c r="A97" s="65" t="s">
        <v>109</v>
      </c>
      <c r="B97" s="65" t="s">
        <v>765</v>
      </c>
      <c r="C97" s="234">
        <f>B15</f>
        <v>768858.5</v>
      </c>
      <c r="D97" s="234">
        <f t="shared" ref="D97:E97" si="20">C15</f>
        <v>38790.5</v>
      </c>
      <c r="E97" s="234">
        <f t="shared" si="20"/>
        <v>511379.82342500007</v>
      </c>
      <c r="F97" s="234">
        <f t="shared" ref="F97:F101" si="21">SUM(C97:E97)</f>
        <v>1319028.8234250001</v>
      </c>
      <c r="G97" s="384">
        <f t="shared" si="19"/>
        <v>0.37011694689667979</v>
      </c>
      <c r="H97" s="384">
        <f t="shared" si="19"/>
        <v>2.5667467542450084E-2</v>
      </c>
      <c r="I97" s="384">
        <f t="shared" si="19"/>
        <v>0.42561487343703547</v>
      </c>
      <c r="J97" s="384">
        <f t="shared" si="19"/>
        <v>0.27536453644808823</v>
      </c>
    </row>
    <row r="98" spans="1:10">
      <c r="A98" s="65" t="s">
        <v>141</v>
      </c>
      <c r="B98" s="65" t="s">
        <v>766</v>
      </c>
      <c r="C98" s="234">
        <f>B16</f>
        <v>152440.54370000001</v>
      </c>
      <c r="D98" s="234">
        <f t="shared" ref="D98:E98" si="22">C16</f>
        <v>94018.188399999999</v>
      </c>
      <c r="E98" s="234">
        <f t="shared" si="22"/>
        <v>15462.809574999999</v>
      </c>
      <c r="F98" s="234">
        <f t="shared" si="21"/>
        <v>261921.54167500001</v>
      </c>
      <c r="G98" s="384">
        <f t="shared" si="19"/>
        <v>7.3382590707540982E-2</v>
      </c>
      <c r="H98" s="384">
        <f t="shared" si="19"/>
        <v>6.2211335227876849E-2</v>
      </c>
      <c r="I98" s="384">
        <f t="shared" si="19"/>
        <v>1.2869498245289719E-2</v>
      </c>
      <c r="J98" s="384">
        <f t="shared" si="19"/>
        <v>5.4679551066842899E-2</v>
      </c>
    </row>
    <row r="99" spans="1:10">
      <c r="B99" s="65" t="s">
        <v>767</v>
      </c>
      <c r="C99" s="234">
        <f>B20</f>
        <v>129012.52439999999</v>
      </c>
      <c r="D99" s="234">
        <f t="shared" ref="D99:E99" si="23">C20</f>
        <v>209394.12100000001</v>
      </c>
      <c r="E99" s="234">
        <f t="shared" si="23"/>
        <v>0</v>
      </c>
      <c r="F99" s="234">
        <f t="shared" si="21"/>
        <v>338406.64540000004</v>
      </c>
      <c r="G99" s="384">
        <f t="shared" si="19"/>
        <v>6.2104693701586708E-2</v>
      </c>
      <c r="H99" s="384">
        <f t="shared" si="19"/>
        <v>0.13855497620157942</v>
      </c>
      <c r="I99" s="384">
        <f t="shared" si="19"/>
        <v>0</v>
      </c>
      <c r="J99" s="384">
        <f t="shared" si="19"/>
        <v>7.0646817860703162E-2</v>
      </c>
    </row>
    <row r="100" spans="1:10">
      <c r="B100" s="65" t="s">
        <v>768</v>
      </c>
      <c r="C100" s="234">
        <f>B21</f>
        <v>313427.08740000002</v>
      </c>
      <c r="D100" s="234">
        <f t="shared" ref="D100:E100" si="24">C21</f>
        <v>131634.68540000002</v>
      </c>
      <c r="E100" s="234">
        <f t="shared" si="24"/>
        <v>328446.71490000002</v>
      </c>
      <c r="F100" s="234">
        <f t="shared" si="21"/>
        <v>773508.48770000006</v>
      </c>
      <c r="G100" s="384">
        <f t="shared" si="19"/>
        <v>0.1508790976014531</v>
      </c>
      <c r="H100" s="384">
        <f t="shared" si="19"/>
        <v>8.7101971229170239E-2</v>
      </c>
      <c r="I100" s="384">
        <f t="shared" si="19"/>
        <v>0.27336199159503155</v>
      </c>
      <c r="J100" s="384">
        <f t="shared" si="19"/>
        <v>0.16148002406884723</v>
      </c>
    </row>
    <row r="101" spans="1:10">
      <c r="B101" s="65" t="s">
        <v>769</v>
      </c>
      <c r="C101" s="234">
        <f>B22</f>
        <v>126070.70019999999</v>
      </c>
      <c r="D101" s="234">
        <f t="shared" ref="D101:E101" si="25">C22</f>
        <v>0</v>
      </c>
      <c r="E101" s="234">
        <f t="shared" si="25"/>
        <v>0</v>
      </c>
      <c r="F101" s="234">
        <f t="shared" si="21"/>
        <v>126070.70019999999</v>
      </c>
      <c r="G101" s="384">
        <f t="shared" si="19"/>
        <v>6.0688543667203568E-2</v>
      </c>
      <c r="H101" s="384">
        <f t="shared" si="19"/>
        <v>0</v>
      </c>
      <c r="I101" s="384">
        <f t="shared" si="19"/>
        <v>0</v>
      </c>
      <c r="J101" s="384">
        <f t="shared" si="19"/>
        <v>2.631890926395121E-2</v>
      </c>
    </row>
    <row r="102" spans="1:10">
      <c r="C102" s="234">
        <f>SUM(C96:C101)</f>
        <v>2077339.3557000002</v>
      </c>
      <c r="D102" s="234">
        <f t="shared" ref="D102:F102" si="26">SUM(D96:D101)</f>
        <v>1511271.0257000001</v>
      </c>
      <c r="E102" s="234">
        <f t="shared" si="26"/>
        <v>1201508.3478999999</v>
      </c>
      <c r="F102" s="234">
        <f t="shared" si="26"/>
        <v>4790118.7293000007</v>
      </c>
    </row>
    <row r="105" spans="1:10">
      <c r="H105" s="68"/>
    </row>
    <row r="163" spans="1:6">
      <c r="B163" s="68" t="s">
        <v>814</v>
      </c>
    </row>
    <row r="164" spans="1:6">
      <c r="A164" s="65" t="s">
        <v>989</v>
      </c>
      <c r="B164" s="65" t="s">
        <v>770</v>
      </c>
      <c r="C164" s="66">
        <f>'res, market-rate'!O11</f>
        <v>471.04017977528082</v>
      </c>
      <c r="D164" s="66">
        <f>'res, market-rate'!O40</f>
        <v>565.91470972584261</v>
      </c>
      <c r="E164" s="66">
        <f>'res, market-rate'!O67</f>
        <v>373.44970786516859</v>
      </c>
      <c r="F164" s="234">
        <f>SUM(C164:E164)</f>
        <v>1410.4045973662921</v>
      </c>
    </row>
    <row r="165" spans="1:6">
      <c r="A165" s="65" t="s">
        <v>990</v>
      </c>
      <c r="B165" s="65" t="s">
        <v>771</v>
      </c>
      <c r="C165" s="66">
        <f>'res, condo'!O11</f>
        <v>145.48843243243243</v>
      </c>
      <c r="D165" s="66">
        <f>'res, condo'!O38</f>
        <v>521.98281718918929</v>
      </c>
      <c r="E165" s="66"/>
      <c r="F165" s="234">
        <f t="shared" ref="F165:F168" si="27">SUM(C165:E165)</f>
        <v>667.47124962162172</v>
      </c>
    </row>
    <row r="166" spans="1:6">
      <c r="A166" s="65" t="s">
        <v>478</v>
      </c>
      <c r="B166" s="65" t="s">
        <v>772</v>
      </c>
      <c r="C166" s="66">
        <f>'res, affordable'!O11</f>
        <v>88.79862857142858</v>
      </c>
      <c r="D166" s="66">
        <f>'res, affordable'!O38</f>
        <v>115.6108702457143</v>
      </c>
      <c r="E166" s="66">
        <f>'res, affordable'!O65</f>
        <v>59.351828571428577</v>
      </c>
      <c r="F166" s="234">
        <f t="shared" si="27"/>
        <v>263.76132738857149</v>
      </c>
    </row>
    <row r="167" spans="1:6">
      <c r="A167" s="65" t="s">
        <v>144</v>
      </c>
      <c r="B167" s="65" t="s">
        <v>773</v>
      </c>
      <c r="C167" s="66">
        <f>hotel!O11</f>
        <v>297.72121015384613</v>
      </c>
      <c r="D167" s="66">
        <f>hotel!O39</f>
        <v>483.21720230769233</v>
      </c>
      <c r="E167" s="66"/>
      <c r="F167" s="234">
        <f t="shared" si="27"/>
        <v>780.93841246153852</v>
      </c>
    </row>
    <row r="168" spans="1:6">
      <c r="B168" s="65" t="s">
        <v>802</v>
      </c>
      <c r="C168" s="66">
        <f>parking!O10</f>
        <v>940.28126220000001</v>
      </c>
      <c r="D168" s="66">
        <f>parking!O36</f>
        <v>394.90405620000007</v>
      </c>
      <c r="E168" s="66">
        <f>parking!O62</f>
        <v>985.34014470000011</v>
      </c>
      <c r="F168" s="234">
        <f t="shared" si="27"/>
        <v>2320.5254631000003</v>
      </c>
    </row>
    <row r="170" spans="1:6">
      <c r="B170" s="68" t="s">
        <v>815</v>
      </c>
    </row>
    <row r="171" spans="1:6">
      <c r="B171" s="65" t="s">
        <v>789</v>
      </c>
      <c r="C171" s="65">
        <f>constructiontimephase1</f>
        <v>3</v>
      </c>
      <c r="D171" s="65">
        <f>constructiontimephase2</f>
        <v>2</v>
      </c>
      <c r="E171" s="65">
        <f>constructiontimephase3</f>
        <v>2</v>
      </c>
    </row>
    <row r="172" spans="1:6">
      <c r="B172" s="65" t="s">
        <v>152</v>
      </c>
      <c r="C172" s="386" t="s">
        <v>790</v>
      </c>
      <c r="D172" s="65">
        <v>3</v>
      </c>
      <c r="E172" s="65">
        <v>3</v>
      </c>
    </row>
    <row r="173" spans="1:6">
      <c r="B173" s="65" t="s">
        <v>788</v>
      </c>
      <c r="C173" s="65">
        <f>Phase1open</f>
        <v>4</v>
      </c>
      <c r="D173" s="65">
        <f>Phase2open</f>
        <v>6</v>
      </c>
      <c r="E173" s="65">
        <f>Phase3open</f>
        <v>8</v>
      </c>
    </row>
    <row r="175" spans="1:6">
      <c r="B175" s="68" t="s">
        <v>816</v>
      </c>
    </row>
    <row r="176" spans="1:6">
      <c r="B176" s="65" t="s">
        <v>779</v>
      </c>
      <c r="C176" s="65">
        <f>COUNTIF($E$4:$AB$4,1)</f>
        <v>13</v>
      </c>
      <c r="D176" s="65">
        <f>COUNTIF($E$4:$AB$4,2)</f>
        <v>7</v>
      </c>
      <c r="E176" s="65">
        <f>COUNTIF($E$4:$AB$4,3)</f>
        <v>4</v>
      </c>
      <c r="F176" s="65">
        <f>SUM(C176:E176)</f>
        <v>24</v>
      </c>
    </row>
    <row r="177" spans="2:10">
      <c r="B177" s="65" t="s">
        <v>817</v>
      </c>
      <c r="C177" s="385">
        <v>580</v>
      </c>
      <c r="D177" s="385">
        <v>301</v>
      </c>
      <c r="E177" s="385">
        <v>205</v>
      </c>
      <c r="F177" s="385">
        <f>1087</f>
        <v>1087</v>
      </c>
      <c r="G177" s="385">
        <f>SUM('Summary Board'!K108:K111,'Summary Board'!K112:K113,'Summary Board'!K114,'Summary Board'!K115:K117)</f>
        <v>580830549.55843079</v>
      </c>
      <c r="H177" s="385">
        <f>SUM('Summary Board'!L108:L111,'Summary Board'!L112:L113,'Summary Board'!L114,'Summary Board'!L115:L117)</f>
        <v>301300118.43297309</v>
      </c>
      <c r="I177" s="385">
        <f>SUM('Summary Board'!M108:M111,'Summary Board'!M112:M113,'Summary Board'!M114,'Summary Board'!M115:M117)</f>
        <v>205123261.31442812</v>
      </c>
      <c r="J177" s="385">
        <f>SUM(G177:I177)</f>
        <v>1087253929.3058319</v>
      </c>
    </row>
    <row r="178" spans="2:10">
      <c r="B178" s="65" t="s">
        <v>778</v>
      </c>
      <c r="C178" s="385">
        <f>G177/C102</f>
        <v>279.60311249324428</v>
      </c>
      <c r="D178" s="385">
        <f>H177/D102</f>
        <v>199.3686859002772</v>
      </c>
      <c r="E178" s="385">
        <f>I177/E102</f>
        <v>170.72146163024436</v>
      </c>
      <c r="F178" s="385">
        <f>J177/F102</f>
        <v>226.97849275746796</v>
      </c>
    </row>
    <row r="179" spans="2:10">
      <c r="C179" s="385"/>
      <c r="D179" s="385"/>
      <c r="E179" s="385"/>
      <c r="F179" s="385"/>
    </row>
    <row r="180" spans="2:10">
      <c r="B180" s="65" t="s">
        <v>775</v>
      </c>
      <c r="C180" s="387">
        <f>combined!C42</f>
        <v>7.1459620443232508E-2</v>
      </c>
      <c r="D180" s="387">
        <f>combined!C115</f>
        <v>0.20415656112833336</v>
      </c>
      <c r="E180" s="387">
        <f>combined!C188</f>
        <v>0.15329337709114088</v>
      </c>
      <c r="F180" s="387">
        <f>combined!C224</f>
        <v>0.10734502105564903</v>
      </c>
    </row>
    <row r="181" spans="2:10">
      <c r="B181" s="65" t="s">
        <v>776</v>
      </c>
      <c r="C181" s="387">
        <f>combined!C69</f>
        <v>0.16924263611614276</v>
      </c>
      <c r="D181" s="387">
        <f>combined!C142</f>
        <v>0.3867916820276005</v>
      </c>
      <c r="E181" s="387">
        <f>combined!C215</f>
        <v>0.2266121561644534</v>
      </c>
      <c r="F181" s="387">
        <f>combined!C225</f>
        <v>0.22185238677214558</v>
      </c>
    </row>
    <row r="182" spans="2:10">
      <c r="B182" s="65" t="s">
        <v>777</v>
      </c>
      <c r="C182" s="73">
        <f>combined!C74</f>
        <v>2.966572299646153</v>
      </c>
      <c r="D182" s="73">
        <f>combined!C147</f>
        <v>3.354152174160427</v>
      </c>
      <c r="E182" s="73">
        <f>combined!C220</f>
        <v>2.1948311705401364</v>
      </c>
      <c r="F182" s="388">
        <f>combined!C230</f>
        <v>2.908710650513668</v>
      </c>
    </row>
    <row r="184" spans="2:10">
      <c r="B184" s="68" t="s">
        <v>780</v>
      </c>
    </row>
    <row r="185" spans="2:10">
      <c r="C185" s="65" t="s">
        <v>781</v>
      </c>
      <c r="D185" s="65" t="s">
        <v>783</v>
      </c>
      <c r="E185" s="65" t="s">
        <v>787</v>
      </c>
    </row>
    <row r="186" spans="2:10">
      <c r="C186" s="65" t="s">
        <v>782</v>
      </c>
      <c r="D186" s="65" t="s">
        <v>785</v>
      </c>
    </row>
    <row r="187" spans="2:10">
      <c r="C187" s="65" t="s">
        <v>139</v>
      </c>
      <c r="D187" s="65" t="s">
        <v>784</v>
      </c>
    </row>
    <row r="188" spans="2:10">
      <c r="C188" s="65" t="s">
        <v>786</v>
      </c>
    </row>
    <row r="194" spans="2:2">
      <c r="B194" s="65" t="s">
        <v>791</v>
      </c>
    </row>
    <row r="196" spans="2:2">
      <c r="B196" s="65" t="s">
        <v>792</v>
      </c>
    </row>
    <row r="197" spans="2:2">
      <c r="B197" s="65" t="s">
        <v>793</v>
      </c>
    </row>
    <row r="198" spans="2:2">
      <c r="B198" s="65" t="s">
        <v>794</v>
      </c>
    </row>
    <row r="199" spans="2:2">
      <c r="B199" s="65" t="s">
        <v>795</v>
      </c>
    </row>
    <row r="208" spans="2:2">
      <c r="B208" s="65" t="s">
        <v>425</v>
      </c>
    </row>
    <row r="209" spans="2:11">
      <c r="B209" s="246" t="s">
        <v>219</v>
      </c>
      <c r="C209" s="385">
        <v>281</v>
      </c>
      <c r="D209" s="385">
        <v>333</v>
      </c>
      <c r="G209" s="385">
        <f>ROUND('Summary Board'!K101,-5)</f>
        <v>281700000</v>
      </c>
      <c r="H209" s="385">
        <f>combined!Q26</f>
        <v>340999421.30330777</v>
      </c>
    </row>
    <row r="210" spans="2:11">
      <c r="B210" s="246" t="s">
        <v>220</v>
      </c>
      <c r="C210" s="385">
        <v>151</v>
      </c>
      <c r="D210" s="385">
        <v>182</v>
      </c>
      <c r="G210" s="385">
        <f>'Summary Board'!L101</f>
        <v>154072855.46755448</v>
      </c>
      <c r="H210" s="385">
        <f>combined!Q99</f>
        <v>204017356.24405584</v>
      </c>
    </row>
    <row r="211" spans="2:11">
      <c r="B211" s="246" t="s">
        <v>321</v>
      </c>
      <c r="C211" s="385">
        <v>104</v>
      </c>
      <c r="D211" s="385">
        <v>180</v>
      </c>
      <c r="G211" s="385">
        <f>'Summary Board'!M101</f>
        <v>104408685.69819809</v>
      </c>
      <c r="H211" s="385">
        <f>combined!Q172</f>
        <v>180883946.36761829</v>
      </c>
    </row>
    <row r="212" spans="2:11">
      <c r="B212" s="246"/>
      <c r="C212" s="385"/>
      <c r="D212" s="385"/>
      <c r="G212" s="385"/>
      <c r="H212" s="385"/>
    </row>
    <row r="214" spans="2:11" ht="28" customHeight="1"/>
    <row r="215" spans="2:11" ht="20.5" customHeight="1">
      <c r="B215" s="68"/>
      <c r="C215" s="400" t="s">
        <v>155</v>
      </c>
      <c r="D215" s="400" t="s">
        <v>822</v>
      </c>
    </row>
    <row r="216" spans="2:11">
      <c r="B216" s="65" t="s">
        <v>803</v>
      </c>
      <c r="C216" s="384">
        <f>Loantocost</f>
        <v>0.55000000000000004</v>
      </c>
      <c r="D216" s="384">
        <f>loantovalue</f>
        <v>0.65</v>
      </c>
    </row>
    <row r="217" spans="2:11">
      <c r="B217" s="65" t="s">
        <v>807</v>
      </c>
      <c r="C217" s="264">
        <f>Constructioninterestrate</f>
        <v>0.05</v>
      </c>
      <c r="D217" s="264">
        <f>permanentinterestrate</f>
        <v>4.2500000000000003E-2</v>
      </c>
    </row>
    <row r="220" spans="2:11">
      <c r="B220" s="68" t="s">
        <v>801</v>
      </c>
    </row>
    <row r="221" spans="2:11">
      <c r="B221" s="65" t="s">
        <v>796</v>
      </c>
      <c r="C221" s="401">
        <f>blendedcaprate</f>
        <v>7.2732481064471194E-2</v>
      </c>
    </row>
    <row r="222" spans="2:11">
      <c r="B222" s="65" t="s">
        <v>176</v>
      </c>
      <c r="C222" s="401">
        <f>Inflation</f>
        <v>0.02</v>
      </c>
      <c r="H222" s="68"/>
      <c r="I222" s="68" t="s">
        <v>219</v>
      </c>
      <c r="J222" s="68" t="s">
        <v>220</v>
      </c>
      <c r="K222" s="68" t="s">
        <v>321</v>
      </c>
    </row>
    <row r="223" spans="2:11">
      <c r="B223" s="245" t="s">
        <v>820</v>
      </c>
      <c r="C223" s="402">
        <f>cockpit!R10</f>
        <v>50</v>
      </c>
      <c r="H223" s="65" t="s">
        <v>813</v>
      </c>
      <c r="I223" s="385">
        <f>365</f>
        <v>365</v>
      </c>
      <c r="J223" s="385">
        <v>191</v>
      </c>
      <c r="K223" s="385">
        <f>193</f>
        <v>193</v>
      </c>
    </row>
    <row r="224" spans="2:11">
      <c r="B224" s="245" t="s">
        <v>821</v>
      </c>
      <c r="C224" s="402">
        <f>cockpit!R11</f>
        <v>60</v>
      </c>
      <c r="H224" s="65" t="s">
        <v>819</v>
      </c>
      <c r="I224" s="385">
        <v>513</v>
      </c>
      <c r="J224" s="385">
        <v>280</v>
      </c>
      <c r="K224" s="385">
        <v>278</v>
      </c>
    </row>
    <row r="225" spans="2:11">
      <c r="H225" s="65" t="s">
        <v>809</v>
      </c>
      <c r="I225" s="385">
        <f>I224-I223</f>
        <v>148</v>
      </c>
      <c r="J225" s="385">
        <f>J224-J223</f>
        <v>89</v>
      </c>
      <c r="K225" s="385">
        <f>K224-K223</f>
        <v>85</v>
      </c>
    </row>
    <row r="227" spans="2:11">
      <c r="H227" s="65" t="s">
        <v>818</v>
      </c>
    </row>
    <row r="230" spans="2:11">
      <c r="C230" s="65" t="s">
        <v>810</v>
      </c>
      <c r="D230" s="65" t="s">
        <v>649</v>
      </c>
      <c r="E230" s="65" t="s">
        <v>812</v>
      </c>
    </row>
    <row r="231" spans="2:11">
      <c r="B231" s="385"/>
      <c r="C231" s="385">
        <f>ABS(SUM(combined!E27:G27,combined!E29:G33,combined!E39:G39))</f>
        <v>365843617.81309921</v>
      </c>
      <c r="D231" s="385">
        <f>combined!Q24</f>
        <v>524614494.31278121</v>
      </c>
      <c r="E231" s="398">
        <f>D231-C231</f>
        <v>158770876.49968201</v>
      </c>
      <c r="H231" s="65" t="s">
        <v>813</v>
      </c>
      <c r="I231" s="65" t="s">
        <v>808</v>
      </c>
      <c r="J231" s="65" t="s">
        <v>809</v>
      </c>
    </row>
    <row r="232" spans="2:11">
      <c r="B232" s="385"/>
      <c r="C232" s="385">
        <f>ABS(SUM(combined!H100:I100,combined!H102:I106,combined!H112:I112))</f>
        <v>197491045.14124036</v>
      </c>
      <c r="D232" s="385">
        <f>combined!Q97</f>
        <v>313872855.76008588</v>
      </c>
      <c r="E232" s="398">
        <f t="shared" ref="E232:E233" si="28">D232-C232</f>
        <v>116381810.61884552</v>
      </c>
      <c r="H232" s="65">
        <f>365</f>
        <v>365</v>
      </c>
      <c r="I232" s="65">
        <v>513</v>
      </c>
      <c r="J232" s="65">
        <f>I232-H232</f>
        <v>148</v>
      </c>
    </row>
    <row r="233" spans="2:11">
      <c r="B233" s="385"/>
      <c r="C233" s="385">
        <f>ABS(SUM(combined!J175:K179,combined!J173:K173,combined!J185:K185))</f>
        <v>193494736.8767238</v>
      </c>
      <c r="D233" s="385">
        <f>SUM(combined!Q170)</f>
        <v>278282994.41172045</v>
      </c>
      <c r="E233" s="398">
        <f t="shared" si="28"/>
        <v>84788257.534996659</v>
      </c>
      <c r="H233" s="65">
        <v>191</v>
      </c>
      <c r="I233" s="65">
        <v>280</v>
      </c>
      <c r="J233" s="65">
        <f t="shared" ref="J233:J234" si="29">I233-H233</f>
        <v>89</v>
      </c>
    </row>
    <row r="234" spans="2:11">
      <c r="C234" s="65" t="s">
        <v>811</v>
      </c>
      <c r="H234" s="65">
        <f>193</f>
        <v>193</v>
      </c>
      <c r="I234" s="65">
        <v>278</v>
      </c>
      <c r="J234" s="65">
        <f t="shared" si="29"/>
        <v>85</v>
      </c>
    </row>
  </sheetData>
  <mergeCells count="2">
    <mergeCell ref="B1:D1"/>
    <mergeCell ref="AE1:AL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E752-614D-48FE-9778-EA0B92A6FF0C}">
  <sheetPr>
    <tabColor rgb="FFFF0000"/>
  </sheetPr>
  <dimension ref="B4:AD93"/>
  <sheetViews>
    <sheetView showGridLines="0" topLeftCell="C50" zoomScale="60" zoomScaleNormal="60" zoomScaleSheetLayoutView="70" workbookViewId="0">
      <selection activeCell="H53" sqref="H53"/>
    </sheetView>
  </sheetViews>
  <sheetFormatPr defaultRowHeight="11.5"/>
  <cols>
    <col min="1" max="1" width="8.7265625" style="414"/>
    <col min="2" max="2" width="22.90625" style="414" customWidth="1"/>
    <col min="3" max="8" width="17.453125" style="414" customWidth="1"/>
    <col min="9" max="9" width="8.7265625" style="414"/>
    <col min="10" max="10" width="24.1796875" style="414" bestFit="1" customWidth="1"/>
    <col min="11" max="25" width="13.26953125" style="414" customWidth="1"/>
    <col min="26" max="26" width="3.08984375" style="414" customWidth="1"/>
    <col min="27" max="27" width="17.36328125" style="414" customWidth="1"/>
    <col min="28" max="28" width="17" style="414" bestFit="1" customWidth="1"/>
    <col min="29" max="29" width="15.81640625" style="414" bestFit="1" customWidth="1"/>
    <col min="30" max="30" width="18.36328125" style="414" bestFit="1" customWidth="1"/>
    <col min="31" max="31" width="8.7265625" style="414"/>
    <col min="32" max="32" width="24.6328125" style="414" bestFit="1" customWidth="1"/>
    <col min="33" max="33" width="12.36328125" style="414" customWidth="1"/>
    <col min="34" max="34" width="8.7265625" style="414"/>
    <col min="35" max="35" width="12.26953125" style="414" customWidth="1"/>
    <col min="36" max="16384" width="8.7265625" style="414"/>
  </cols>
  <sheetData>
    <row r="4" spans="2:30" ht="12" thickBot="1">
      <c r="B4" s="412" t="s">
        <v>114</v>
      </c>
      <c r="C4" s="413"/>
      <c r="D4" s="413"/>
      <c r="E4" s="413"/>
      <c r="F4" s="413"/>
      <c r="G4" s="413"/>
      <c r="H4" s="413"/>
      <c r="U4" s="415"/>
      <c r="V4" s="415"/>
      <c r="Y4" s="416" t="s">
        <v>192</v>
      </c>
    </row>
    <row r="5" spans="2:30" ht="12" thickBot="1">
      <c r="D5" s="417"/>
      <c r="E5" s="417"/>
      <c r="F5" s="417"/>
      <c r="G5" s="417"/>
      <c r="H5" s="417"/>
      <c r="K5" s="418" t="s">
        <v>151</v>
      </c>
      <c r="L5" s="419"/>
      <c r="M5" s="419"/>
      <c r="N5" s="420" t="s">
        <v>150</v>
      </c>
      <c r="O5" s="421"/>
      <c r="P5" s="422"/>
      <c r="Q5" s="423" t="s">
        <v>161</v>
      </c>
      <c r="R5" s="423"/>
      <c r="S5" s="419"/>
      <c r="T5" s="418"/>
      <c r="U5" s="418" t="s">
        <v>174</v>
      </c>
      <c r="V5" s="424"/>
      <c r="W5" s="418" t="s">
        <v>422</v>
      </c>
      <c r="X5" s="425"/>
      <c r="Y5" s="426"/>
      <c r="Z5" s="427"/>
      <c r="AA5" s="904" t="s">
        <v>407</v>
      </c>
      <c r="AB5" s="904"/>
      <c r="AC5" s="904"/>
      <c r="AD5" s="904"/>
    </row>
    <row r="6" spans="2:30" s="428" customFormat="1" ht="23">
      <c r="C6" s="429" t="s">
        <v>91</v>
      </c>
      <c r="D6" s="429" t="s">
        <v>829</v>
      </c>
      <c r="E6" s="429" t="s">
        <v>92</v>
      </c>
      <c r="J6" s="430" t="s">
        <v>116</v>
      </c>
      <c r="K6" s="431" t="s">
        <v>152</v>
      </c>
      <c r="L6" s="432" t="s">
        <v>154</v>
      </c>
      <c r="M6" s="432" t="s">
        <v>153</v>
      </c>
      <c r="N6" s="431" t="s">
        <v>183</v>
      </c>
      <c r="O6" s="432" t="s">
        <v>193</v>
      </c>
      <c r="P6" s="433" t="s">
        <v>216</v>
      </c>
      <c r="Q6" s="434" t="s">
        <v>168</v>
      </c>
      <c r="R6" s="434" t="s">
        <v>688</v>
      </c>
      <c r="S6" s="435" t="s">
        <v>184</v>
      </c>
      <c r="T6" s="436" t="s">
        <v>190</v>
      </c>
      <c r="U6" s="436" t="s">
        <v>188</v>
      </c>
      <c r="V6" s="435" t="s">
        <v>189</v>
      </c>
      <c r="W6" s="436" t="s">
        <v>158</v>
      </c>
      <c r="X6" s="434" t="s">
        <v>159</v>
      </c>
      <c r="Y6" s="435" t="s">
        <v>170</v>
      </c>
      <c r="Z6" s="437"/>
      <c r="AA6" s="438" t="s">
        <v>328</v>
      </c>
      <c r="AB6" s="439" t="s">
        <v>404</v>
      </c>
      <c r="AC6" s="439" t="s">
        <v>405</v>
      </c>
      <c r="AD6" s="440" t="s">
        <v>406</v>
      </c>
    </row>
    <row r="7" spans="2:30">
      <c r="B7" s="441" t="s">
        <v>207</v>
      </c>
      <c r="C7" s="441" t="s">
        <v>94</v>
      </c>
      <c r="D7" s="441" t="s">
        <v>94</v>
      </c>
      <c r="E7" s="441" t="s">
        <v>94</v>
      </c>
      <c r="J7" s="442" t="s">
        <v>164</v>
      </c>
      <c r="K7" s="443">
        <v>2</v>
      </c>
      <c r="L7" s="444">
        <f t="shared" ref="L7:L12" si="0">(1-M7)/K7</f>
        <v>0.47499999999999998</v>
      </c>
      <c r="M7" s="445">
        <v>0.05</v>
      </c>
      <c r="N7" s="446" t="s">
        <v>101</v>
      </c>
      <c r="O7" s="447">
        <v>6</v>
      </c>
      <c r="P7" s="448"/>
      <c r="Q7" s="449">
        <v>0.25</v>
      </c>
      <c r="R7" s="449"/>
      <c r="S7" s="450">
        <v>2.5000000000000001E-2</v>
      </c>
      <c r="T7" s="451">
        <v>0.1</v>
      </c>
      <c r="U7" s="452">
        <v>7.0000000000000007E-2</v>
      </c>
      <c r="V7" s="453">
        <v>6.25E-2</v>
      </c>
      <c r="W7" s="454">
        <v>100</v>
      </c>
      <c r="X7" s="455">
        <v>100</v>
      </c>
      <c r="Y7" s="456">
        <v>135</v>
      </c>
      <c r="Z7" s="457"/>
      <c r="AA7" s="458">
        <f>INDEX(summary!$A$2:$AD$24,MATCH('cockpit (3)'!$J7,summary!$A$2:$A$24,0),MATCH('cockpit (3)'!AA$6,summary!$A$2:$AD$2,0))</f>
        <v>0.21837664899234419</v>
      </c>
      <c r="AB7" s="459">
        <f t="shared" ref="AB7:AB15" si="1">AA7*totalsf</f>
        <v>1046050.0763799998</v>
      </c>
      <c r="AC7" s="460">
        <f t="shared" ref="AC7:AC15" si="2">AB7/$AB$17</f>
        <v>0.22427943920248417</v>
      </c>
      <c r="AD7" s="461">
        <f t="shared" ref="AD7:AD15" si="3">V7*AC7</f>
        <v>1.401746495015526E-2</v>
      </c>
    </row>
    <row r="8" spans="2:30">
      <c r="B8" s="462">
        <v>0</v>
      </c>
      <c r="C8" s="463">
        <v>450</v>
      </c>
      <c r="D8" s="463" t="s">
        <v>211</v>
      </c>
      <c r="E8" s="463">
        <v>450</v>
      </c>
      <c r="J8" s="442" t="s">
        <v>140</v>
      </c>
      <c r="K8" s="443">
        <v>1</v>
      </c>
      <c r="L8" s="444">
        <f t="shared" si="0"/>
        <v>0.98</v>
      </c>
      <c r="M8" s="445">
        <v>0.02</v>
      </c>
      <c r="N8" s="446" t="s">
        <v>101</v>
      </c>
      <c r="O8" s="447">
        <v>6</v>
      </c>
      <c r="P8" s="448"/>
      <c r="Q8" s="449">
        <v>0.05</v>
      </c>
      <c r="R8" s="449"/>
      <c r="S8" s="450">
        <v>0</v>
      </c>
      <c r="T8" s="451">
        <v>0.1</v>
      </c>
      <c r="U8" s="452">
        <v>7.0000000000000007E-2</v>
      </c>
      <c r="V8" s="453">
        <v>6.5000000000000002E-2</v>
      </c>
      <c r="W8" s="454">
        <v>100</v>
      </c>
      <c r="X8" s="455">
        <v>100</v>
      </c>
      <c r="Y8" s="456">
        <v>135</v>
      </c>
      <c r="Z8" s="457"/>
      <c r="AA8" s="458">
        <f>INDEX(summary!$A$2:$AD$24,MATCH('cockpit (3)'!$J8,summary!$A$2:$A$24,0),MATCH('cockpit (3)'!AA$6,summary!$A$2:$AD$2,0))</f>
        <v>6.4240902159218224E-2</v>
      </c>
      <c r="AB8" s="459">
        <f t="shared" si="1"/>
        <v>307721.54862000002</v>
      </c>
      <c r="AC8" s="460">
        <f t="shared" si="2"/>
        <v>6.597735415674516E-2</v>
      </c>
      <c r="AD8" s="461">
        <f t="shared" si="3"/>
        <v>4.2885280201884358E-3</v>
      </c>
    </row>
    <row r="9" spans="2:30">
      <c r="B9" s="462">
        <v>1</v>
      </c>
      <c r="C9" s="463">
        <v>650</v>
      </c>
      <c r="D9" s="463" t="s">
        <v>211</v>
      </c>
      <c r="E9" s="463">
        <v>650</v>
      </c>
      <c r="J9" s="442" t="s">
        <v>156</v>
      </c>
      <c r="K9" s="443">
        <v>2</v>
      </c>
      <c r="L9" s="444">
        <f t="shared" si="0"/>
        <v>0.5</v>
      </c>
      <c r="M9" s="445">
        <v>0</v>
      </c>
      <c r="N9" s="464"/>
      <c r="P9" s="465"/>
      <c r="Q9" s="449">
        <v>0</v>
      </c>
      <c r="R9" s="449"/>
      <c r="S9" s="450">
        <v>0</v>
      </c>
      <c r="T9" s="451">
        <v>0.1</v>
      </c>
      <c r="U9" s="452">
        <v>0</v>
      </c>
      <c r="V9" s="453">
        <v>6.25E-2</v>
      </c>
      <c r="W9" s="454">
        <v>100</v>
      </c>
      <c r="X9" s="455">
        <v>100</v>
      </c>
      <c r="Y9" s="456">
        <v>165</v>
      </c>
      <c r="Z9" s="457"/>
      <c r="AA9" s="458">
        <f>INDEX(summary!$A$2:$AD$24,MATCH('cockpit (3)'!$J9,summary!$A$2:$A$24,0),MATCH('cockpit (3)'!AA$6,summary!$A$2:$AD$2,0))</f>
        <v>0.1288926101400048</v>
      </c>
      <c r="AB9" s="459">
        <f t="shared" si="1"/>
        <v>617410.90590000013</v>
      </c>
      <c r="AC9" s="460">
        <f t="shared" si="2"/>
        <v>0.13237661834694678</v>
      </c>
      <c r="AD9" s="461">
        <f t="shared" si="3"/>
        <v>8.2735386466841736E-3</v>
      </c>
    </row>
    <row r="10" spans="2:30">
      <c r="B10" s="462">
        <v>2</v>
      </c>
      <c r="C10" s="463">
        <v>1000</v>
      </c>
      <c r="D10" s="463">
        <v>1000</v>
      </c>
      <c r="E10" s="463">
        <v>1000</v>
      </c>
      <c r="J10" s="442" t="s">
        <v>109</v>
      </c>
      <c r="K10" s="443">
        <v>3</v>
      </c>
      <c r="L10" s="444">
        <f>(1-M10)/K10</f>
        <v>0.3</v>
      </c>
      <c r="M10" s="445">
        <v>0.1</v>
      </c>
      <c r="N10" s="446" t="s">
        <v>101</v>
      </c>
      <c r="O10" s="447">
        <v>10</v>
      </c>
      <c r="P10" s="466" t="s">
        <v>223</v>
      </c>
      <c r="Q10" s="449">
        <v>0.05</v>
      </c>
      <c r="R10" s="449">
        <v>50</v>
      </c>
      <c r="S10" s="450">
        <v>1</v>
      </c>
      <c r="T10" s="451">
        <v>0</v>
      </c>
      <c r="U10" s="452">
        <v>7.0000000000000007E-2</v>
      </c>
      <c r="V10" s="453">
        <v>7.4999999999999997E-2</v>
      </c>
      <c r="W10" s="454">
        <v>100</v>
      </c>
      <c r="X10" s="455">
        <v>100</v>
      </c>
      <c r="Y10" s="456">
        <v>135</v>
      </c>
      <c r="Z10" s="457"/>
      <c r="AA10" s="458">
        <f>INDEX(summary!$A$2:$AD$24,MATCH('cockpit (3)'!$J10,summary!$A$2:$A$24,0),MATCH('cockpit (3)'!AA$6,summary!$A$2:$AD$2,0))</f>
        <v>0.27536453644808828</v>
      </c>
      <c r="AB10" s="459">
        <f t="shared" si="1"/>
        <v>1319028.8234250001</v>
      </c>
      <c r="AC10" s="460">
        <f t="shared" si="2"/>
        <v>0.28280772736371818</v>
      </c>
      <c r="AD10" s="461">
        <f t="shared" si="3"/>
        <v>2.1210579552278862E-2</v>
      </c>
    </row>
    <row r="11" spans="2:30">
      <c r="B11" s="462">
        <v>3</v>
      </c>
      <c r="C11" s="463">
        <v>1200</v>
      </c>
      <c r="D11" s="463">
        <v>1200</v>
      </c>
      <c r="E11" s="463">
        <v>1200</v>
      </c>
      <c r="J11" s="442" t="s">
        <v>141</v>
      </c>
      <c r="K11" s="443">
        <v>2</v>
      </c>
      <c r="L11" s="444">
        <f t="shared" si="0"/>
        <v>0.47499999999999998</v>
      </c>
      <c r="M11" s="445">
        <v>0.05</v>
      </c>
      <c r="N11" s="446" t="s">
        <v>101</v>
      </c>
      <c r="O11" s="447">
        <v>11</v>
      </c>
      <c r="P11" s="466" t="s">
        <v>223</v>
      </c>
      <c r="Q11" s="449">
        <v>0.05</v>
      </c>
      <c r="R11" s="449">
        <v>60</v>
      </c>
      <c r="S11" s="450">
        <v>1</v>
      </c>
      <c r="T11" s="451">
        <v>0</v>
      </c>
      <c r="U11" s="452">
        <v>7.0000000000000007E-2</v>
      </c>
      <c r="V11" s="453">
        <v>7.4999999999999997E-2</v>
      </c>
      <c r="W11" s="454">
        <v>100</v>
      </c>
      <c r="X11" s="455">
        <v>100</v>
      </c>
      <c r="Y11" s="456">
        <v>135</v>
      </c>
      <c r="Z11" s="457"/>
      <c r="AA11" s="458">
        <f>INDEX(summary!$A$2:$AD$24,MATCH('cockpit (3)'!$J11,summary!$A$2:$A$24,0),MATCH('cockpit (3)'!AA$6,summary!$A$2:$AD$2,0))</f>
        <v>5.4679551066842913E-2</v>
      </c>
      <c r="AB11" s="459">
        <f t="shared" si="1"/>
        <v>261921.54167500001</v>
      </c>
      <c r="AC11" s="460">
        <f t="shared" si="2"/>
        <v>5.6157556706280698E-2</v>
      </c>
      <c r="AD11" s="461">
        <f t="shared" si="3"/>
        <v>4.211816752971052E-3</v>
      </c>
    </row>
    <row r="12" spans="2:30">
      <c r="B12" s="462"/>
      <c r="C12" s="441" t="s">
        <v>106</v>
      </c>
      <c r="D12" s="441" t="s">
        <v>106</v>
      </c>
      <c r="E12" s="441" t="s">
        <v>106</v>
      </c>
      <c r="J12" s="442" t="s">
        <v>144</v>
      </c>
      <c r="K12" s="443">
        <v>1</v>
      </c>
      <c r="L12" s="444">
        <f t="shared" si="0"/>
        <v>0.65</v>
      </c>
      <c r="M12" s="445">
        <v>0.35</v>
      </c>
      <c r="N12" s="446" t="s">
        <v>124</v>
      </c>
      <c r="O12" s="445">
        <v>0.35</v>
      </c>
      <c r="P12" s="467"/>
      <c r="Q12" s="449">
        <v>0.05</v>
      </c>
      <c r="R12" s="449"/>
      <c r="S12" s="450">
        <v>0</v>
      </c>
      <c r="T12" s="451">
        <v>0.25</v>
      </c>
      <c r="U12" s="452">
        <v>7.0000000000000007E-2</v>
      </c>
      <c r="V12" s="453">
        <v>0.08</v>
      </c>
      <c r="W12" s="454">
        <v>100</v>
      </c>
      <c r="X12" s="455">
        <v>100</v>
      </c>
      <c r="Y12" s="456">
        <v>225</v>
      </c>
      <c r="Z12" s="457"/>
      <c r="AA12" s="458">
        <f>INDEX(summary!$A$2:$AD$24,MATCH('cockpit (3)'!$J12,summary!$A$2:$A$24,0),MATCH('cockpit (3)'!AA$6,summary!$A$2:$AD$2,0))</f>
        <v>7.0646817860703176E-2</v>
      </c>
      <c r="AB12" s="459">
        <f t="shared" si="1"/>
        <v>338406.64540000004</v>
      </c>
      <c r="AC12" s="460">
        <f t="shared" si="2"/>
        <v>7.2556423795082731E-2</v>
      </c>
      <c r="AD12" s="461">
        <f t="shared" si="3"/>
        <v>5.8045139036066182E-3</v>
      </c>
    </row>
    <row r="13" spans="2:30">
      <c r="B13" s="462">
        <v>0</v>
      </c>
      <c r="C13" s="463">
        <v>1000</v>
      </c>
      <c r="D13" s="463"/>
      <c r="E13" s="463">
        <v>1000</v>
      </c>
      <c r="J13" s="442" t="s">
        <v>146</v>
      </c>
      <c r="K13" s="464"/>
      <c r="L13" s="444"/>
      <c r="M13" s="445"/>
      <c r="N13" s="446" t="s">
        <v>124</v>
      </c>
      <c r="O13" s="468">
        <v>0.05</v>
      </c>
      <c r="P13" s="469"/>
      <c r="Q13" s="449">
        <v>0.05</v>
      </c>
      <c r="R13" s="449"/>
      <c r="S13" s="450">
        <v>0</v>
      </c>
      <c r="T13" s="451">
        <v>0</v>
      </c>
      <c r="U13" s="452">
        <v>7.0000000000000007E-2</v>
      </c>
      <c r="V13" s="453">
        <v>0.08</v>
      </c>
      <c r="W13" s="454">
        <v>100</v>
      </c>
      <c r="X13" s="455">
        <v>100</v>
      </c>
      <c r="Y13" s="456"/>
      <c r="Z13" s="457"/>
      <c r="AA13" s="458"/>
      <c r="AB13" s="459">
        <f t="shared" si="1"/>
        <v>0</v>
      </c>
      <c r="AC13" s="460">
        <f t="shared" si="2"/>
        <v>0</v>
      </c>
      <c r="AD13" s="461">
        <f t="shared" si="3"/>
        <v>0</v>
      </c>
    </row>
    <row r="14" spans="2:30">
      <c r="B14" s="462">
        <v>1</v>
      </c>
      <c r="C14" s="463">
        <v>1250</v>
      </c>
      <c r="D14" s="463"/>
      <c r="E14" s="463">
        <v>1500</v>
      </c>
      <c r="J14" s="442" t="s">
        <v>147</v>
      </c>
      <c r="K14" s="464"/>
      <c r="L14" s="444"/>
      <c r="M14" s="445"/>
      <c r="N14" s="446" t="s">
        <v>124</v>
      </c>
      <c r="O14" s="468">
        <v>0.05</v>
      </c>
      <c r="P14" s="469"/>
      <c r="Q14" s="449">
        <v>0.05</v>
      </c>
      <c r="R14" s="449"/>
      <c r="S14" s="450">
        <v>0</v>
      </c>
      <c r="T14" s="451">
        <v>0</v>
      </c>
      <c r="U14" s="452">
        <v>7.0000000000000007E-2</v>
      </c>
      <c r="V14" s="453">
        <v>0.08</v>
      </c>
      <c r="W14" s="454">
        <v>100</v>
      </c>
      <c r="X14" s="455">
        <v>100</v>
      </c>
      <c r="Y14" s="456"/>
      <c r="Z14" s="457"/>
      <c r="AA14" s="458"/>
      <c r="AB14" s="459">
        <f t="shared" si="1"/>
        <v>0</v>
      </c>
      <c r="AC14" s="460">
        <f t="shared" si="2"/>
        <v>0</v>
      </c>
      <c r="AD14" s="461">
        <f t="shared" si="3"/>
        <v>0</v>
      </c>
    </row>
    <row r="15" spans="2:30">
      <c r="B15" s="462">
        <v>2</v>
      </c>
      <c r="C15" s="463">
        <v>2000</v>
      </c>
      <c r="D15" s="470">
        <f>G88</f>
        <v>1393.3333333333333</v>
      </c>
      <c r="E15" s="463">
        <v>2000</v>
      </c>
      <c r="J15" s="442" t="s">
        <v>130</v>
      </c>
      <c r="K15" s="443">
        <v>2</v>
      </c>
      <c r="L15" s="444">
        <f>(1-M15)/K15</f>
        <v>0.47499999999999998</v>
      </c>
      <c r="M15" s="445">
        <v>0.05</v>
      </c>
      <c r="N15" s="446" t="s">
        <v>124</v>
      </c>
      <c r="O15" s="445">
        <v>0.25</v>
      </c>
      <c r="P15" s="467"/>
      <c r="Q15" s="449">
        <v>2.5000000000000001E-2</v>
      </c>
      <c r="R15" s="449"/>
      <c r="S15" s="450">
        <v>0</v>
      </c>
      <c r="T15" s="451">
        <v>0.4</v>
      </c>
      <c r="U15" s="452">
        <v>0.09</v>
      </c>
      <c r="V15" s="453">
        <v>0.09</v>
      </c>
      <c r="W15" s="454">
        <v>100</v>
      </c>
      <c r="X15" s="455">
        <v>100</v>
      </c>
      <c r="Y15" s="456">
        <v>70</v>
      </c>
      <c r="Z15" s="457"/>
      <c r="AA15" s="458">
        <f>INDEX(summary!$A$2:$AD$24,MATCH('cockpit (3)'!$J15,summary!$A$2:$A$24,0),MATCH('cockpit (3)'!AA$6,summary!$A$2:$AD$2,0))</f>
        <v>0.16148002406884726</v>
      </c>
      <c r="AB15" s="459">
        <f t="shared" si="1"/>
        <v>773508.48770000006</v>
      </c>
      <c r="AC15" s="460">
        <f t="shared" si="2"/>
        <v>0.16584488042874213</v>
      </c>
      <c r="AD15" s="461">
        <f t="shared" si="3"/>
        <v>1.4926039238586791E-2</v>
      </c>
    </row>
    <row r="16" spans="2:30" ht="12" thickBot="1">
      <c r="B16" s="462">
        <v>3</v>
      </c>
      <c r="C16" s="463">
        <v>2250</v>
      </c>
      <c r="D16" s="470">
        <f>G89</f>
        <v>1566.6666666666667</v>
      </c>
      <c r="E16" s="463">
        <v>2000</v>
      </c>
      <c r="J16" s="471" t="s">
        <v>283</v>
      </c>
      <c r="K16" s="472"/>
      <c r="L16" s="473"/>
      <c r="M16" s="473"/>
      <c r="N16" s="474" t="s">
        <v>124</v>
      </c>
      <c r="O16" s="475"/>
      <c r="P16" s="476"/>
      <c r="Q16" s="477">
        <v>0.1</v>
      </c>
      <c r="R16" s="477"/>
      <c r="S16" s="478">
        <v>0</v>
      </c>
      <c r="T16" s="479">
        <v>0</v>
      </c>
      <c r="U16" s="480">
        <v>0</v>
      </c>
      <c r="V16" s="481">
        <v>0</v>
      </c>
      <c r="W16" s="482">
        <v>100</v>
      </c>
      <c r="X16" s="483">
        <v>100</v>
      </c>
      <c r="Y16" s="484">
        <v>225</v>
      </c>
      <c r="Z16" s="457"/>
      <c r="AA16" s="485"/>
      <c r="AB16" s="473"/>
      <c r="AC16" s="473"/>
      <c r="AD16" s="486"/>
    </row>
    <row r="17" spans="2:30">
      <c r="C17" s="441" t="s">
        <v>95</v>
      </c>
      <c r="D17" s="441" t="s">
        <v>95</v>
      </c>
      <c r="E17" s="441" t="s">
        <v>95</v>
      </c>
      <c r="W17" s="487" t="s">
        <v>423</v>
      </c>
      <c r="AB17" s="488">
        <f>SUM(AB7:AB16)</f>
        <v>4664048.0291000009</v>
      </c>
      <c r="AD17" s="489">
        <f>SUM(AD7:AD16)</f>
        <v>7.2732481064471194E-2</v>
      </c>
    </row>
    <row r="18" spans="2:30">
      <c r="B18" s="462">
        <v>0</v>
      </c>
      <c r="C18" s="445">
        <v>0.4</v>
      </c>
      <c r="D18" s="445">
        <v>0</v>
      </c>
      <c r="E18" s="445">
        <v>0.15</v>
      </c>
    </row>
    <row r="19" spans="2:30">
      <c r="B19" s="462">
        <v>1</v>
      </c>
      <c r="C19" s="445">
        <v>0.35</v>
      </c>
      <c r="D19" s="445">
        <v>0</v>
      </c>
      <c r="E19" s="445">
        <v>0.3</v>
      </c>
    </row>
    <row r="20" spans="2:30">
      <c r="B20" s="462">
        <v>2</v>
      </c>
      <c r="C20" s="445">
        <v>0.2</v>
      </c>
      <c r="D20" s="445">
        <v>0.75</v>
      </c>
      <c r="E20" s="445">
        <v>0.45</v>
      </c>
    </row>
    <row r="21" spans="2:30">
      <c r="B21" s="462">
        <v>3</v>
      </c>
      <c r="C21" s="445">
        <v>0.05</v>
      </c>
      <c r="D21" s="445">
        <v>0.25</v>
      </c>
      <c r="E21" s="445">
        <v>0.1</v>
      </c>
      <c r="J21" s="490" t="s">
        <v>163</v>
      </c>
      <c r="K21" s="491"/>
      <c r="L21" s="491"/>
      <c r="M21" s="491"/>
      <c r="R21" s="490" t="s">
        <v>454</v>
      </c>
      <c r="S21" s="491"/>
      <c r="T21" s="491"/>
      <c r="U21" s="491"/>
    </row>
    <row r="22" spans="2:30">
      <c r="C22" s="492" t="b">
        <f>SUM(C18:C21)=1</f>
        <v>1</v>
      </c>
      <c r="D22" s="492" t="b">
        <f>SUM(D18:D21)=1</f>
        <v>1</v>
      </c>
      <c r="E22" s="492" t="b">
        <f>SUM(E18:E21)=1</f>
        <v>1</v>
      </c>
    </row>
    <row r="23" spans="2:30">
      <c r="J23" s="493" t="s">
        <v>89</v>
      </c>
      <c r="K23" s="493" t="s">
        <v>160</v>
      </c>
      <c r="L23" s="493" t="s">
        <v>402</v>
      </c>
      <c r="M23" s="493" t="s">
        <v>178</v>
      </c>
      <c r="N23" s="493" t="s">
        <v>179</v>
      </c>
      <c r="O23" s="493" t="s">
        <v>403</v>
      </c>
      <c r="R23" s="493" t="s">
        <v>171</v>
      </c>
      <c r="S23" s="493"/>
      <c r="T23" s="493"/>
      <c r="U23" s="493"/>
    </row>
    <row r="24" spans="2:30">
      <c r="B24" s="493" t="s">
        <v>93</v>
      </c>
      <c r="C24" s="493" t="s">
        <v>103</v>
      </c>
      <c r="D24" s="493" t="s">
        <v>104</v>
      </c>
      <c r="E24" s="493" t="s">
        <v>108</v>
      </c>
      <c r="F24" s="494" t="s">
        <v>213</v>
      </c>
      <c r="G24" s="493" t="s">
        <v>214</v>
      </c>
      <c r="H24" s="493" t="s">
        <v>206</v>
      </c>
      <c r="J24" s="415">
        <v>1</v>
      </c>
      <c r="K24" s="495">
        <v>3</v>
      </c>
      <c r="L24" s="495">
        <v>1</v>
      </c>
      <c r="M24" s="414">
        <f>Phase1begin+constructiontimephase1-1</f>
        <v>3</v>
      </c>
      <c r="N24" s="414">
        <f>Phase1end+1</f>
        <v>4</v>
      </c>
      <c r="O24" s="414">
        <f>Phase1open+MAX(K7:K16)-1</f>
        <v>6</v>
      </c>
      <c r="R24" s="414" t="s">
        <v>415</v>
      </c>
      <c r="S24" s="496">
        <v>0.55000000000000004</v>
      </c>
    </row>
    <row r="25" spans="2:30">
      <c r="B25" s="497" t="s">
        <v>164</v>
      </c>
      <c r="C25" s="498">
        <f>SUMPRODUCT($C$8:$C$11,C18:C21)</f>
        <v>667.5</v>
      </c>
      <c r="D25" s="499">
        <f>SUMPRODUCT(C18:C21,C13:C16)</f>
        <v>1350</v>
      </c>
      <c r="E25" s="500">
        <f>D25/C25</f>
        <v>2.0224719101123596</v>
      </c>
      <c r="F25" s="501">
        <f>MarketrateSF/SUM(MarketrateSF,ResidentialCondominiumSF,ResidentialAffordableSF)</f>
        <v>0.53067134067102129</v>
      </c>
      <c r="G25" s="459">
        <f>MarketrateSF*(1-T7)</f>
        <v>941445.06874199992</v>
      </c>
      <c r="H25" s="459">
        <f>G25/C25</f>
        <v>1410.4045973662919</v>
      </c>
      <c r="J25" s="415">
        <v>2</v>
      </c>
      <c r="K25" s="495">
        <v>2</v>
      </c>
      <c r="L25" s="502">
        <f>Phase1open</f>
        <v>4</v>
      </c>
      <c r="M25" s="414">
        <f>Phase2begin+constructiontimephase2-1</f>
        <v>5</v>
      </c>
      <c r="N25" s="414">
        <f>Phase2end+1</f>
        <v>6</v>
      </c>
      <c r="O25" s="414">
        <f>Phase2open+MAX(K7:K16)-1</f>
        <v>8</v>
      </c>
      <c r="R25" s="414" t="s">
        <v>411</v>
      </c>
      <c r="S25" s="496">
        <v>0.05</v>
      </c>
    </row>
    <row r="26" spans="2:30">
      <c r="B26" s="497" t="s">
        <v>140</v>
      </c>
      <c r="C26" s="498">
        <f>SUMPRODUCT($D$8:$D$11,D18:D21)</f>
        <v>1050</v>
      </c>
      <c r="D26" s="499">
        <f>SUMPRODUCT(D18:D21,D13:D16)</f>
        <v>1436.6666666666667</v>
      </c>
      <c r="E26" s="500">
        <f>D26/C26</f>
        <v>1.3682539682539683</v>
      </c>
      <c r="F26" s="501">
        <f>ResidentialAffordableSF/SUM(MarketrateSF,ResidentialCondominiumSF,ResidentialAffordableSF)</f>
        <v>0.15611012364212709</v>
      </c>
      <c r="G26" s="459">
        <f>ResidentialAffordableSF*(1-T8)</f>
        <v>276949.39375800005</v>
      </c>
      <c r="H26" s="459">
        <f>G26/C26</f>
        <v>263.76132738857149</v>
      </c>
      <c r="J26" s="415">
        <v>3</v>
      </c>
      <c r="K26" s="495">
        <v>2</v>
      </c>
      <c r="L26" s="502">
        <f>Phase2open</f>
        <v>6</v>
      </c>
      <c r="M26" s="414">
        <f>Phase3begin+constructiontimephase3-1</f>
        <v>7</v>
      </c>
      <c r="N26" s="414">
        <f>Phase3end+1</f>
        <v>8</v>
      </c>
      <c r="O26" s="414">
        <f>Phase3open+MAX(K7:K16)-1</f>
        <v>10</v>
      </c>
      <c r="R26" s="414" t="s">
        <v>447</v>
      </c>
      <c r="S26" s="496">
        <v>0.02</v>
      </c>
    </row>
    <row r="27" spans="2:30">
      <c r="E27" s="493" t="s">
        <v>107</v>
      </c>
      <c r="F27" s="503"/>
      <c r="G27" s="459"/>
      <c r="H27" s="504"/>
    </row>
    <row r="28" spans="2:30">
      <c r="B28" s="497" t="s">
        <v>92</v>
      </c>
      <c r="C28" s="498">
        <f>SUMPRODUCT($E$8:$E$11,E18:E21)</f>
        <v>832.5</v>
      </c>
      <c r="D28" s="499"/>
      <c r="E28" s="447">
        <v>290</v>
      </c>
      <c r="F28" s="501">
        <f>ResidentialCondominiumSF/SUM(MarketrateSF,ResidentialCondominiumSF,ResidentialAffordableSF)</f>
        <v>0.3132185356868516</v>
      </c>
      <c r="G28" s="459">
        <f>ResidentialCondominiumSF*(1-T9)</f>
        <v>555669.81530999998</v>
      </c>
      <c r="H28" s="459">
        <f>G28/C28</f>
        <v>667.47124962162161</v>
      </c>
      <c r="J28" s="427"/>
      <c r="K28" s="495"/>
      <c r="R28" s="493" t="s">
        <v>172</v>
      </c>
      <c r="S28" s="493"/>
      <c r="T28" s="493"/>
      <c r="U28" s="493"/>
    </row>
    <row r="29" spans="2:30">
      <c r="B29" s="415" t="s">
        <v>212</v>
      </c>
      <c r="C29" s="488">
        <f>SUMPRODUCT(C25:C28,F25:F28)</f>
        <v>778.89318068144405</v>
      </c>
      <c r="E29" s="499">
        <f>Condoaveragesize*CondosalePSF</f>
        <v>241425</v>
      </c>
      <c r="F29" s="505">
        <f>SUM(F25:F28)</f>
        <v>1</v>
      </c>
      <c r="G29" s="506"/>
      <c r="H29" s="498">
        <f>SUM(H25:H28)</f>
        <v>2341.6371743764848</v>
      </c>
      <c r="J29" s="414" t="s">
        <v>157</v>
      </c>
      <c r="K29" s="496">
        <v>0.03</v>
      </c>
      <c r="R29" s="414" t="s">
        <v>416</v>
      </c>
      <c r="S29" s="496">
        <v>0.65</v>
      </c>
    </row>
    <row r="30" spans="2:30">
      <c r="R30" s="414" t="s">
        <v>448</v>
      </c>
      <c r="S30" s="496">
        <v>4.2500000000000003E-2</v>
      </c>
    </row>
    <row r="31" spans="2:30">
      <c r="B31" s="412" t="s">
        <v>113</v>
      </c>
      <c r="C31" s="413"/>
      <c r="D31" s="413"/>
      <c r="E31" s="413"/>
      <c r="F31" s="413"/>
      <c r="G31" s="413"/>
      <c r="H31" s="413"/>
      <c r="R31" s="414" t="s">
        <v>417</v>
      </c>
      <c r="S31" s="463">
        <v>30</v>
      </c>
    </row>
    <row r="32" spans="2:30">
      <c r="J32" s="507" t="s">
        <v>268</v>
      </c>
      <c r="K32" s="491"/>
      <c r="R32" s="414" t="s">
        <v>449</v>
      </c>
      <c r="S32" s="496">
        <v>0.02</v>
      </c>
    </row>
    <row r="33" spans="2:26">
      <c r="B33" s="508" t="s">
        <v>112</v>
      </c>
      <c r="C33" s="508" t="s">
        <v>101</v>
      </c>
      <c r="D33" s="493" t="s">
        <v>118</v>
      </c>
      <c r="J33" s="414" t="s">
        <v>246</v>
      </c>
      <c r="K33" s="447">
        <v>2</v>
      </c>
    </row>
    <row r="34" spans="2:26">
      <c r="B34" s="414" t="s">
        <v>111</v>
      </c>
      <c r="C34" s="447">
        <v>25</v>
      </c>
      <c r="J34" s="414" t="s">
        <v>247</v>
      </c>
      <c r="K34" s="447">
        <v>5</v>
      </c>
      <c r="R34" s="414" t="s">
        <v>524</v>
      </c>
      <c r="S34" s="496">
        <v>0.09</v>
      </c>
      <c r="Y34" s="415"/>
      <c r="Z34" s="415"/>
    </row>
    <row r="35" spans="2:26">
      <c r="B35" s="414" t="s">
        <v>110</v>
      </c>
      <c r="C35" s="447">
        <v>13.8</v>
      </c>
      <c r="J35" s="414" t="s">
        <v>260</v>
      </c>
      <c r="K35" s="447">
        <v>35</v>
      </c>
    </row>
    <row r="37" spans="2:26">
      <c r="B37" s="412" t="s">
        <v>115</v>
      </c>
      <c r="C37" s="413"/>
      <c r="D37" s="413"/>
      <c r="E37" s="413"/>
      <c r="F37" s="413"/>
      <c r="G37" s="413"/>
      <c r="H37" s="413"/>
      <c r="R37" s="509" t="s">
        <v>683</v>
      </c>
      <c r="S37" s="510"/>
      <c r="T37" s="510"/>
      <c r="U37" s="510"/>
    </row>
    <row r="38" spans="2:26">
      <c r="E38" s="905"/>
      <c r="F38" s="905"/>
      <c r="G38" s="905"/>
      <c r="R38" s="414" t="s">
        <v>652</v>
      </c>
      <c r="S38" s="496">
        <v>0.35</v>
      </c>
    </row>
    <row r="39" spans="2:26">
      <c r="B39" s="617" t="s">
        <v>116</v>
      </c>
      <c r="C39" s="617" t="s">
        <v>117</v>
      </c>
      <c r="D39" s="617" t="s">
        <v>118</v>
      </c>
      <c r="E39" s="617" t="s">
        <v>225</v>
      </c>
      <c r="F39" s="617" t="s">
        <v>226</v>
      </c>
      <c r="G39" s="617" t="s">
        <v>227</v>
      </c>
      <c r="J39" s="507" t="s">
        <v>177</v>
      </c>
      <c r="K39" s="507"/>
      <c r="R39" s="414" t="s">
        <v>653</v>
      </c>
      <c r="S39" s="495">
        <v>96.515000000000001</v>
      </c>
    </row>
    <row r="40" spans="2:26">
      <c r="B40" s="414" t="s">
        <v>165</v>
      </c>
      <c r="C40" s="447">
        <v>30</v>
      </c>
      <c r="D40" s="447">
        <v>10</v>
      </c>
      <c r="E40" s="459">
        <f>summary!AC17</f>
        <v>217930.61257500001</v>
      </c>
      <c r="F40" s="460">
        <f>E40/$E$43</f>
        <v>0.91650839683793262</v>
      </c>
      <c r="G40" s="512">
        <f>C40*F40</f>
        <v>27.495251905137977</v>
      </c>
      <c r="J40" s="414" t="s">
        <v>176</v>
      </c>
      <c r="K40" s="513">
        <v>0.02</v>
      </c>
      <c r="R40" s="414" t="s">
        <v>682</v>
      </c>
      <c r="S40" s="513">
        <v>0.25</v>
      </c>
    </row>
    <row r="41" spans="2:26">
      <c r="B41" s="414" t="s">
        <v>142</v>
      </c>
      <c r="C41" s="447">
        <v>27.5</v>
      </c>
      <c r="D41" s="447">
        <v>10</v>
      </c>
      <c r="E41" s="459">
        <f>summary!AC18</f>
        <v>7506.5</v>
      </c>
      <c r="F41" s="460">
        <f>E41/$E$43</f>
        <v>3.1568627278080512E-2</v>
      </c>
      <c r="G41" s="512">
        <f>C41*F41</f>
        <v>0.8681372501472141</v>
      </c>
      <c r="R41" s="414" t="s">
        <v>660</v>
      </c>
      <c r="S41" s="495">
        <v>1.25</v>
      </c>
    </row>
    <row r="42" spans="2:26">
      <c r="B42" s="414" t="s">
        <v>143</v>
      </c>
      <c r="C42" s="447">
        <v>25</v>
      </c>
      <c r="D42" s="447">
        <v>10</v>
      </c>
      <c r="E42" s="459">
        <f>summary!AC19</f>
        <v>12346.429100000001</v>
      </c>
      <c r="F42" s="460">
        <f>E42/$E$43</f>
        <v>5.1922975883986824E-2</v>
      </c>
      <c r="G42" s="512">
        <f>C42*F42</f>
        <v>1.2980743970996707</v>
      </c>
      <c r="J42" s="507" t="s">
        <v>203</v>
      </c>
      <c r="K42" s="507"/>
      <c r="L42" s="507"/>
      <c r="M42" s="507"/>
      <c r="R42" s="414" t="s">
        <v>664</v>
      </c>
      <c r="S42" s="496">
        <v>0.06</v>
      </c>
      <c r="Y42" s="415"/>
      <c r="Z42" s="415"/>
    </row>
    <row r="43" spans="2:26">
      <c r="E43" s="459">
        <f>SUM(E40:E42)</f>
        <v>237783.54167500001</v>
      </c>
      <c r="F43" s="514"/>
      <c r="G43" s="515">
        <f>SUM(G40:G42)</f>
        <v>29.661463552384863</v>
      </c>
      <c r="J43" s="414" t="s">
        <v>202</v>
      </c>
      <c r="K43" s="496">
        <v>0.25</v>
      </c>
      <c r="R43" s="414" t="s">
        <v>665</v>
      </c>
      <c r="S43" s="495">
        <v>30</v>
      </c>
    </row>
    <row r="44" spans="2:26">
      <c r="B44" s="412" t="s">
        <v>119</v>
      </c>
      <c r="C44" s="413"/>
      <c r="D44" s="413"/>
      <c r="E44" s="413"/>
      <c r="F44" s="413"/>
      <c r="G44" s="413"/>
      <c r="H44" s="413"/>
      <c r="J44" s="414" t="s">
        <v>155</v>
      </c>
      <c r="K44" s="496">
        <v>0.1</v>
      </c>
      <c r="N44" s="414" t="s">
        <v>282</v>
      </c>
      <c r="R44" s="414" t="s">
        <v>668</v>
      </c>
      <c r="S44" s="516">
        <v>0.01</v>
      </c>
    </row>
    <row r="45" spans="2:26">
      <c r="J45" s="414" t="s">
        <v>189</v>
      </c>
      <c r="K45" s="496">
        <v>7.4999999999999997E-3</v>
      </c>
    </row>
    <row r="46" spans="2:26">
      <c r="B46" s="493" t="s">
        <v>128</v>
      </c>
      <c r="C46" s="493" t="s">
        <v>121</v>
      </c>
      <c r="D46" s="493"/>
    </row>
    <row r="47" spans="2:26">
      <c r="B47" s="414" t="s">
        <v>225</v>
      </c>
      <c r="C47" s="470">
        <f>summary!AC20</f>
        <v>338406.64540000004</v>
      </c>
      <c r="J47" s="507" t="s">
        <v>185</v>
      </c>
      <c r="K47" s="507"/>
    </row>
    <row r="48" spans="2:26">
      <c r="B48" s="414" t="s">
        <v>191</v>
      </c>
      <c r="C48" s="517">
        <f>T12</f>
        <v>0.25</v>
      </c>
    </row>
    <row r="49" spans="2:26">
      <c r="B49" s="414" t="s">
        <v>228</v>
      </c>
      <c r="C49" s="459">
        <f>C47*(1-C48)</f>
        <v>253804.98405000003</v>
      </c>
      <c r="J49" s="414" t="s">
        <v>217</v>
      </c>
      <c r="K49" s="495">
        <v>10</v>
      </c>
    </row>
    <row r="50" spans="2:26">
      <c r="B50" s="414" t="s">
        <v>215</v>
      </c>
      <c r="C50" s="463">
        <v>325</v>
      </c>
      <c r="J50" s="414" t="s">
        <v>186</v>
      </c>
      <c r="K50" s="495">
        <v>10</v>
      </c>
    </row>
    <row r="51" spans="2:26">
      <c r="B51" s="414" t="s">
        <v>229</v>
      </c>
      <c r="C51" s="459">
        <f>C49/C50</f>
        <v>780.93841246153852</v>
      </c>
      <c r="J51" s="414" t="s">
        <v>187</v>
      </c>
      <c r="K51" s="496">
        <v>2.5000000000000001E-2</v>
      </c>
    </row>
    <row r="52" spans="2:26">
      <c r="B52" s="414" t="s">
        <v>120</v>
      </c>
      <c r="C52" s="447">
        <v>135</v>
      </c>
      <c r="J52" s="414" t="s">
        <v>264</v>
      </c>
      <c r="K52" s="496">
        <v>0.05</v>
      </c>
    </row>
    <row r="53" spans="2:26">
      <c r="B53" s="414" t="s">
        <v>230</v>
      </c>
      <c r="C53" s="447"/>
      <c r="J53" s="414" t="s">
        <v>218</v>
      </c>
      <c r="K53" s="496">
        <v>0.05</v>
      </c>
    </row>
    <row r="54" spans="2:26">
      <c r="D54" s="447"/>
    </row>
    <row r="55" spans="2:26">
      <c r="B55" s="493" t="s">
        <v>122</v>
      </c>
      <c r="C55" s="493" t="s">
        <v>127</v>
      </c>
      <c r="D55" s="493" t="s">
        <v>129</v>
      </c>
    </row>
    <row r="56" spans="2:26">
      <c r="B56" s="414" t="s">
        <v>125</v>
      </c>
      <c r="C56" s="445">
        <v>0.1</v>
      </c>
      <c r="D56" s="445">
        <v>0.1</v>
      </c>
    </row>
    <row r="57" spans="2:26">
      <c r="B57" s="414" t="s">
        <v>126</v>
      </c>
      <c r="C57" s="445">
        <v>0.05</v>
      </c>
      <c r="D57" s="445">
        <v>0.1</v>
      </c>
    </row>
    <row r="58" spans="2:26">
      <c r="O58" s="415"/>
      <c r="P58" s="415"/>
      <c r="Q58" s="415"/>
      <c r="R58" s="415"/>
      <c r="S58" s="415"/>
      <c r="T58" s="415"/>
      <c r="U58" s="415"/>
      <c r="V58" s="415"/>
      <c r="Y58" s="415"/>
      <c r="Z58" s="415"/>
    </row>
    <row r="59" spans="2:26">
      <c r="B59" s="412" t="s">
        <v>131</v>
      </c>
      <c r="C59" s="413"/>
      <c r="D59" s="413"/>
      <c r="E59" s="413"/>
      <c r="F59" s="413"/>
      <c r="G59" s="413"/>
      <c r="H59" s="413"/>
      <c r="J59" s="507" t="s">
        <v>131</v>
      </c>
      <c r="K59" s="507"/>
      <c r="L59" s="507"/>
      <c r="M59" s="507"/>
      <c r="N59" s="507"/>
      <c r="O59" s="507"/>
    </row>
    <row r="60" spans="2:26">
      <c r="M60" s="906" t="s">
        <v>89</v>
      </c>
      <c r="N60" s="906"/>
      <c r="O60" s="906"/>
    </row>
    <row r="61" spans="2:26">
      <c r="B61" s="493" t="s">
        <v>397</v>
      </c>
      <c r="C61" s="493" t="s">
        <v>396</v>
      </c>
      <c r="D61" s="493" t="s">
        <v>398</v>
      </c>
      <c r="E61" s="493" t="s">
        <v>132</v>
      </c>
      <c r="F61" s="493" t="s">
        <v>133</v>
      </c>
      <c r="G61" s="493" t="s">
        <v>134</v>
      </c>
      <c r="H61" s="493" t="s">
        <v>135</v>
      </c>
      <c r="J61" s="518" t="s">
        <v>93</v>
      </c>
      <c r="K61" s="518" t="s">
        <v>208</v>
      </c>
      <c r="L61" s="518" t="s">
        <v>209</v>
      </c>
      <c r="M61" s="518">
        <v>1</v>
      </c>
      <c r="N61" s="518">
        <v>2</v>
      </c>
      <c r="O61" s="518">
        <v>3</v>
      </c>
      <c r="Q61" s="519" t="s">
        <v>558</v>
      </c>
      <c r="R61" s="519"/>
      <c r="S61" s="414" t="s">
        <v>559</v>
      </c>
    </row>
    <row r="62" spans="2:26">
      <c r="B62" s="445">
        <v>0.6</v>
      </c>
      <c r="C62" s="495">
        <v>200</v>
      </c>
      <c r="D62" s="520">
        <f>1-M15</f>
        <v>0.95</v>
      </c>
      <c r="E62" s="455">
        <v>15</v>
      </c>
      <c r="F62" s="445">
        <v>0.4</v>
      </c>
      <c r="G62" s="455">
        <f>8*30</f>
        <v>240</v>
      </c>
      <c r="H62" s="445">
        <v>0.6</v>
      </c>
      <c r="J62" s="415" t="s">
        <v>105</v>
      </c>
      <c r="K62" s="521">
        <v>0.75</v>
      </c>
      <c r="L62" s="521" t="s">
        <v>210</v>
      </c>
      <c r="M62" s="522">
        <f>SUM('Summary Board'!H60:H62)*$K62</f>
        <v>474.43726842219422</v>
      </c>
      <c r="N62" s="522">
        <f>(SUM('Summary Board'!J60:J62)-M62)*$K62</f>
        <v>880.05522069232438</v>
      </c>
      <c r="O62" s="522">
        <f>(SUM('Summary Board'!L60:L62)-M62-N62)*$K62</f>
        <v>740.35851394647466</v>
      </c>
      <c r="Q62" s="414" t="s">
        <v>715</v>
      </c>
      <c r="R62" s="523"/>
    </row>
    <row r="63" spans="2:26">
      <c r="C63" s="495"/>
      <c r="D63" s="455"/>
      <c r="E63" s="445"/>
      <c r="F63" s="455"/>
      <c r="G63" s="445"/>
      <c r="J63" s="415" t="s">
        <v>109</v>
      </c>
      <c r="K63" s="521">
        <v>1.5</v>
      </c>
      <c r="L63" s="521">
        <v>1000</v>
      </c>
      <c r="M63" s="459">
        <f>(summary!B15/$L63)*$K63</f>
        <v>1153.28775</v>
      </c>
      <c r="N63" s="459">
        <f>(summary!C15/$L63)*$K63</f>
        <v>58.185749999999999</v>
      </c>
      <c r="O63" s="459">
        <f>(summary!D15/$L63)*$K63</f>
        <v>767.06973513750006</v>
      </c>
    </row>
    <row r="64" spans="2:26">
      <c r="C64" s="495"/>
      <c r="D64" s="455"/>
      <c r="E64" s="524"/>
      <c r="F64" s="525" t="s">
        <v>400</v>
      </c>
      <c r="G64" s="455">
        <f>((E62*30)*F62)+(G62*H62)</f>
        <v>324</v>
      </c>
      <c r="H64" s="445"/>
      <c r="J64" s="415" t="s">
        <v>144</v>
      </c>
      <c r="K64" s="521">
        <v>0.75</v>
      </c>
      <c r="L64" s="521" t="s">
        <v>210</v>
      </c>
      <c r="M64" s="459">
        <f>hotel!O11*$K64</f>
        <v>223.29090761538458</v>
      </c>
      <c r="N64" s="459">
        <f>hotel!O39*$K64</f>
        <v>362.41290173076925</v>
      </c>
      <c r="O64" s="459">
        <f>hotel!O67*$K64</f>
        <v>0</v>
      </c>
      <c r="Q64" s="414" t="s">
        <v>721</v>
      </c>
      <c r="R64" s="414" t="s">
        <v>105</v>
      </c>
      <c r="S64" s="414" t="s">
        <v>722</v>
      </c>
    </row>
    <row r="65" spans="2:20">
      <c r="C65" s="495"/>
      <c r="D65" s="455"/>
      <c r="E65" s="445"/>
      <c r="F65" s="455"/>
      <c r="G65" s="455"/>
      <c r="H65" s="445"/>
      <c r="J65" s="415" t="s">
        <v>141</v>
      </c>
      <c r="K65" s="521">
        <v>0.75</v>
      </c>
      <c r="L65" s="521">
        <v>500</v>
      </c>
      <c r="M65" s="459">
        <f>(summary!B16/$L65)*$K65</f>
        <v>228.66081555</v>
      </c>
      <c r="N65" s="459">
        <f>(summary!C16/$L65)*$K65</f>
        <v>141.02728260000001</v>
      </c>
      <c r="O65" s="459">
        <f>(summary!D16/$L65)*$K65</f>
        <v>23.194214362499999</v>
      </c>
      <c r="Q65" s="414" t="s">
        <v>144</v>
      </c>
      <c r="R65" s="414" t="s">
        <v>716</v>
      </c>
      <c r="S65" s="414" t="s">
        <v>722</v>
      </c>
    </row>
    <row r="66" spans="2:20">
      <c r="J66" s="415" t="s">
        <v>717</v>
      </c>
      <c r="K66" s="521">
        <v>0.75</v>
      </c>
      <c r="L66" s="521">
        <v>500</v>
      </c>
      <c r="M66" s="526">
        <f>(summary!B22/$L66)*$K66</f>
        <v>189.10605029999999</v>
      </c>
      <c r="N66" s="526">
        <f>(summary!C22/$L66)*$K66</f>
        <v>0</v>
      </c>
      <c r="O66" s="526">
        <f>(summary!D22/$L66)*$K66</f>
        <v>0</v>
      </c>
      <c r="Q66" s="414" t="s">
        <v>109</v>
      </c>
    </row>
    <row r="67" spans="2:20">
      <c r="B67" s="412" t="s">
        <v>145</v>
      </c>
      <c r="C67" s="413"/>
      <c r="D67" s="413"/>
      <c r="E67" s="413"/>
      <c r="F67" s="413"/>
      <c r="G67" s="413"/>
      <c r="H67" s="413"/>
      <c r="M67" s="498">
        <f>SUM(M62:M66)</f>
        <v>2268.7827918875787</v>
      </c>
      <c r="N67" s="498">
        <f>SUM(N62:N66)</f>
        <v>1441.6811550230937</v>
      </c>
      <c r="O67" s="498">
        <f>SUM(O62:O66)</f>
        <v>1530.6224634464745</v>
      </c>
      <c r="Q67" s="414" t="s">
        <v>717</v>
      </c>
      <c r="R67" s="414" t="s">
        <v>718</v>
      </c>
      <c r="S67" s="414" t="s">
        <v>719</v>
      </c>
    </row>
    <row r="68" spans="2:20">
      <c r="N68" s="462" t="s">
        <v>545</v>
      </c>
      <c r="O68" s="488">
        <f>SUM(M67:O67)</f>
        <v>5241.0864103571466</v>
      </c>
      <c r="Q68" s="414" t="s">
        <v>141</v>
      </c>
      <c r="R68" s="414" t="s">
        <v>141</v>
      </c>
      <c r="S68" s="414" t="s">
        <v>720</v>
      </c>
    </row>
    <row r="69" spans="2:20">
      <c r="B69" s="493" t="s">
        <v>136</v>
      </c>
      <c r="C69" s="527"/>
      <c r="E69" s="493" t="s">
        <v>285</v>
      </c>
      <c r="F69" s="493" t="s">
        <v>287</v>
      </c>
      <c r="N69" s="414" t="s">
        <v>546</v>
      </c>
      <c r="O69" s="459">
        <f>'Summary Board'!N66</f>
        <v>2320.5254631000003</v>
      </c>
    </row>
    <row r="70" spans="2:20">
      <c r="B70" s="414" t="s">
        <v>137</v>
      </c>
      <c r="C70" s="463">
        <v>300</v>
      </c>
      <c r="E70" s="414" t="s">
        <v>286</v>
      </c>
      <c r="F70" s="463">
        <v>1000</v>
      </c>
      <c r="Q70" s="519" t="s">
        <v>730</v>
      </c>
    </row>
    <row r="71" spans="2:20">
      <c r="B71" s="414" t="s">
        <v>138</v>
      </c>
      <c r="C71" s="528">
        <f>C70*365</f>
        <v>109500</v>
      </c>
    </row>
    <row r="72" spans="2:20">
      <c r="E72" s="414" t="s">
        <v>291</v>
      </c>
      <c r="F72" s="495">
        <v>5</v>
      </c>
      <c r="Q72" s="519" t="s">
        <v>731</v>
      </c>
      <c r="R72" s="519"/>
      <c r="S72" s="519"/>
      <c r="T72" s="519"/>
    </row>
    <row r="73" spans="2:20">
      <c r="B73" s="493" t="s">
        <v>139</v>
      </c>
      <c r="C73" s="527"/>
      <c r="E73" s="414" t="s">
        <v>292</v>
      </c>
      <c r="F73" s="495">
        <v>8</v>
      </c>
      <c r="Q73" s="529" t="s">
        <v>738</v>
      </c>
      <c r="R73" s="519"/>
      <c r="S73" s="519"/>
      <c r="T73" s="519"/>
    </row>
    <row r="74" spans="2:20">
      <c r="B74" s="414" t="s">
        <v>137</v>
      </c>
      <c r="C74" s="463">
        <v>300</v>
      </c>
      <c r="E74" s="414" t="s">
        <v>293</v>
      </c>
      <c r="F74" s="455">
        <v>15</v>
      </c>
    </row>
    <row r="75" spans="2:20">
      <c r="B75" s="414" t="s">
        <v>138</v>
      </c>
      <c r="C75" s="528">
        <f>C74*365</f>
        <v>109500</v>
      </c>
      <c r="E75" s="414" t="s">
        <v>294</v>
      </c>
      <c r="F75" s="495">
        <v>364</v>
      </c>
    </row>
    <row r="76" spans="2:20">
      <c r="E76" s="414" t="s">
        <v>297</v>
      </c>
      <c r="F76" s="414">
        <f>F72*F73*F74*F75</f>
        <v>218400</v>
      </c>
    </row>
    <row r="77" spans="2:20">
      <c r="B77" s="493" t="s">
        <v>139</v>
      </c>
      <c r="C77" s="527"/>
    </row>
    <row r="78" spans="2:20">
      <c r="B78" s="414" t="s">
        <v>137</v>
      </c>
      <c r="C78" s="470">
        <v>500</v>
      </c>
      <c r="E78" s="414" t="s">
        <v>295</v>
      </c>
      <c r="F78" s="495">
        <v>2</v>
      </c>
    </row>
    <row r="79" spans="2:20">
      <c r="B79" s="414" t="s">
        <v>138</v>
      </c>
      <c r="C79" s="528">
        <f>C78*365</f>
        <v>182500</v>
      </c>
      <c r="E79" s="414" t="s">
        <v>296</v>
      </c>
      <c r="F79" s="455">
        <v>50000</v>
      </c>
      <c r="S79" s="414" t="s">
        <v>723</v>
      </c>
      <c r="T79" s="414">
        <v>239</v>
      </c>
    </row>
    <row r="80" spans="2:20">
      <c r="B80" s="414" t="s">
        <v>289</v>
      </c>
      <c r="C80" s="447">
        <v>1</v>
      </c>
      <c r="E80" s="414" t="s">
        <v>297</v>
      </c>
      <c r="F80" s="530">
        <f>F78*F79</f>
        <v>100000</v>
      </c>
      <c r="S80" s="414" t="s">
        <v>724</v>
      </c>
      <c r="T80" s="414">
        <v>350</v>
      </c>
    </row>
    <row r="81" spans="2:20">
      <c r="C81" s="445"/>
      <c r="S81" s="414" t="s">
        <v>727</v>
      </c>
      <c r="T81" s="414">
        <v>238</v>
      </c>
    </row>
    <row r="82" spans="2:20">
      <c r="E82" s="414" t="s">
        <v>298</v>
      </c>
      <c r="F82" s="530">
        <f>F76+F80</f>
        <v>318400</v>
      </c>
      <c r="S82" s="414" t="s">
        <v>726</v>
      </c>
      <c r="T82" s="414">
        <v>1276</v>
      </c>
    </row>
    <row r="83" spans="2:20">
      <c r="E83" s="414" t="s">
        <v>299</v>
      </c>
      <c r="F83" s="530">
        <f>F82/12</f>
        <v>26533.333333333332</v>
      </c>
      <c r="S83" s="414" t="s">
        <v>725</v>
      </c>
      <c r="T83" s="414">
        <v>394</v>
      </c>
    </row>
    <row r="84" spans="2:20">
      <c r="S84" s="414" t="s">
        <v>728</v>
      </c>
      <c r="T84" s="414">
        <v>3497</v>
      </c>
    </row>
    <row r="85" spans="2:20" ht="13.5">
      <c r="B85" s="531"/>
      <c r="S85" s="414" t="s">
        <v>729</v>
      </c>
      <c r="T85" s="414">
        <v>1187</v>
      </c>
    </row>
    <row r="86" spans="2:20" ht="13.5">
      <c r="B86" s="532"/>
      <c r="T86" s="415">
        <f>SUM(T79:T85)</f>
        <v>7181</v>
      </c>
    </row>
    <row r="87" spans="2:20" ht="14">
      <c r="B87" s="533" t="s">
        <v>733</v>
      </c>
      <c r="C87" s="414" t="s">
        <v>734</v>
      </c>
      <c r="D87" s="534" t="s">
        <v>735</v>
      </c>
    </row>
    <row r="88" spans="2:20">
      <c r="B88" s="414" t="s">
        <v>736</v>
      </c>
      <c r="C88" s="499">
        <f>31350*2</f>
        <v>62700</v>
      </c>
      <c r="D88" s="535">
        <v>0.8</v>
      </c>
      <c r="E88" s="499">
        <f>C88*D88</f>
        <v>50160</v>
      </c>
      <c r="F88" s="499">
        <f>E88/12</f>
        <v>4180</v>
      </c>
      <c r="G88" s="499">
        <f>F88/3</f>
        <v>1393.3333333333333</v>
      </c>
    </row>
    <row r="89" spans="2:20">
      <c r="B89" s="414" t="s">
        <v>737</v>
      </c>
      <c r="C89" s="499">
        <f>35250*2</f>
        <v>70500</v>
      </c>
      <c r="D89" s="535">
        <v>0.8</v>
      </c>
      <c r="E89" s="499">
        <f>C89*D89</f>
        <v>56400</v>
      </c>
      <c r="F89" s="499">
        <f>E89/12</f>
        <v>4700</v>
      </c>
      <c r="G89" s="499">
        <f>F89/3</f>
        <v>1566.6666666666667</v>
      </c>
    </row>
    <row r="90" spans="2:20" ht="13.5">
      <c r="B90" s="531"/>
    </row>
    <row r="91" spans="2:20" ht="13.5">
      <c r="B91" s="531"/>
    </row>
    <row r="92" spans="2:20" ht="13.5">
      <c r="B92" s="531"/>
    </row>
    <row r="93" spans="2:20" ht="13.5">
      <c r="B93" s="531"/>
    </row>
  </sheetData>
  <mergeCells count="3">
    <mergeCell ref="AA5:AD5"/>
    <mergeCell ref="E38:G38"/>
    <mergeCell ref="M60:O60"/>
  </mergeCells>
  <hyperlinks>
    <hyperlink ref="D87" r:id="rId1" xr:uid="{2E02B57B-9341-4EF8-B8A7-7794A4EA3C45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4A955-0C44-49D6-ACEC-5B9E58203EE2}">
  <sheetPr>
    <tabColor rgb="FFFF0000"/>
  </sheetPr>
  <dimension ref="B4:AD132"/>
  <sheetViews>
    <sheetView showGridLines="0" topLeftCell="E65" zoomScale="70" zoomScaleNormal="70" zoomScaleSheetLayoutView="70" workbookViewId="0">
      <selection activeCell="H53" sqref="H53"/>
    </sheetView>
  </sheetViews>
  <sheetFormatPr defaultRowHeight="11.5"/>
  <cols>
    <col min="1" max="1" width="8.7265625" style="414"/>
    <col min="2" max="2" width="22.90625" style="414" customWidth="1"/>
    <col min="3" max="5" width="19.6328125" style="414" customWidth="1"/>
    <col min="6" max="8" width="17.453125" style="414" customWidth="1"/>
    <col min="9" max="9" width="8.7265625" style="414"/>
    <col min="10" max="10" width="24.1796875" style="414" bestFit="1" customWidth="1"/>
    <col min="11" max="25" width="13.26953125" style="414" customWidth="1"/>
    <col min="26" max="26" width="3.08984375" style="414" customWidth="1"/>
    <col min="27" max="27" width="17.36328125" style="414" customWidth="1"/>
    <col min="28" max="28" width="17" style="414" bestFit="1" customWidth="1"/>
    <col min="29" max="29" width="15.81640625" style="414" bestFit="1" customWidth="1"/>
    <col min="30" max="30" width="18.36328125" style="414" bestFit="1" customWidth="1"/>
    <col min="31" max="31" width="8.7265625" style="414"/>
    <col min="32" max="32" width="24.6328125" style="414" bestFit="1" customWidth="1"/>
    <col min="33" max="33" width="12.36328125" style="414" customWidth="1"/>
    <col min="34" max="34" width="8.7265625" style="414"/>
    <col min="35" max="35" width="12.26953125" style="414" customWidth="1"/>
    <col min="36" max="16384" width="8.7265625" style="414"/>
  </cols>
  <sheetData>
    <row r="4" spans="2:30" ht="12" thickBot="1">
      <c r="B4" s="412" t="s">
        <v>114</v>
      </c>
      <c r="C4" s="413"/>
      <c r="D4" s="413"/>
      <c r="E4" s="413"/>
      <c r="F4" s="413"/>
      <c r="G4" s="413"/>
      <c r="H4" s="413"/>
      <c r="U4" s="415"/>
      <c r="V4" s="415"/>
      <c r="Y4" s="416" t="s">
        <v>192</v>
      </c>
    </row>
    <row r="5" spans="2:30" ht="23.5" thickBot="1">
      <c r="D5" s="417"/>
      <c r="E5" s="417"/>
      <c r="F5" s="429" t="s">
        <v>862</v>
      </c>
      <c r="G5" s="429" t="s">
        <v>92</v>
      </c>
      <c r="H5" s="417"/>
      <c r="K5" s="418" t="s">
        <v>151</v>
      </c>
      <c r="L5" s="419"/>
      <c r="M5" s="419"/>
      <c r="N5" s="420" t="s">
        <v>150</v>
      </c>
      <c r="O5" s="421"/>
      <c r="P5" s="422"/>
      <c r="Q5" s="423" t="s">
        <v>161</v>
      </c>
      <c r="R5" s="423"/>
      <c r="S5" s="419"/>
      <c r="T5" s="418"/>
      <c r="U5" s="418" t="s">
        <v>174</v>
      </c>
      <c r="V5" s="424"/>
      <c r="W5" s="418" t="s">
        <v>422</v>
      </c>
      <c r="X5" s="425"/>
      <c r="Y5" s="426"/>
      <c r="Z5" s="427"/>
      <c r="AA5" s="904" t="s">
        <v>407</v>
      </c>
      <c r="AB5" s="904"/>
      <c r="AC5" s="904"/>
      <c r="AD5" s="904"/>
    </row>
    <row r="6" spans="2:30" s="428" customFormat="1" ht="12" customHeight="1">
      <c r="C6" s="907" t="s">
        <v>865</v>
      </c>
      <c r="D6" s="907"/>
      <c r="E6" s="907"/>
      <c r="J6" s="430" t="s">
        <v>116</v>
      </c>
      <c r="K6" s="431" t="s">
        <v>152</v>
      </c>
      <c r="L6" s="432" t="s">
        <v>154</v>
      </c>
      <c r="M6" s="432" t="s">
        <v>153</v>
      </c>
      <c r="N6" s="431" t="s">
        <v>183</v>
      </c>
      <c r="O6" s="432" t="s">
        <v>193</v>
      </c>
      <c r="P6" s="433" t="s">
        <v>216</v>
      </c>
      <c r="Q6" s="434" t="s">
        <v>168</v>
      </c>
      <c r="R6" s="434" t="s">
        <v>688</v>
      </c>
      <c r="S6" s="435" t="s">
        <v>184</v>
      </c>
      <c r="T6" s="436" t="s">
        <v>190</v>
      </c>
      <c r="U6" s="436" t="s">
        <v>188</v>
      </c>
      <c r="V6" s="435" t="s">
        <v>189</v>
      </c>
      <c r="W6" s="436" t="s">
        <v>158</v>
      </c>
      <c r="X6" s="434" t="s">
        <v>159</v>
      </c>
      <c r="Y6" s="435" t="s">
        <v>170</v>
      </c>
      <c r="Z6" s="437"/>
      <c r="AA6" s="438" t="s">
        <v>328</v>
      </c>
      <c r="AB6" s="439" t="s">
        <v>404</v>
      </c>
      <c r="AC6" s="439" t="s">
        <v>405</v>
      </c>
      <c r="AD6" s="440" t="s">
        <v>406</v>
      </c>
    </row>
    <row r="7" spans="2:30">
      <c r="B7" s="568" t="s">
        <v>207</v>
      </c>
      <c r="C7" s="568" t="s">
        <v>94</v>
      </c>
      <c r="D7" s="568" t="s">
        <v>106</v>
      </c>
      <c r="E7" s="568" t="s">
        <v>95</v>
      </c>
      <c r="J7" s="442" t="s">
        <v>164</v>
      </c>
      <c r="K7" s="443">
        <v>2</v>
      </c>
      <c r="L7" s="444">
        <f t="shared" ref="L7:L14" si="0">(1-M7)/K7</f>
        <v>0.47499999999999998</v>
      </c>
      <c r="M7" s="445">
        <v>0.05</v>
      </c>
      <c r="N7" s="446" t="s">
        <v>101</v>
      </c>
      <c r="O7" s="447">
        <v>6</v>
      </c>
      <c r="P7" s="448"/>
      <c r="Q7" s="449">
        <v>0.25</v>
      </c>
      <c r="R7" s="449"/>
      <c r="S7" s="450">
        <v>2.5000000000000001E-2</v>
      </c>
      <c r="T7" s="451">
        <v>0.1</v>
      </c>
      <c r="U7" s="452">
        <v>7.0000000000000007E-2</v>
      </c>
      <c r="V7" s="453">
        <v>6.25E-2</v>
      </c>
      <c r="W7" s="454">
        <v>100</v>
      </c>
      <c r="X7" s="455">
        <v>100</v>
      </c>
      <c r="Y7" s="456">
        <v>135</v>
      </c>
      <c r="Z7" s="457"/>
      <c r="AA7" s="458">
        <f>INDEX(summary!$A$2:$AD$24,MATCH('cockpit (2)'!$J7,summary!$A$2:$A$24,0),MATCH('cockpit (2)'!AA$6,summary!$A$2:$AD$2,0))</f>
        <v>0.21837664899234419</v>
      </c>
      <c r="AB7" s="459">
        <f t="shared" ref="AB7:AB17" si="1">AA7*totalsf</f>
        <v>1046050.0763799998</v>
      </c>
      <c r="AC7" s="460">
        <f t="shared" ref="AC7:AC17" si="2">AB7/$AB$21</f>
        <v>0.22427943920248417</v>
      </c>
      <c r="AD7" s="461">
        <f t="shared" ref="AD7:AD17" si="3">V7*AC7</f>
        <v>1.401746495015526E-2</v>
      </c>
    </row>
    <row r="8" spans="2:30">
      <c r="B8" s="569">
        <v>0</v>
      </c>
      <c r="C8" s="570">
        <v>450</v>
      </c>
      <c r="D8" s="570">
        <v>1000</v>
      </c>
      <c r="E8" s="548">
        <v>0.4</v>
      </c>
      <c r="J8" s="442" t="s">
        <v>140</v>
      </c>
      <c r="K8" s="443">
        <v>1</v>
      </c>
      <c r="L8" s="444">
        <f t="shared" si="0"/>
        <v>0.98</v>
      </c>
      <c r="M8" s="445">
        <v>0.02</v>
      </c>
      <c r="N8" s="446" t="s">
        <v>101</v>
      </c>
      <c r="O8" s="447">
        <v>6</v>
      </c>
      <c r="P8" s="448"/>
      <c r="Q8" s="449">
        <v>0.05</v>
      </c>
      <c r="R8" s="449"/>
      <c r="S8" s="450">
        <v>0</v>
      </c>
      <c r="T8" s="451">
        <v>0.1</v>
      </c>
      <c r="U8" s="452">
        <v>7.0000000000000007E-2</v>
      </c>
      <c r="V8" s="453">
        <v>6.5000000000000002E-2</v>
      </c>
      <c r="W8" s="454">
        <v>100</v>
      </c>
      <c r="X8" s="455">
        <v>100</v>
      </c>
      <c r="Y8" s="456">
        <v>135</v>
      </c>
      <c r="Z8" s="457"/>
      <c r="AA8" s="458">
        <f>INDEX(summary!$A$2:$AD$24,MATCH('cockpit (2)'!$J8,summary!$A$2:$A$24,0),MATCH('cockpit (2)'!AA$6,summary!$A$2:$AD$2,0))</f>
        <v>6.4240902159218224E-2</v>
      </c>
      <c r="AB8" s="459">
        <f t="shared" si="1"/>
        <v>307721.54862000002</v>
      </c>
      <c r="AC8" s="460">
        <f t="shared" si="2"/>
        <v>6.597735415674516E-2</v>
      </c>
      <c r="AD8" s="461">
        <f t="shared" si="3"/>
        <v>4.2885280201884358E-3</v>
      </c>
    </row>
    <row r="9" spans="2:30">
      <c r="B9" s="569">
        <v>1</v>
      </c>
      <c r="C9" s="570">
        <v>650</v>
      </c>
      <c r="D9" s="570">
        <v>1250</v>
      </c>
      <c r="E9" s="548">
        <v>0.35</v>
      </c>
      <c r="J9" s="442" t="s">
        <v>156</v>
      </c>
      <c r="K9" s="443">
        <v>2</v>
      </c>
      <c r="L9" s="444">
        <f t="shared" si="0"/>
        <v>0.5</v>
      </c>
      <c r="M9" s="445">
        <v>0</v>
      </c>
      <c r="N9" s="464"/>
      <c r="P9" s="465"/>
      <c r="Q9" s="449">
        <v>0</v>
      </c>
      <c r="R9" s="449"/>
      <c r="S9" s="450">
        <v>0</v>
      </c>
      <c r="T9" s="451">
        <v>0.1</v>
      </c>
      <c r="U9" s="452">
        <v>0</v>
      </c>
      <c r="V9" s="453">
        <v>6.25E-2</v>
      </c>
      <c r="W9" s="454">
        <v>100</v>
      </c>
      <c r="X9" s="455">
        <v>100</v>
      </c>
      <c r="Y9" s="456">
        <v>165</v>
      </c>
      <c r="Z9" s="457"/>
      <c r="AA9" s="458">
        <f>INDEX(summary!$A$2:$AD$24,MATCH('cockpit (2)'!$J9,summary!$A$2:$A$24,0),MATCH('cockpit (2)'!AA$6,summary!$A$2:$AD$2,0))</f>
        <v>0.1288926101400048</v>
      </c>
      <c r="AB9" s="459">
        <f t="shared" si="1"/>
        <v>617410.90590000013</v>
      </c>
      <c r="AC9" s="460">
        <f t="shared" si="2"/>
        <v>0.13237661834694678</v>
      </c>
      <c r="AD9" s="461">
        <f t="shared" si="3"/>
        <v>8.2735386466841736E-3</v>
      </c>
    </row>
    <row r="10" spans="2:30">
      <c r="B10" s="569">
        <v>2</v>
      </c>
      <c r="C10" s="570">
        <v>1000</v>
      </c>
      <c r="D10" s="570">
        <v>2000</v>
      </c>
      <c r="E10" s="548">
        <v>0.2</v>
      </c>
      <c r="J10" s="442" t="s">
        <v>109</v>
      </c>
      <c r="K10" s="443">
        <v>3</v>
      </c>
      <c r="L10" s="444">
        <f>(1-M10)/K10</f>
        <v>0.3</v>
      </c>
      <c r="M10" s="445">
        <v>0.1</v>
      </c>
      <c r="N10" s="446" t="s">
        <v>101</v>
      </c>
      <c r="O10" s="447">
        <v>10</v>
      </c>
      <c r="P10" s="466" t="s">
        <v>223</v>
      </c>
      <c r="Q10" s="449">
        <v>0.05</v>
      </c>
      <c r="R10" s="449">
        <v>50</v>
      </c>
      <c r="S10" s="450">
        <v>1</v>
      </c>
      <c r="T10" s="451">
        <v>0</v>
      </c>
      <c r="U10" s="452">
        <v>7.0000000000000007E-2</v>
      </c>
      <c r="V10" s="453">
        <v>7.4999999999999997E-2</v>
      </c>
      <c r="W10" s="454">
        <v>100</v>
      </c>
      <c r="X10" s="455">
        <v>100</v>
      </c>
      <c r="Y10" s="456">
        <v>135</v>
      </c>
      <c r="Z10" s="457"/>
      <c r="AA10" s="458">
        <f>INDEX(summary!$A$2:$AD$24,MATCH('cockpit (2)'!$J10,summary!$A$2:$A$24,0),MATCH('cockpit (2)'!AA$6,summary!$A$2:$AD$2,0))</f>
        <v>0.27536453644808828</v>
      </c>
      <c r="AB10" s="459">
        <f t="shared" si="1"/>
        <v>1319028.8234250001</v>
      </c>
      <c r="AC10" s="460">
        <f t="shared" si="2"/>
        <v>0.28280772736371818</v>
      </c>
      <c r="AD10" s="461">
        <f t="shared" si="3"/>
        <v>2.1210579552278862E-2</v>
      </c>
    </row>
    <row r="11" spans="2:30">
      <c r="B11" s="569">
        <v>3</v>
      </c>
      <c r="C11" s="570">
        <v>1200</v>
      </c>
      <c r="D11" s="570">
        <v>2250</v>
      </c>
      <c r="E11" s="548">
        <v>0.05</v>
      </c>
      <c r="J11" s="442" t="s">
        <v>141</v>
      </c>
      <c r="K11" s="443">
        <v>2</v>
      </c>
      <c r="L11" s="444">
        <f t="shared" si="0"/>
        <v>0.47499999999999998</v>
      </c>
      <c r="M11" s="445">
        <v>0.05</v>
      </c>
      <c r="N11" s="446" t="s">
        <v>101</v>
      </c>
      <c r="O11" s="447">
        <v>11</v>
      </c>
      <c r="P11" s="466" t="s">
        <v>223</v>
      </c>
      <c r="Q11" s="449">
        <v>0.05</v>
      </c>
      <c r="R11" s="449">
        <v>60</v>
      </c>
      <c r="S11" s="450">
        <v>1</v>
      </c>
      <c r="T11" s="451">
        <v>0</v>
      </c>
      <c r="U11" s="452">
        <v>7.0000000000000007E-2</v>
      </c>
      <c r="V11" s="453">
        <v>7.4999999999999997E-2</v>
      </c>
      <c r="W11" s="454">
        <v>100</v>
      </c>
      <c r="X11" s="455">
        <v>100</v>
      </c>
      <c r="Y11" s="456">
        <v>135</v>
      </c>
      <c r="Z11" s="457"/>
      <c r="AA11" s="458">
        <f>INDEX(summary!$A$2:$AD$24,MATCH('cockpit (2)'!$J11,summary!$A$2:$A$24,0),MATCH('cockpit (2)'!AA$6,summary!$A$2:$AD$2,0))</f>
        <v>5.4679551066842913E-2</v>
      </c>
      <c r="AB11" s="459">
        <f t="shared" si="1"/>
        <v>261921.54167500001</v>
      </c>
      <c r="AC11" s="460">
        <f t="shared" si="2"/>
        <v>5.6157556706280698E-2</v>
      </c>
      <c r="AD11" s="461">
        <f t="shared" si="3"/>
        <v>4.211816752971052E-3</v>
      </c>
    </row>
    <row r="12" spans="2:30">
      <c r="B12" s="462"/>
      <c r="C12" s="463"/>
      <c r="D12" s="463"/>
      <c r="E12" s="445"/>
      <c r="G12" s="568"/>
      <c r="J12" s="442"/>
      <c r="K12" s="443"/>
      <c r="L12" s="444"/>
      <c r="M12" s="445"/>
      <c r="N12" s="446"/>
      <c r="O12" s="447"/>
      <c r="P12" s="466"/>
      <c r="Q12" s="449"/>
      <c r="R12" s="449"/>
      <c r="S12" s="450"/>
      <c r="T12" s="451"/>
      <c r="U12" s="452"/>
      <c r="V12" s="453"/>
      <c r="W12" s="454"/>
      <c r="X12" s="455"/>
      <c r="Y12" s="456"/>
      <c r="Z12" s="457"/>
      <c r="AA12" s="458"/>
      <c r="AB12" s="459"/>
      <c r="AC12" s="460"/>
      <c r="AD12" s="461"/>
    </row>
    <row r="13" spans="2:30">
      <c r="B13" s="462"/>
      <c r="C13" s="907" t="s">
        <v>772</v>
      </c>
      <c r="D13" s="907"/>
      <c r="E13" s="907"/>
      <c r="G13" s="568" t="s">
        <v>106</v>
      </c>
      <c r="J13" s="442"/>
      <c r="K13" s="443"/>
      <c r="L13" s="444"/>
      <c r="M13" s="445"/>
      <c r="N13" s="446"/>
      <c r="O13" s="447"/>
      <c r="P13" s="466"/>
      <c r="Q13" s="449"/>
      <c r="R13" s="449"/>
      <c r="S13" s="450"/>
      <c r="T13" s="451"/>
      <c r="U13" s="452"/>
      <c r="V13" s="453"/>
      <c r="W13" s="454"/>
      <c r="X13" s="455"/>
      <c r="Y13" s="456"/>
      <c r="Z13" s="457"/>
      <c r="AA13" s="458"/>
      <c r="AB13" s="459"/>
      <c r="AC13" s="460"/>
      <c r="AD13" s="461"/>
    </row>
    <row r="14" spans="2:30">
      <c r="B14" s="568" t="s">
        <v>207</v>
      </c>
      <c r="C14" s="568" t="s">
        <v>94</v>
      </c>
      <c r="D14" s="568" t="s">
        <v>106</v>
      </c>
      <c r="E14" s="568" t="s">
        <v>95</v>
      </c>
      <c r="G14" s="570">
        <v>1000</v>
      </c>
      <c r="J14" s="442" t="s">
        <v>144</v>
      </c>
      <c r="K14" s="443">
        <v>1</v>
      </c>
      <c r="L14" s="444">
        <f t="shared" si="0"/>
        <v>0.65</v>
      </c>
      <c r="M14" s="445">
        <v>0.35</v>
      </c>
      <c r="N14" s="446" t="s">
        <v>124</v>
      </c>
      <c r="O14" s="445">
        <v>0.35</v>
      </c>
      <c r="P14" s="467"/>
      <c r="Q14" s="449">
        <v>0.05</v>
      </c>
      <c r="R14" s="449"/>
      <c r="S14" s="450">
        <v>0</v>
      </c>
      <c r="T14" s="451">
        <v>0.25</v>
      </c>
      <c r="U14" s="452">
        <v>7.0000000000000007E-2</v>
      </c>
      <c r="V14" s="453">
        <v>0.08</v>
      </c>
      <c r="W14" s="454">
        <v>100</v>
      </c>
      <c r="X14" s="455">
        <v>100</v>
      </c>
      <c r="Y14" s="456">
        <v>225</v>
      </c>
      <c r="Z14" s="457"/>
      <c r="AA14" s="458">
        <f>INDEX(summary!$A$2:$AD$24,MATCH('cockpit (2)'!$J14,summary!$A$2:$A$24,0),MATCH('cockpit (2)'!AA$6,summary!$A$2:$AD$2,0))</f>
        <v>7.0646817860703176E-2</v>
      </c>
      <c r="AB14" s="459">
        <f t="shared" si="1"/>
        <v>338406.64540000004</v>
      </c>
      <c r="AC14" s="460">
        <f t="shared" si="2"/>
        <v>7.2556423795082731E-2</v>
      </c>
      <c r="AD14" s="461">
        <f t="shared" si="3"/>
        <v>5.8045139036066182E-3</v>
      </c>
    </row>
    <row r="15" spans="2:30">
      <c r="B15" s="569">
        <v>0</v>
      </c>
      <c r="C15" s="570" t="s">
        <v>211</v>
      </c>
      <c r="D15" s="570"/>
      <c r="E15" s="548">
        <v>0</v>
      </c>
      <c r="G15" s="570">
        <v>1500</v>
      </c>
      <c r="J15" s="442" t="s">
        <v>146</v>
      </c>
      <c r="K15" s="464"/>
      <c r="L15" s="444"/>
      <c r="M15" s="445"/>
      <c r="N15" s="446" t="s">
        <v>124</v>
      </c>
      <c r="O15" s="468">
        <v>0.05</v>
      </c>
      <c r="P15" s="469"/>
      <c r="Q15" s="449">
        <v>0.05</v>
      </c>
      <c r="R15" s="449"/>
      <c r="S15" s="450">
        <v>0</v>
      </c>
      <c r="T15" s="451">
        <v>0</v>
      </c>
      <c r="U15" s="452">
        <v>7.0000000000000007E-2</v>
      </c>
      <c r="V15" s="453">
        <v>0.08</v>
      </c>
      <c r="W15" s="454">
        <v>100</v>
      </c>
      <c r="X15" s="455">
        <v>100</v>
      </c>
      <c r="Y15" s="456"/>
      <c r="Z15" s="457"/>
      <c r="AA15" s="458"/>
      <c r="AB15" s="459">
        <f t="shared" si="1"/>
        <v>0</v>
      </c>
      <c r="AC15" s="460">
        <f t="shared" si="2"/>
        <v>0</v>
      </c>
      <c r="AD15" s="461">
        <f t="shared" si="3"/>
        <v>0</v>
      </c>
    </row>
    <row r="16" spans="2:30">
      <c r="B16" s="569">
        <v>1</v>
      </c>
      <c r="C16" s="570" t="s">
        <v>211</v>
      </c>
      <c r="D16" s="570"/>
      <c r="E16" s="548">
        <v>0</v>
      </c>
      <c r="G16" s="570">
        <v>2000</v>
      </c>
      <c r="J16" s="442" t="s">
        <v>147</v>
      </c>
      <c r="K16" s="464"/>
      <c r="L16" s="444"/>
      <c r="M16" s="445"/>
      <c r="N16" s="446" t="s">
        <v>124</v>
      </c>
      <c r="O16" s="468">
        <v>0.05</v>
      </c>
      <c r="P16" s="469"/>
      <c r="Q16" s="449">
        <v>0.05</v>
      </c>
      <c r="R16" s="449"/>
      <c r="S16" s="450">
        <v>0</v>
      </c>
      <c r="T16" s="451">
        <v>0</v>
      </c>
      <c r="U16" s="452">
        <v>7.0000000000000007E-2</v>
      </c>
      <c r="V16" s="453">
        <v>0.08</v>
      </c>
      <c r="W16" s="454">
        <v>100</v>
      </c>
      <c r="X16" s="455">
        <v>100</v>
      </c>
      <c r="Y16" s="456"/>
      <c r="Z16" s="457"/>
      <c r="AA16" s="458"/>
      <c r="AB16" s="459">
        <f t="shared" si="1"/>
        <v>0</v>
      </c>
      <c r="AC16" s="460">
        <f t="shared" si="2"/>
        <v>0</v>
      </c>
      <c r="AD16" s="461">
        <f t="shared" si="3"/>
        <v>0</v>
      </c>
    </row>
    <row r="17" spans="2:30">
      <c r="B17" s="569">
        <v>2</v>
      </c>
      <c r="C17" s="570">
        <v>1000</v>
      </c>
      <c r="D17" s="570">
        <f>G107</f>
        <v>1393.3333333333333</v>
      </c>
      <c r="E17" s="548">
        <v>0.75</v>
      </c>
      <c r="G17" s="570">
        <v>2000</v>
      </c>
      <c r="J17" s="442" t="s">
        <v>130</v>
      </c>
      <c r="K17" s="443">
        <v>2</v>
      </c>
      <c r="L17" s="444">
        <f>(1-M17)/K17</f>
        <v>0.47499999999999998</v>
      </c>
      <c r="M17" s="445">
        <v>0.05</v>
      </c>
      <c r="N17" s="446" t="s">
        <v>124</v>
      </c>
      <c r="O17" s="445">
        <v>0.25</v>
      </c>
      <c r="P17" s="467"/>
      <c r="Q17" s="449">
        <v>2.5000000000000001E-2</v>
      </c>
      <c r="R17" s="449"/>
      <c r="S17" s="450">
        <v>0</v>
      </c>
      <c r="T17" s="451">
        <v>0.4</v>
      </c>
      <c r="U17" s="452">
        <v>0.09</v>
      </c>
      <c r="V17" s="453">
        <v>0.09</v>
      </c>
      <c r="W17" s="454">
        <v>100</v>
      </c>
      <c r="X17" s="455">
        <v>100</v>
      </c>
      <c r="Y17" s="456">
        <v>70</v>
      </c>
      <c r="Z17" s="457"/>
      <c r="AA17" s="458">
        <f>INDEX(summary!$A$2:$AD$24,MATCH('cockpit (2)'!$J17,summary!$A$2:$A$24,0),MATCH('cockpit (2)'!AA$6,summary!$A$2:$AD$2,0))</f>
        <v>0.16148002406884726</v>
      </c>
      <c r="AB17" s="459">
        <f t="shared" si="1"/>
        <v>773508.48770000006</v>
      </c>
      <c r="AC17" s="460">
        <f t="shared" si="2"/>
        <v>0.16584488042874213</v>
      </c>
      <c r="AD17" s="461">
        <f t="shared" si="3"/>
        <v>1.4926039238586791E-2</v>
      </c>
    </row>
    <row r="18" spans="2:30" ht="12" thickBot="1">
      <c r="B18" s="569">
        <v>3</v>
      </c>
      <c r="C18" s="570">
        <v>1200</v>
      </c>
      <c r="D18" s="570">
        <f>G108</f>
        <v>1566.6666666666667</v>
      </c>
      <c r="E18" s="548">
        <v>0.25</v>
      </c>
      <c r="J18" s="471" t="s">
        <v>283</v>
      </c>
      <c r="K18" s="472"/>
      <c r="L18" s="473"/>
      <c r="M18" s="473"/>
      <c r="N18" s="474" t="s">
        <v>124</v>
      </c>
      <c r="O18" s="475"/>
      <c r="P18" s="476"/>
      <c r="Q18" s="477">
        <v>0.1</v>
      </c>
      <c r="R18" s="477"/>
      <c r="S18" s="478">
        <v>0</v>
      </c>
      <c r="T18" s="479">
        <v>0</v>
      </c>
      <c r="U18" s="480">
        <v>0</v>
      </c>
      <c r="V18" s="481">
        <v>0</v>
      </c>
      <c r="W18" s="482">
        <v>100</v>
      </c>
      <c r="X18" s="483">
        <v>100</v>
      </c>
      <c r="Y18" s="484">
        <v>225</v>
      </c>
      <c r="Z18" s="457"/>
      <c r="AA18" s="485"/>
      <c r="AB18" s="473"/>
      <c r="AC18" s="473"/>
      <c r="AD18" s="486"/>
    </row>
    <row r="19" spans="2:30">
      <c r="B19" s="462"/>
      <c r="C19" s="463"/>
      <c r="D19" s="463"/>
      <c r="E19" s="445"/>
      <c r="N19" s="571"/>
      <c r="O19" s="468"/>
      <c r="P19" s="468"/>
      <c r="Q19" s="449"/>
      <c r="R19" s="449"/>
      <c r="S19" s="449"/>
      <c r="T19" s="513"/>
      <c r="U19" s="496"/>
      <c r="V19" s="496"/>
      <c r="W19" s="455"/>
      <c r="X19" s="455"/>
      <c r="Y19" s="455"/>
      <c r="Z19" s="457"/>
      <c r="AA19" s="460"/>
    </row>
    <row r="20" spans="2:30">
      <c r="B20" s="462"/>
      <c r="C20" s="907" t="s">
        <v>771</v>
      </c>
      <c r="D20" s="907"/>
      <c r="E20" s="538" t="b">
        <f>SUM(D22:D25)=1</f>
        <v>1</v>
      </c>
      <c r="N20" s="571"/>
      <c r="O20" s="468"/>
      <c r="P20" s="468"/>
      <c r="Q20" s="449"/>
      <c r="R20" s="449"/>
      <c r="S20" s="449"/>
      <c r="T20" s="513"/>
      <c r="U20" s="496"/>
      <c r="V20" s="496"/>
      <c r="W20" s="455"/>
      <c r="X20" s="455"/>
      <c r="Y20" s="455"/>
      <c r="Z20" s="457"/>
      <c r="AA20" s="460"/>
    </row>
    <row r="21" spans="2:30">
      <c r="B21" s="568" t="s">
        <v>207</v>
      </c>
      <c r="C21" s="568" t="s">
        <v>94</v>
      </c>
      <c r="D21" s="568" t="s">
        <v>95</v>
      </c>
      <c r="W21" s="487" t="s">
        <v>423</v>
      </c>
      <c r="AB21" s="488">
        <f>SUM(AB7:AB18)</f>
        <v>4664048.0291000009</v>
      </c>
      <c r="AD21" s="489">
        <f>SUM(AD7:AD18)</f>
        <v>7.2732481064471194E-2</v>
      </c>
    </row>
    <row r="22" spans="2:30">
      <c r="B22" s="569">
        <v>0</v>
      </c>
      <c r="C22" s="570">
        <v>450</v>
      </c>
      <c r="D22" s="548">
        <v>0.15</v>
      </c>
      <c r="F22" s="494" t="s">
        <v>213</v>
      </c>
      <c r="G22" s="493" t="s">
        <v>214</v>
      </c>
      <c r="H22" s="493" t="s">
        <v>206</v>
      </c>
    </row>
    <row r="23" spans="2:30">
      <c r="B23" s="569">
        <v>1</v>
      </c>
      <c r="C23" s="570">
        <v>650</v>
      </c>
      <c r="D23" s="548">
        <v>0.3</v>
      </c>
      <c r="F23" s="501">
        <f>MarketrateSF/SUM(MarketrateSF,ResidentialCondominiumSF,ResidentialAffordableSF)</f>
        <v>0.53067134067102129</v>
      </c>
      <c r="G23" s="459">
        <f>MarketrateSF*(1-T7)</f>
        <v>941445.06874199992</v>
      </c>
      <c r="H23" s="459">
        <f>G23/C29</f>
        <v>1410.4045973662919</v>
      </c>
    </row>
    <row r="24" spans="2:30">
      <c r="B24" s="569">
        <v>2</v>
      </c>
      <c r="C24" s="570">
        <v>1000</v>
      </c>
      <c r="D24" s="548">
        <v>0.45</v>
      </c>
      <c r="E24" s="500"/>
      <c r="F24" s="501">
        <f>ResidentialAffordableSF/SUM(MarketrateSF,ResidentialCondominiumSF,ResidentialAffordableSF)</f>
        <v>0.15611012364212709</v>
      </c>
      <c r="G24" s="459">
        <f>ResidentialAffordableSF*(1-T8)</f>
        <v>276949.39375800005</v>
      </c>
      <c r="H24" s="459" t="e">
        <f>G24/#REF!</f>
        <v>#REF!</v>
      </c>
    </row>
    <row r="25" spans="2:30">
      <c r="B25" s="569">
        <v>3</v>
      </c>
      <c r="C25" s="570">
        <v>1200</v>
      </c>
      <c r="D25" s="548">
        <v>0.1</v>
      </c>
      <c r="E25" s="540"/>
      <c r="F25" s="503"/>
      <c r="G25" s="459"/>
      <c r="H25" s="504"/>
      <c r="J25" s="909" t="s">
        <v>163</v>
      </c>
      <c r="K25" s="909"/>
      <c r="L25" s="909"/>
      <c r="M25" s="909"/>
      <c r="N25" s="909"/>
      <c r="O25" s="909"/>
      <c r="R25" s="490" t="s">
        <v>454</v>
      </c>
      <c r="S25" s="491"/>
      <c r="T25" s="491"/>
      <c r="U25" s="491"/>
    </row>
    <row r="26" spans="2:30">
      <c r="C26" s="538" t="b">
        <f>SUM(E8:E11)=1</f>
        <v>1</v>
      </c>
      <c r="D26" s="538" t="b">
        <f>SUM(E15:E18)=1</f>
        <v>1</v>
      </c>
      <c r="E26" s="447"/>
      <c r="F26" s="501">
        <f>ResidentialCondominiumSF/SUM(MarketrateSF,ResidentialCondominiumSF,ResidentialAffordableSF)</f>
        <v>0.3132185356868516</v>
      </c>
      <c r="G26" s="459">
        <f>ResidentialCondominiumSF*(1-T9)</f>
        <v>555669.81530999998</v>
      </c>
      <c r="H26" s="459" t="e">
        <f>G26/#REF!</f>
        <v>#REF!</v>
      </c>
    </row>
    <row r="27" spans="2:30" ht="11.5" customHeight="1">
      <c r="C27" s="907" t="s">
        <v>866</v>
      </c>
      <c r="D27" s="907"/>
      <c r="E27" s="447"/>
      <c r="F27" s="501"/>
      <c r="G27" s="459"/>
      <c r="H27" s="459"/>
    </row>
    <row r="28" spans="2:30">
      <c r="B28" s="558"/>
      <c r="C28" s="558"/>
      <c r="D28" s="558"/>
      <c r="E28" s="499"/>
      <c r="F28" s="505">
        <f>SUM(F23:F26)</f>
        <v>1</v>
      </c>
      <c r="G28" s="506"/>
      <c r="H28" s="498" t="e">
        <f>SUM(H23:H26)</f>
        <v>#REF!</v>
      </c>
      <c r="K28" s="908" t="s">
        <v>175</v>
      </c>
      <c r="L28" s="908"/>
      <c r="M28" s="908"/>
      <c r="N28" s="908"/>
      <c r="O28" s="908"/>
      <c r="R28" s="557" t="s">
        <v>171</v>
      </c>
      <c r="S28" s="557"/>
      <c r="T28" s="557"/>
      <c r="U28" s="557"/>
    </row>
    <row r="29" spans="2:30" ht="12.5" customHeight="1">
      <c r="B29" s="565" t="s">
        <v>871</v>
      </c>
      <c r="C29" s="566">
        <f>SUMPRODUCT($C$8:$C$11,E8:E11)</f>
        <v>667.5</v>
      </c>
      <c r="D29" s="542" t="s">
        <v>853</v>
      </c>
      <c r="J29" s="560" t="s">
        <v>89</v>
      </c>
      <c r="K29" s="560" t="s">
        <v>858</v>
      </c>
      <c r="L29" s="560" t="s">
        <v>859</v>
      </c>
      <c r="M29" s="560" t="s">
        <v>860</v>
      </c>
      <c r="N29" s="560" t="s">
        <v>543</v>
      </c>
      <c r="O29" s="560" t="s">
        <v>861</v>
      </c>
      <c r="R29" s="414" t="s">
        <v>415</v>
      </c>
      <c r="S29" s="496">
        <v>0.55000000000000004</v>
      </c>
    </row>
    <row r="30" spans="2:30">
      <c r="B30" s="565" t="s">
        <v>869</v>
      </c>
      <c r="C30" s="546">
        <f>SUMPRODUCT(E8:E11,D8:D11)</f>
        <v>1350</v>
      </c>
      <c r="D30" s="542" t="s">
        <v>863</v>
      </c>
      <c r="J30" s="415">
        <v>1</v>
      </c>
      <c r="K30" s="495">
        <v>3</v>
      </c>
      <c r="L30" s="495">
        <v>1</v>
      </c>
      <c r="M30" s="414">
        <f>Phase1begin+constructiontimephase1-1</f>
        <v>3</v>
      </c>
      <c r="N30" s="414">
        <f>Phase1end+1</f>
        <v>4</v>
      </c>
      <c r="O30" s="414">
        <f>Phase1open+MAX(K7:K18)-1</f>
        <v>6</v>
      </c>
      <c r="R30" s="414" t="s">
        <v>411</v>
      </c>
      <c r="S30" s="496">
        <v>0.05</v>
      </c>
    </row>
    <row r="31" spans="2:30">
      <c r="B31" s="565" t="s">
        <v>870</v>
      </c>
      <c r="C31" s="567">
        <f>C30/C29</f>
        <v>2.0224719101123596</v>
      </c>
      <c r="D31" s="542" t="s">
        <v>101</v>
      </c>
      <c r="J31" s="415">
        <v>2</v>
      </c>
      <c r="K31" s="495">
        <v>2</v>
      </c>
      <c r="L31" s="502">
        <f>Phase1open</f>
        <v>4</v>
      </c>
      <c r="M31" s="414">
        <f>Phase2begin+constructiontimephase2-1</f>
        <v>5</v>
      </c>
      <c r="N31" s="414">
        <f>Phase2end+1</f>
        <v>6</v>
      </c>
      <c r="O31" s="414">
        <f>Phase2open+MAX(K7:K18)-1</f>
        <v>8</v>
      </c>
      <c r="R31" s="414" t="s">
        <v>447</v>
      </c>
      <c r="S31" s="496">
        <v>0.02</v>
      </c>
    </row>
    <row r="32" spans="2:30">
      <c r="J32" s="415">
        <v>3</v>
      </c>
      <c r="K32" s="495">
        <v>2</v>
      </c>
      <c r="L32" s="502">
        <f>Phase2open</f>
        <v>6</v>
      </c>
      <c r="M32" s="414">
        <f>Phase3begin+constructiontimephase3-1</f>
        <v>7</v>
      </c>
      <c r="N32" s="414">
        <f>Phase3end+1</f>
        <v>8</v>
      </c>
      <c r="O32" s="414">
        <f>Phase3open+MAX(K7:K18)-1</f>
        <v>10</v>
      </c>
    </row>
    <row r="33" spans="2:21">
      <c r="C33" s="907" t="s">
        <v>772</v>
      </c>
      <c r="D33" s="907"/>
      <c r="J33" s="415"/>
      <c r="K33" s="495"/>
      <c r="L33" s="502"/>
    </row>
    <row r="34" spans="2:21">
      <c r="B34" s="558"/>
      <c r="C34" s="558"/>
      <c r="D34" s="558"/>
      <c r="J34" s="415"/>
      <c r="K34" s="495"/>
      <c r="L34" s="502"/>
    </row>
    <row r="35" spans="2:21">
      <c r="B35" s="565" t="s">
        <v>871</v>
      </c>
      <c r="C35" s="566">
        <f>1050</f>
        <v>1050</v>
      </c>
      <c r="D35" s="542" t="s">
        <v>853</v>
      </c>
      <c r="J35" s="415"/>
      <c r="K35" s="495"/>
      <c r="L35" s="502"/>
    </row>
    <row r="36" spans="2:21">
      <c r="B36" s="565" t="s">
        <v>869</v>
      </c>
      <c r="C36" s="546">
        <v>1437</v>
      </c>
      <c r="D36" s="542" t="s">
        <v>863</v>
      </c>
      <c r="J36" s="415"/>
      <c r="K36" s="495"/>
      <c r="L36" s="502"/>
    </row>
    <row r="37" spans="2:21">
      <c r="B37" s="565" t="s">
        <v>868</v>
      </c>
      <c r="C37" s="567">
        <f>C36/C35</f>
        <v>1.3685714285714285</v>
      </c>
      <c r="D37" s="542" t="s">
        <v>864</v>
      </c>
      <c r="R37" s="557" t="s">
        <v>172</v>
      </c>
      <c r="S37" s="557"/>
      <c r="T37" s="557"/>
      <c r="U37" s="557"/>
    </row>
    <row r="38" spans="2:21">
      <c r="B38" s="572"/>
      <c r="C38" s="500"/>
      <c r="R38" s="557"/>
      <c r="S38" s="557"/>
      <c r="T38" s="557"/>
      <c r="U38" s="557"/>
    </row>
    <row r="39" spans="2:21">
      <c r="B39" s="572"/>
      <c r="C39" s="907" t="s">
        <v>771</v>
      </c>
      <c r="D39" s="907"/>
      <c r="R39" s="557"/>
      <c r="S39" s="557"/>
      <c r="T39" s="557"/>
      <c r="U39" s="557"/>
    </row>
    <row r="40" spans="2:21">
      <c r="B40" s="558"/>
      <c r="C40" s="558"/>
      <c r="D40" s="558"/>
      <c r="R40" s="557"/>
      <c r="S40" s="557"/>
      <c r="T40" s="557"/>
      <c r="U40" s="557"/>
    </row>
    <row r="41" spans="2:21">
      <c r="B41" s="565" t="s">
        <v>871</v>
      </c>
      <c r="C41" s="566">
        <v>833</v>
      </c>
      <c r="D41" s="542" t="s">
        <v>853</v>
      </c>
      <c r="R41" s="557"/>
      <c r="S41" s="557"/>
      <c r="T41" s="557"/>
      <c r="U41" s="557"/>
    </row>
    <row r="42" spans="2:21">
      <c r="B42" s="565" t="s">
        <v>872</v>
      </c>
      <c r="C42" s="546">
        <f>290</f>
        <v>290</v>
      </c>
      <c r="D42" s="542" t="s">
        <v>101</v>
      </c>
      <c r="R42" s="557"/>
      <c r="S42" s="557"/>
      <c r="T42" s="557"/>
      <c r="U42" s="557"/>
    </row>
    <row r="43" spans="2:21">
      <c r="B43" s="565" t="s">
        <v>872</v>
      </c>
      <c r="C43" s="546">
        <f>cockpit!E29</f>
        <v>241425</v>
      </c>
      <c r="D43" s="542" t="s">
        <v>867</v>
      </c>
      <c r="R43" s="557"/>
      <c r="S43" s="557"/>
      <c r="T43" s="557"/>
      <c r="U43" s="557"/>
    </row>
    <row r="44" spans="2:21">
      <c r="B44" s="415"/>
      <c r="C44" s="488"/>
      <c r="J44" s="414" t="s">
        <v>157</v>
      </c>
      <c r="K44" s="496">
        <v>0.03</v>
      </c>
      <c r="R44" s="414" t="s">
        <v>416</v>
      </c>
      <c r="S44" s="496">
        <v>0.65</v>
      </c>
    </row>
    <row r="45" spans="2:21">
      <c r="B45" s="414" t="s">
        <v>842</v>
      </c>
      <c r="R45" s="414" t="s">
        <v>448</v>
      </c>
      <c r="S45" s="496">
        <v>4.2500000000000003E-2</v>
      </c>
    </row>
    <row r="46" spans="2:21">
      <c r="B46" s="414" t="s">
        <v>841</v>
      </c>
      <c r="J46" s="507" t="s">
        <v>268</v>
      </c>
      <c r="K46" s="491"/>
      <c r="R46" s="414" t="s">
        <v>417</v>
      </c>
      <c r="S46" s="463">
        <v>30</v>
      </c>
    </row>
    <row r="47" spans="2:21">
      <c r="B47" s="414" t="s">
        <v>550</v>
      </c>
      <c r="J47" s="414" t="s">
        <v>246</v>
      </c>
      <c r="K47" s="447">
        <v>2</v>
      </c>
      <c r="R47" s="414" t="s">
        <v>449</v>
      </c>
      <c r="S47" s="496">
        <v>0.02</v>
      </c>
    </row>
    <row r="48" spans="2:21">
      <c r="J48" s="414" t="s">
        <v>247</v>
      </c>
      <c r="K48" s="447">
        <v>5</v>
      </c>
      <c r="R48" s="414" t="s">
        <v>524</v>
      </c>
      <c r="S48" s="496">
        <v>0.09</v>
      </c>
    </row>
    <row r="49" spans="2:26">
      <c r="J49" s="414" t="s">
        <v>260</v>
      </c>
      <c r="K49" s="447">
        <v>35</v>
      </c>
    </row>
    <row r="50" spans="2:26">
      <c r="B50" s="412" t="s">
        <v>113</v>
      </c>
      <c r="C50" s="413"/>
      <c r="D50" s="413"/>
      <c r="E50" s="413"/>
      <c r="F50" s="413"/>
      <c r="G50" s="413"/>
      <c r="H50" s="413"/>
      <c r="R50" s="561" t="s">
        <v>683</v>
      </c>
      <c r="S50" s="557"/>
      <c r="T50" s="557"/>
      <c r="U50" s="557"/>
    </row>
    <row r="51" spans="2:26">
      <c r="J51" s="507" t="s">
        <v>177</v>
      </c>
      <c r="K51" s="507"/>
      <c r="R51" s="414" t="s">
        <v>652</v>
      </c>
      <c r="S51" s="496">
        <v>0.35</v>
      </c>
    </row>
    <row r="52" spans="2:26">
      <c r="B52" s="559" t="s">
        <v>112</v>
      </c>
      <c r="C52" s="559" t="s">
        <v>101</v>
      </c>
      <c r="D52" s="557" t="s">
        <v>118</v>
      </c>
      <c r="J52" s="414" t="s">
        <v>176</v>
      </c>
      <c r="K52" s="513">
        <v>0.02</v>
      </c>
      <c r="R52" s="414" t="s">
        <v>653</v>
      </c>
      <c r="S52" s="495">
        <v>96.515000000000001</v>
      </c>
    </row>
    <row r="53" spans="2:26">
      <c r="B53" s="542" t="s">
        <v>111</v>
      </c>
      <c r="C53" s="544">
        <v>25</v>
      </c>
      <c r="R53" s="414" t="s">
        <v>682</v>
      </c>
      <c r="S53" s="513">
        <v>0.25</v>
      </c>
      <c r="Y53" s="415"/>
      <c r="Z53" s="415"/>
    </row>
    <row r="54" spans="2:26">
      <c r="B54" s="542" t="s">
        <v>110</v>
      </c>
      <c r="C54" s="544">
        <v>13.8</v>
      </c>
      <c r="J54" s="507" t="s">
        <v>203</v>
      </c>
      <c r="K54" s="507"/>
      <c r="R54" s="414" t="s">
        <v>660</v>
      </c>
      <c r="S54" s="495">
        <v>1.25</v>
      </c>
    </row>
    <row r="55" spans="2:26">
      <c r="J55" s="414" t="s">
        <v>202</v>
      </c>
      <c r="K55" s="496">
        <v>0.25</v>
      </c>
      <c r="R55" s="414" t="s">
        <v>664</v>
      </c>
      <c r="S55" s="496">
        <v>0.06</v>
      </c>
    </row>
    <row r="56" spans="2:26">
      <c r="B56" s="412" t="s">
        <v>115</v>
      </c>
      <c r="C56" s="413"/>
      <c r="D56" s="413"/>
      <c r="E56" s="413"/>
      <c r="F56" s="413"/>
      <c r="G56" s="413"/>
      <c r="H56" s="413"/>
      <c r="J56" s="414" t="s">
        <v>155</v>
      </c>
      <c r="K56" s="496">
        <v>0.1</v>
      </c>
      <c r="R56" s="414" t="s">
        <v>665</v>
      </c>
      <c r="S56" s="495">
        <v>30</v>
      </c>
    </row>
    <row r="57" spans="2:26">
      <c r="E57" s="905"/>
      <c r="F57" s="905"/>
      <c r="G57" s="905"/>
      <c r="J57" s="414" t="s">
        <v>189</v>
      </c>
      <c r="K57" s="496">
        <v>7.4999999999999997E-3</v>
      </c>
      <c r="R57" s="414" t="s">
        <v>668</v>
      </c>
      <c r="S57" s="496">
        <v>0.01</v>
      </c>
    </row>
    <row r="58" spans="2:26">
      <c r="B58" s="622" t="s">
        <v>116</v>
      </c>
      <c r="C58" s="622" t="s">
        <v>117</v>
      </c>
      <c r="D58" s="622" t="s">
        <v>118</v>
      </c>
      <c r="E58" s="622" t="s">
        <v>225</v>
      </c>
      <c r="F58" s="622" t="s">
        <v>226</v>
      </c>
      <c r="G58" s="622" t="s">
        <v>227</v>
      </c>
    </row>
    <row r="59" spans="2:26">
      <c r="B59" s="542" t="s">
        <v>165</v>
      </c>
      <c r="C59" s="544">
        <v>30</v>
      </c>
      <c r="D59" s="544">
        <v>10</v>
      </c>
      <c r="E59" s="526">
        <f>summary!AC17</f>
        <v>217930.61257500001</v>
      </c>
      <c r="F59" s="623">
        <f>E59/$E$62</f>
        <v>0.91650839683793262</v>
      </c>
      <c r="G59" s="624">
        <f>C59*F59</f>
        <v>27.495251905137977</v>
      </c>
      <c r="J59" s="507" t="s">
        <v>185</v>
      </c>
      <c r="K59" s="507"/>
    </row>
    <row r="60" spans="2:26">
      <c r="B60" s="542" t="s">
        <v>142</v>
      </c>
      <c r="C60" s="544">
        <v>27.5</v>
      </c>
      <c r="D60" s="544">
        <v>10</v>
      </c>
      <c r="E60" s="526">
        <f>summary!AC18</f>
        <v>7506.5</v>
      </c>
      <c r="F60" s="623">
        <f>E60/$E$62</f>
        <v>3.1568627278080512E-2</v>
      </c>
      <c r="G60" s="624">
        <f>C60*F60</f>
        <v>0.8681372501472141</v>
      </c>
      <c r="J60" s="414" t="s">
        <v>217</v>
      </c>
      <c r="K60" s="495">
        <v>10</v>
      </c>
    </row>
    <row r="61" spans="2:26">
      <c r="B61" s="542" t="s">
        <v>143</v>
      </c>
      <c r="C61" s="544">
        <v>25</v>
      </c>
      <c r="D61" s="544">
        <v>10</v>
      </c>
      <c r="E61" s="526">
        <f>summary!AC19</f>
        <v>12346.429100000001</v>
      </c>
      <c r="F61" s="623">
        <f>E61/$E$62</f>
        <v>5.1922975883986824E-2</v>
      </c>
      <c r="G61" s="624">
        <f>C61*F61</f>
        <v>1.2980743970996707</v>
      </c>
      <c r="J61" s="414" t="s">
        <v>186</v>
      </c>
      <c r="K61" s="495">
        <v>10</v>
      </c>
      <c r="Y61" s="415"/>
      <c r="Z61" s="415"/>
    </row>
    <row r="62" spans="2:26">
      <c r="E62" s="459">
        <f>SUM(E59:E61)</f>
        <v>237783.54167500001</v>
      </c>
      <c r="F62" s="514"/>
      <c r="G62" s="515">
        <f>SUM(G59:G61)</f>
        <v>29.661463552384863</v>
      </c>
      <c r="J62" s="414" t="s">
        <v>187</v>
      </c>
      <c r="K62" s="496">
        <v>2.5000000000000001E-2</v>
      </c>
      <c r="L62" s="415"/>
      <c r="M62" s="415"/>
    </row>
    <row r="63" spans="2:26">
      <c r="B63" s="412" t="s">
        <v>119</v>
      </c>
      <c r="C63" s="413"/>
      <c r="D63" s="413"/>
      <c r="E63" s="413"/>
      <c r="F63" s="413"/>
      <c r="G63" s="413"/>
      <c r="H63" s="413"/>
      <c r="J63" s="414" t="s">
        <v>264</v>
      </c>
      <c r="K63" s="496">
        <v>0.05</v>
      </c>
    </row>
    <row r="64" spans="2:26">
      <c r="J64" s="414" t="s">
        <v>218</v>
      </c>
      <c r="K64" s="496">
        <v>0.05</v>
      </c>
      <c r="N64" s="414" t="s">
        <v>282</v>
      </c>
    </row>
    <row r="65" spans="2:26">
      <c r="B65" s="557" t="s">
        <v>128</v>
      </c>
      <c r="C65" s="557" t="s">
        <v>121</v>
      </c>
      <c r="D65" s="557"/>
    </row>
    <row r="66" spans="2:26">
      <c r="B66" s="542" t="s">
        <v>225</v>
      </c>
      <c r="C66" s="620">
        <f>summary!AC20</f>
        <v>338406.64540000004</v>
      </c>
      <c r="D66" s="542"/>
    </row>
    <row r="67" spans="2:26">
      <c r="B67" s="542" t="s">
        <v>191</v>
      </c>
      <c r="C67" s="621">
        <f>T14</f>
        <v>0.25</v>
      </c>
      <c r="D67" s="542"/>
    </row>
    <row r="68" spans="2:26">
      <c r="B68" s="542" t="s">
        <v>228</v>
      </c>
      <c r="C68" s="526">
        <f>C66*(1-C67)</f>
        <v>253804.98405000003</v>
      </c>
      <c r="D68" s="542"/>
    </row>
    <row r="69" spans="2:26">
      <c r="B69" s="542" t="s">
        <v>215</v>
      </c>
      <c r="C69" s="570">
        <v>325</v>
      </c>
      <c r="D69" s="542"/>
    </row>
    <row r="70" spans="2:26">
      <c r="B70" s="542" t="s">
        <v>229</v>
      </c>
      <c r="C70" s="526">
        <f>C68/C69</f>
        <v>780.93841246153852</v>
      </c>
      <c r="D70" s="542"/>
    </row>
    <row r="71" spans="2:26">
      <c r="B71" s="542" t="s">
        <v>120</v>
      </c>
      <c r="C71" s="544">
        <v>165</v>
      </c>
      <c r="D71" s="542"/>
    </row>
    <row r="72" spans="2:26">
      <c r="C72" s="447"/>
    </row>
    <row r="73" spans="2:26">
      <c r="B73" s="557" t="s">
        <v>122</v>
      </c>
      <c r="C73" s="557" t="s">
        <v>127</v>
      </c>
      <c r="D73" s="557" t="s">
        <v>129</v>
      </c>
    </row>
    <row r="74" spans="2:26">
      <c r="B74" s="542" t="s">
        <v>125</v>
      </c>
      <c r="C74" s="548">
        <v>0.1</v>
      </c>
      <c r="D74" s="548">
        <v>0.1</v>
      </c>
    </row>
    <row r="75" spans="2:26">
      <c r="B75" s="542" t="s">
        <v>126</v>
      </c>
      <c r="C75" s="548">
        <v>0.05</v>
      </c>
      <c r="D75" s="548">
        <v>0.1</v>
      </c>
    </row>
    <row r="77" spans="2:26">
      <c r="O77" s="415"/>
      <c r="P77" s="415"/>
      <c r="Q77" s="415"/>
      <c r="R77" s="415"/>
      <c r="S77" s="415"/>
      <c r="T77" s="415"/>
      <c r="U77" s="415"/>
      <c r="V77" s="415"/>
      <c r="Y77" s="415"/>
      <c r="Z77" s="415"/>
    </row>
    <row r="78" spans="2:26">
      <c r="B78" s="412" t="s">
        <v>131</v>
      </c>
      <c r="C78" s="413"/>
      <c r="D78" s="413"/>
      <c r="E78" s="413"/>
      <c r="F78" s="413"/>
      <c r="G78" s="413"/>
      <c r="H78" s="413"/>
      <c r="J78" s="507" t="s">
        <v>131</v>
      </c>
      <c r="K78" s="507"/>
      <c r="L78" s="507"/>
      <c r="M78" s="507"/>
      <c r="N78" s="507"/>
      <c r="O78" s="507"/>
    </row>
    <row r="79" spans="2:26">
      <c r="M79" s="906" t="s">
        <v>89</v>
      </c>
      <c r="N79" s="906"/>
      <c r="O79" s="906"/>
    </row>
    <row r="80" spans="2:26">
      <c r="B80" s="493" t="s">
        <v>397</v>
      </c>
      <c r="C80" s="493" t="s">
        <v>396</v>
      </c>
      <c r="D80" s="493" t="s">
        <v>398</v>
      </c>
      <c r="E80" s="493" t="s">
        <v>132</v>
      </c>
      <c r="F80" s="493" t="s">
        <v>133</v>
      </c>
      <c r="G80" s="493" t="s">
        <v>134</v>
      </c>
      <c r="H80" s="493" t="s">
        <v>135</v>
      </c>
      <c r="J80" s="518" t="s">
        <v>93</v>
      </c>
      <c r="K80" s="518" t="s">
        <v>208</v>
      </c>
      <c r="L80" s="518" t="s">
        <v>209</v>
      </c>
      <c r="M80" s="518">
        <v>1</v>
      </c>
      <c r="N80" s="518">
        <v>2</v>
      </c>
      <c r="O80" s="518">
        <v>3</v>
      </c>
      <c r="Q80" s="519" t="s">
        <v>558</v>
      </c>
      <c r="R80" s="519"/>
      <c r="S80" s="414" t="s">
        <v>559</v>
      </c>
    </row>
    <row r="81" spans="2:20">
      <c r="B81" s="445">
        <v>0.6</v>
      </c>
      <c r="C81" s="495">
        <v>200</v>
      </c>
      <c r="D81" s="520">
        <f>1-M17</f>
        <v>0.95</v>
      </c>
      <c r="E81" s="455">
        <v>15</v>
      </c>
      <c r="F81" s="445">
        <v>0.4</v>
      </c>
      <c r="G81" s="455">
        <f>8*30</f>
        <v>240</v>
      </c>
      <c r="H81" s="445">
        <v>0.6</v>
      </c>
      <c r="J81" s="415" t="s">
        <v>105</v>
      </c>
      <c r="K81" s="521">
        <v>0.75</v>
      </c>
      <c r="L81" s="521" t="s">
        <v>210</v>
      </c>
      <c r="M81" s="522">
        <f>SUM('Summary Board'!H60:H62)*$K81</f>
        <v>474.43726842219422</v>
      </c>
      <c r="N81" s="522">
        <f>(SUM('Summary Board'!J60:J62)-M81)*$K81</f>
        <v>880.05522069232438</v>
      </c>
      <c r="O81" s="522">
        <f>(SUM('Summary Board'!L60:L62)-M81-N81)*$K81</f>
        <v>740.35851394647466</v>
      </c>
      <c r="Q81" s="414" t="s">
        <v>715</v>
      </c>
      <c r="R81" s="523"/>
    </row>
    <row r="82" spans="2:20">
      <c r="C82" s="495"/>
      <c r="D82" s="455"/>
      <c r="E82" s="445"/>
      <c r="F82" s="455"/>
      <c r="G82" s="445"/>
      <c r="J82" s="415" t="s">
        <v>109</v>
      </c>
      <c r="K82" s="521">
        <v>1.5</v>
      </c>
      <c r="L82" s="521">
        <v>1000</v>
      </c>
      <c r="M82" s="459">
        <f>(summary!B15/$L82)*$K82</f>
        <v>1153.28775</v>
      </c>
      <c r="N82" s="459">
        <f>(summary!C15/$L82)*$K82</f>
        <v>58.185749999999999</v>
      </c>
      <c r="O82" s="459">
        <f>(summary!D15/$L82)*$K82</f>
        <v>767.06973513750006</v>
      </c>
    </row>
    <row r="83" spans="2:20">
      <c r="C83" s="495"/>
      <c r="D83" s="455"/>
      <c r="E83" s="524"/>
      <c r="F83" s="525" t="s">
        <v>400</v>
      </c>
      <c r="G83" s="455">
        <f>((E81*30)*F81)+(G81*H81)</f>
        <v>324</v>
      </c>
      <c r="H83" s="445"/>
      <c r="J83" s="415" t="s">
        <v>144</v>
      </c>
      <c r="K83" s="521">
        <v>0.75</v>
      </c>
      <c r="L83" s="521" t="s">
        <v>210</v>
      </c>
      <c r="M83" s="459">
        <f>hotel!O11*$K83</f>
        <v>223.29090761538458</v>
      </c>
      <c r="N83" s="459">
        <f>hotel!O39*$K83</f>
        <v>362.41290173076925</v>
      </c>
      <c r="O83" s="459">
        <f>hotel!O67*$K83</f>
        <v>0</v>
      </c>
      <c r="Q83" s="414" t="s">
        <v>721</v>
      </c>
      <c r="R83" s="414" t="s">
        <v>105</v>
      </c>
      <c r="S83" s="414" t="s">
        <v>722</v>
      </c>
    </row>
    <row r="84" spans="2:20">
      <c r="C84" s="495"/>
      <c r="D84" s="455"/>
      <c r="E84" s="445"/>
      <c r="F84" s="455"/>
      <c r="G84" s="455"/>
      <c r="H84" s="445"/>
      <c r="J84" s="415" t="s">
        <v>141</v>
      </c>
      <c r="K84" s="521">
        <v>0.75</v>
      </c>
      <c r="L84" s="521">
        <v>500</v>
      </c>
      <c r="M84" s="459">
        <f>(summary!B16/$L84)*$K84</f>
        <v>228.66081555</v>
      </c>
      <c r="N84" s="459">
        <f>(summary!C16/$L84)*$K84</f>
        <v>141.02728260000001</v>
      </c>
      <c r="O84" s="459">
        <f>(summary!D16/$L84)*$K84</f>
        <v>23.194214362499999</v>
      </c>
      <c r="Q84" s="414" t="s">
        <v>144</v>
      </c>
      <c r="R84" s="414" t="s">
        <v>716</v>
      </c>
      <c r="S84" s="414" t="s">
        <v>722</v>
      </c>
    </row>
    <row r="85" spans="2:20">
      <c r="J85" s="415" t="s">
        <v>717</v>
      </c>
      <c r="K85" s="521">
        <v>0.75</v>
      </c>
      <c r="L85" s="521">
        <v>500</v>
      </c>
      <c r="M85" s="526">
        <f>(summary!B22/$L85)*$K85</f>
        <v>189.10605029999999</v>
      </c>
      <c r="N85" s="526">
        <f>(summary!C22/$L85)*$K85</f>
        <v>0</v>
      </c>
      <c r="O85" s="526">
        <f>(summary!D22/$L85)*$K85</f>
        <v>0</v>
      </c>
      <c r="Q85" s="414" t="s">
        <v>109</v>
      </c>
    </row>
    <row r="86" spans="2:20">
      <c r="B86" s="412" t="s">
        <v>145</v>
      </c>
      <c r="C86" s="413"/>
      <c r="D86" s="413"/>
      <c r="E86" s="413"/>
      <c r="F86" s="413"/>
      <c r="G86" s="413"/>
      <c r="H86" s="413"/>
      <c r="M86" s="498">
        <f>SUM(M81:M85)</f>
        <v>2268.7827918875787</v>
      </c>
      <c r="N86" s="498">
        <f>SUM(N81:N85)</f>
        <v>1441.6811550230937</v>
      </c>
      <c r="O86" s="498">
        <f>SUM(O81:O85)</f>
        <v>1530.6224634464745</v>
      </c>
      <c r="Q86" s="414" t="s">
        <v>717</v>
      </c>
      <c r="R86" s="414" t="s">
        <v>718</v>
      </c>
      <c r="S86" s="414" t="s">
        <v>719</v>
      </c>
    </row>
    <row r="87" spans="2:20">
      <c r="N87" s="462" t="s">
        <v>545</v>
      </c>
      <c r="O87" s="488">
        <f>SUM(M86:O86)</f>
        <v>5241.0864103571466</v>
      </c>
      <c r="Q87" s="414" t="s">
        <v>141</v>
      </c>
      <c r="R87" s="414" t="s">
        <v>141</v>
      </c>
      <c r="S87" s="414" t="s">
        <v>720</v>
      </c>
    </row>
    <row r="88" spans="2:20">
      <c r="B88" s="493" t="s">
        <v>136</v>
      </c>
      <c r="C88" s="527"/>
      <c r="E88" s="493" t="s">
        <v>285</v>
      </c>
      <c r="F88" s="493" t="s">
        <v>287</v>
      </c>
      <c r="N88" s="414" t="s">
        <v>546</v>
      </c>
      <c r="O88" s="459">
        <f>'Summary Board'!N66</f>
        <v>2320.5254631000003</v>
      </c>
    </row>
    <row r="89" spans="2:20">
      <c r="B89" s="414" t="s">
        <v>137</v>
      </c>
      <c r="C89" s="463">
        <v>300</v>
      </c>
      <c r="E89" s="414" t="s">
        <v>286</v>
      </c>
      <c r="F89" s="463">
        <v>1000</v>
      </c>
      <c r="Q89" s="519" t="s">
        <v>730</v>
      </c>
    </row>
    <row r="90" spans="2:20">
      <c r="B90" s="414" t="s">
        <v>138</v>
      </c>
      <c r="C90" s="528">
        <f>C89*365</f>
        <v>109500</v>
      </c>
    </row>
    <row r="91" spans="2:20">
      <c r="E91" s="414" t="s">
        <v>291</v>
      </c>
      <c r="F91" s="495">
        <v>5</v>
      </c>
      <c r="Q91" s="519" t="s">
        <v>731</v>
      </c>
      <c r="R91" s="519"/>
      <c r="S91" s="519"/>
      <c r="T91" s="519"/>
    </row>
    <row r="92" spans="2:20">
      <c r="B92" s="493" t="s">
        <v>139</v>
      </c>
      <c r="C92" s="527"/>
      <c r="E92" s="414" t="s">
        <v>292</v>
      </c>
      <c r="F92" s="495">
        <v>8</v>
      </c>
      <c r="Q92" s="529" t="s">
        <v>738</v>
      </c>
      <c r="R92" s="519"/>
      <c r="S92" s="519"/>
      <c r="T92" s="519"/>
    </row>
    <row r="93" spans="2:20">
      <c r="B93" s="414" t="s">
        <v>137</v>
      </c>
      <c r="C93" s="463">
        <v>300</v>
      </c>
      <c r="E93" s="414" t="s">
        <v>293</v>
      </c>
      <c r="F93" s="455">
        <v>15</v>
      </c>
    </row>
    <row r="94" spans="2:20">
      <c r="B94" s="414" t="s">
        <v>138</v>
      </c>
      <c r="C94" s="528">
        <f>C93*365</f>
        <v>109500</v>
      </c>
      <c r="E94" s="414" t="s">
        <v>294</v>
      </c>
      <c r="F94" s="495">
        <v>364</v>
      </c>
    </row>
    <row r="95" spans="2:20">
      <c r="E95" s="414" t="s">
        <v>297</v>
      </c>
      <c r="F95" s="414">
        <f>F91*F92*F93*F94</f>
        <v>218400</v>
      </c>
    </row>
    <row r="96" spans="2:20">
      <c r="B96" s="493" t="s">
        <v>139</v>
      </c>
      <c r="C96" s="527"/>
    </row>
    <row r="97" spans="2:20">
      <c r="B97" s="414" t="s">
        <v>137</v>
      </c>
      <c r="C97" s="470">
        <v>500</v>
      </c>
      <c r="E97" s="414" t="s">
        <v>295</v>
      </c>
      <c r="F97" s="495">
        <v>2</v>
      </c>
    </row>
    <row r="98" spans="2:20">
      <c r="B98" s="414" t="s">
        <v>138</v>
      </c>
      <c r="C98" s="528">
        <f>C97*365</f>
        <v>182500</v>
      </c>
      <c r="E98" s="414" t="s">
        <v>296</v>
      </c>
      <c r="F98" s="455">
        <v>50000</v>
      </c>
      <c r="S98" s="414" t="s">
        <v>723</v>
      </c>
      <c r="T98" s="414">
        <v>239</v>
      </c>
    </row>
    <row r="99" spans="2:20">
      <c r="B99" s="414" t="s">
        <v>289</v>
      </c>
      <c r="C99" s="447">
        <v>1</v>
      </c>
      <c r="E99" s="414" t="s">
        <v>297</v>
      </c>
      <c r="F99" s="530">
        <f>F97*F98</f>
        <v>100000</v>
      </c>
      <c r="S99" s="414" t="s">
        <v>724</v>
      </c>
      <c r="T99" s="414">
        <v>350</v>
      </c>
    </row>
    <row r="100" spans="2:20">
      <c r="C100" s="445"/>
      <c r="S100" s="414" t="s">
        <v>727</v>
      </c>
      <c r="T100" s="414">
        <v>238</v>
      </c>
    </row>
    <row r="101" spans="2:20">
      <c r="E101" s="414" t="s">
        <v>298</v>
      </c>
      <c r="F101" s="530">
        <f>F95+F99</f>
        <v>318400</v>
      </c>
      <c r="S101" s="414" t="s">
        <v>726</v>
      </c>
      <c r="T101" s="414">
        <v>1276</v>
      </c>
    </row>
    <row r="102" spans="2:20">
      <c r="E102" s="414" t="s">
        <v>299</v>
      </c>
      <c r="F102" s="530">
        <f>F101/12</f>
        <v>26533.333333333332</v>
      </c>
      <c r="S102" s="414" t="s">
        <v>725</v>
      </c>
      <c r="T102" s="414">
        <v>394</v>
      </c>
    </row>
    <row r="103" spans="2:20">
      <c r="S103" s="414" t="s">
        <v>728</v>
      </c>
      <c r="T103" s="414">
        <v>3497</v>
      </c>
    </row>
    <row r="104" spans="2:20">
      <c r="S104" s="414" t="s">
        <v>729</v>
      </c>
      <c r="T104" s="414">
        <v>1187</v>
      </c>
    </row>
    <row r="105" spans="2:20">
      <c r="B105" s="562"/>
      <c r="T105" s="415">
        <f>SUM(T98:T104)</f>
        <v>7181</v>
      </c>
    </row>
    <row r="106" spans="2:20">
      <c r="B106" s="563" t="s">
        <v>733</v>
      </c>
      <c r="C106" s="414" t="s">
        <v>734</v>
      </c>
      <c r="D106" s="564" t="s">
        <v>735</v>
      </c>
    </row>
    <row r="107" spans="2:20">
      <c r="B107" s="414" t="s">
        <v>736</v>
      </c>
      <c r="C107" s="499">
        <f>31350*2</f>
        <v>62700</v>
      </c>
      <c r="D107" s="535">
        <v>0.8</v>
      </c>
      <c r="E107" s="499">
        <f>C107*D107</f>
        <v>50160</v>
      </c>
      <c r="F107" s="499">
        <f>E107/12</f>
        <v>4180</v>
      </c>
      <c r="G107" s="499">
        <f>F107/3</f>
        <v>1393.3333333333333</v>
      </c>
    </row>
    <row r="108" spans="2:20">
      <c r="B108" s="414" t="s">
        <v>737</v>
      </c>
      <c r="C108" s="499">
        <f>35250*2</f>
        <v>70500</v>
      </c>
      <c r="D108" s="535">
        <v>0.8</v>
      </c>
      <c r="E108" s="499">
        <f>C108*D108</f>
        <v>56400</v>
      </c>
      <c r="F108" s="499">
        <f>E108/12</f>
        <v>4700</v>
      </c>
      <c r="G108" s="499">
        <f>F108/3</f>
        <v>1566.6666666666667</v>
      </c>
    </row>
    <row r="114" spans="2:8">
      <c r="D114" s="413"/>
      <c r="E114" s="413"/>
      <c r="F114" s="413"/>
      <c r="G114" s="413"/>
      <c r="H114" s="413"/>
    </row>
    <row r="116" spans="2:8">
      <c r="B116" s="493" t="s">
        <v>397</v>
      </c>
      <c r="C116" s="493" t="s">
        <v>396</v>
      </c>
      <c r="D116" s="493" t="s">
        <v>398</v>
      </c>
      <c r="E116" s="493" t="s">
        <v>132</v>
      </c>
      <c r="F116" s="493" t="s">
        <v>133</v>
      </c>
      <c r="G116" s="493" t="s">
        <v>134</v>
      </c>
      <c r="H116" s="493" t="s">
        <v>135</v>
      </c>
    </row>
    <row r="117" spans="2:8">
      <c r="B117" s="445">
        <v>0.6</v>
      </c>
      <c r="C117" s="495">
        <v>200</v>
      </c>
      <c r="D117" s="520">
        <f>1-M53</f>
        <v>1</v>
      </c>
      <c r="E117" s="455">
        <v>15</v>
      </c>
      <c r="F117" s="445">
        <v>0.4</v>
      </c>
      <c r="G117" s="455">
        <f>8*30</f>
        <v>240</v>
      </c>
      <c r="H117" s="445">
        <v>0.6</v>
      </c>
    </row>
    <row r="118" spans="2:8">
      <c r="C118" s="495"/>
      <c r="D118" s="455"/>
      <c r="E118" s="445"/>
      <c r="F118" s="455"/>
      <c r="G118" s="445"/>
    </row>
    <row r="119" spans="2:8">
      <c r="C119" s="495"/>
      <c r="D119" s="455"/>
      <c r="E119" s="524"/>
      <c r="H119" s="445"/>
    </row>
    <row r="122" spans="2:8">
      <c r="B122" s="412" t="s">
        <v>131</v>
      </c>
      <c r="C122" s="413"/>
    </row>
    <row r="124" spans="2:8">
      <c r="B124" s="558"/>
      <c r="C124" s="558"/>
    </row>
    <row r="125" spans="2:8">
      <c r="B125" s="820" t="s">
        <v>397</v>
      </c>
      <c r="C125" s="548">
        <v>0.6</v>
      </c>
    </row>
    <row r="126" spans="2:8">
      <c r="B126" s="822" t="s">
        <v>396</v>
      </c>
      <c r="C126" s="823">
        <v>200</v>
      </c>
    </row>
    <row r="127" spans="2:8">
      <c r="B127" s="820" t="s">
        <v>398</v>
      </c>
      <c r="C127" s="821">
        <f>cockpit!D62</f>
        <v>0.95</v>
      </c>
    </row>
    <row r="128" spans="2:8">
      <c r="B128" s="820" t="s">
        <v>132</v>
      </c>
      <c r="C128" s="545">
        <v>15</v>
      </c>
    </row>
    <row r="129" spans="2:3">
      <c r="B129" s="820" t="s">
        <v>133</v>
      </c>
      <c r="C129" s="548">
        <v>0.4</v>
      </c>
    </row>
    <row r="130" spans="2:3">
      <c r="B130" s="820" t="s">
        <v>134</v>
      </c>
      <c r="C130" s="545">
        <f>8*30</f>
        <v>240</v>
      </c>
    </row>
    <row r="131" spans="2:3">
      <c r="B131" s="820" t="s">
        <v>135</v>
      </c>
      <c r="C131" s="548">
        <v>0.6</v>
      </c>
    </row>
    <row r="132" spans="2:3">
      <c r="B132" s="820" t="s">
        <v>400</v>
      </c>
      <c r="C132" s="545">
        <f>((E117*30)*F117)+(G117*H117)</f>
        <v>324</v>
      </c>
    </row>
  </sheetData>
  <mergeCells count="11">
    <mergeCell ref="C33:D33"/>
    <mergeCell ref="C39:D39"/>
    <mergeCell ref="AA5:AD5"/>
    <mergeCell ref="E57:G57"/>
    <mergeCell ref="M79:O79"/>
    <mergeCell ref="K28:O28"/>
    <mergeCell ref="J25:O25"/>
    <mergeCell ref="C6:E6"/>
    <mergeCell ref="C13:E13"/>
    <mergeCell ref="C20:D20"/>
    <mergeCell ref="C27:D27"/>
  </mergeCells>
  <hyperlinks>
    <hyperlink ref="D106" r:id="rId1" xr:uid="{8508FB06-D712-436C-BE8B-2842364E850C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C82D-7554-4F2B-878A-04FF724B9832}">
  <sheetPr>
    <tabColor rgb="FFFF0000"/>
  </sheetPr>
  <dimension ref="B4:AU93"/>
  <sheetViews>
    <sheetView showGridLines="0" topLeftCell="AE1" zoomScale="85" zoomScaleNormal="85" zoomScaleSheetLayoutView="70" workbookViewId="0">
      <selection activeCell="H53" sqref="H53"/>
    </sheetView>
  </sheetViews>
  <sheetFormatPr defaultRowHeight="11.5"/>
  <cols>
    <col min="1" max="1" width="8.7265625" style="414"/>
    <col min="2" max="2" width="22.90625" style="414" customWidth="1"/>
    <col min="3" max="8" width="17.453125" style="414" customWidth="1"/>
    <col min="9" max="9" width="8.7265625" style="414"/>
    <col min="10" max="10" width="24.1796875" style="414" bestFit="1" customWidth="1"/>
    <col min="11" max="25" width="13.26953125" style="414" customWidth="1"/>
    <col min="26" max="26" width="3.08984375" style="414" customWidth="1"/>
    <col min="27" max="27" width="17.36328125" style="414" customWidth="1"/>
    <col min="28" max="28" width="17" style="414" bestFit="1" customWidth="1"/>
    <col min="29" max="29" width="15.81640625" style="414" bestFit="1" customWidth="1"/>
    <col min="30" max="30" width="18.36328125" style="414" bestFit="1" customWidth="1"/>
    <col min="31" max="31" width="8.7265625" style="414"/>
    <col min="32" max="32" width="24.6328125" style="414" bestFit="1" customWidth="1"/>
    <col min="33" max="33" width="25.36328125" style="414" customWidth="1"/>
    <col min="34" max="34" width="32.54296875" style="414" customWidth="1"/>
    <col min="35" max="35" width="25.36328125" style="414" hidden="1" customWidth="1"/>
    <col min="36" max="36" width="17.36328125" style="414" hidden="1" customWidth="1"/>
    <col min="37" max="37" width="20.54296875" style="414" hidden="1" customWidth="1"/>
    <col min="38" max="38" width="17.36328125" style="414" customWidth="1"/>
    <col min="39" max="44" width="17.36328125" style="414" hidden="1" customWidth="1"/>
    <col min="45" max="45" width="34" style="414" customWidth="1"/>
    <col min="46" max="16384" width="8.7265625" style="414"/>
  </cols>
  <sheetData>
    <row r="4" spans="2:47" ht="12" thickBot="1">
      <c r="B4" s="412" t="s">
        <v>114</v>
      </c>
      <c r="C4" s="413"/>
      <c r="D4" s="413"/>
      <c r="E4" s="413"/>
      <c r="F4" s="413"/>
      <c r="G4" s="413"/>
      <c r="H4" s="413"/>
      <c r="U4" s="415"/>
      <c r="V4" s="415"/>
      <c r="Y4" s="416" t="s">
        <v>192</v>
      </c>
    </row>
    <row r="5" spans="2:47" ht="12" thickBot="1">
      <c r="D5" s="417"/>
      <c r="E5" s="417"/>
      <c r="F5" s="417"/>
      <c r="G5" s="417"/>
      <c r="H5" s="417"/>
      <c r="K5" s="418" t="s">
        <v>151</v>
      </c>
      <c r="L5" s="419"/>
      <c r="M5" s="419"/>
      <c r="N5" s="420" t="s">
        <v>150</v>
      </c>
      <c r="O5" s="421"/>
      <c r="P5" s="422"/>
      <c r="Q5" s="423" t="s">
        <v>161</v>
      </c>
      <c r="R5" s="423"/>
      <c r="S5" s="419"/>
      <c r="T5" s="418"/>
      <c r="U5" s="418" t="s">
        <v>174</v>
      </c>
      <c r="V5" s="424"/>
      <c r="W5" s="418" t="s">
        <v>422</v>
      </c>
      <c r="X5" s="425"/>
      <c r="Y5" s="426"/>
      <c r="Z5" s="427"/>
      <c r="AA5" s="904" t="s">
        <v>407</v>
      </c>
      <c r="AB5" s="904"/>
      <c r="AC5" s="904"/>
      <c r="AD5" s="904"/>
      <c r="AG5" s="591" t="s">
        <v>827</v>
      </c>
      <c r="AH5" s="592" t="s">
        <v>828</v>
      </c>
      <c r="AI5" s="591" t="s">
        <v>164</v>
      </c>
      <c r="AJ5" s="591" t="s">
        <v>140</v>
      </c>
      <c r="AK5" s="591" t="s">
        <v>915</v>
      </c>
      <c r="AL5" s="591" t="s">
        <v>109</v>
      </c>
      <c r="AM5" s="591" t="s">
        <v>141</v>
      </c>
      <c r="AN5" s="591" t="s">
        <v>144</v>
      </c>
      <c r="AO5" s="611" t="s">
        <v>146</v>
      </c>
      <c r="AP5" s="611" t="s">
        <v>147</v>
      </c>
      <c r="AQ5" s="591" t="s">
        <v>130</v>
      </c>
      <c r="AR5" s="591" t="s">
        <v>283</v>
      </c>
    </row>
    <row r="6" spans="2:47" s="428" customFormat="1" ht="14.5" customHeight="1">
      <c r="C6" s="429" t="s">
        <v>91</v>
      </c>
      <c r="D6" s="429" t="s">
        <v>829</v>
      </c>
      <c r="E6" s="429" t="s">
        <v>92</v>
      </c>
      <c r="J6" s="430" t="s">
        <v>116</v>
      </c>
      <c r="K6" s="431" t="s">
        <v>152</v>
      </c>
      <c r="L6" s="432" t="s">
        <v>154</v>
      </c>
      <c r="M6" s="432" t="s">
        <v>153</v>
      </c>
      <c r="N6" s="431" t="s">
        <v>183</v>
      </c>
      <c r="O6" s="432" t="s">
        <v>193</v>
      </c>
      <c r="P6" s="433" t="s">
        <v>216</v>
      </c>
      <c r="Q6" s="434" t="s">
        <v>168</v>
      </c>
      <c r="R6" s="434" t="s">
        <v>688</v>
      </c>
      <c r="S6" s="435" t="s">
        <v>184</v>
      </c>
      <c r="T6" s="436" t="s">
        <v>190</v>
      </c>
      <c r="U6" s="436" t="s">
        <v>188</v>
      </c>
      <c r="V6" s="435" t="s">
        <v>189</v>
      </c>
      <c r="W6" s="436" t="s">
        <v>158</v>
      </c>
      <c r="X6" s="434" t="s">
        <v>159</v>
      </c>
      <c r="Y6" s="435" t="s">
        <v>170</v>
      </c>
      <c r="Z6" s="437"/>
      <c r="AA6" s="438" t="s">
        <v>328</v>
      </c>
      <c r="AB6" s="439" t="s">
        <v>404</v>
      </c>
      <c r="AC6" s="439" t="s">
        <v>405</v>
      </c>
      <c r="AD6" s="440" t="s">
        <v>406</v>
      </c>
      <c r="AG6" s="910" t="s">
        <v>151</v>
      </c>
      <c r="AH6" s="573" t="s">
        <v>932</v>
      </c>
      <c r="AI6" s="574">
        <v>2</v>
      </c>
      <c r="AJ6" s="574">
        <v>1</v>
      </c>
      <c r="AK6" s="574">
        <v>2</v>
      </c>
      <c r="AL6" s="574">
        <v>3</v>
      </c>
      <c r="AM6" s="574">
        <v>2</v>
      </c>
      <c r="AN6" s="574">
        <v>1</v>
      </c>
      <c r="AO6" s="575"/>
      <c r="AP6" s="575"/>
      <c r="AQ6" s="574">
        <v>2</v>
      </c>
      <c r="AR6" s="666" t="s">
        <v>278</v>
      </c>
      <c r="AS6" s="414"/>
      <c r="AU6" s="414" t="s">
        <v>830</v>
      </c>
    </row>
    <row r="7" spans="2:47" ht="14.5" customHeight="1">
      <c r="B7" s="441" t="s">
        <v>207</v>
      </c>
      <c r="C7" s="441" t="s">
        <v>94</v>
      </c>
      <c r="D7" s="441" t="s">
        <v>94</v>
      </c>
      <c r="E7" s="441" t="s">
        <v>94</v>
      </c>
      <c r="J7" s="442" t="s">
        <v>164</v>
      </c>
      <c r="K7" s="443">
        <v>2</v>
      </c>
      <c r="L7" s="444">
        <f t="shared" ref="L7:L12" si="0">(1-M7)/K7</f>
        <v>0.47499999999999998</v>
      </c>
      <c r="M7" s="445">
        <v>0.05</v>
      </c>
      <c r="N7" s="446" t="s">
        <v>101</v>
      </c>
      <c r="O7" s="447">
        <v>6</v>
      </c>
      <c r="P7" s="448"/>
      <c r="Q7" s="449">
        <v>0.25</v>
      </c>
      <c r="R7" s="449"/>
      <c r="S7" s="450">
        <v>2.5000000000000001E-2</v>
      </c>
      <c r="T7" s="451">
        <v>0.1</v>
      </c>
      <c r="U7" s="452">
        <v>7.0000000000000007E-2</v>
      </c>
      <c r="V7" s="453">
        <v>6.25E-2</v>
      </c>
      <c r="W7" s="454">
        <v>100</v>
      </c>
      <c r="X7" s="455">
        <v>100</v>
      </c>
      <c r="Y7" s="456">
        <v>135</v>
      </c>
      <c r="Z7" s="457"/>
      <c r="AA7" s="458">
        <f>INDEX(summary!$A$2:$AD$24,MATCH('opex tbales'!$J7,summary!$A$2:$A$24,0),MATCH('opex tbales'!AA$6,summary!$A$2:$AD$2,0))</f>
        <v>0.21837664899234419</v>
      </c>
      <c r="AB7" s="459">
        <f t="shared" ref="AB7:AB15" si="1">AA7*totalsf</f>
        <v>1046050.0763799998</v>
      </c>
      <c r="AC7" s="460">
        <f t="shared" ref="AC7:AC15" si="2">AB7/$AB$17</f>
        <v>0.22427943920248417</v>
      </c>
      <c r="AD7" s="461">
        <f t="shared" ref="AD7:AD15" si="3">V7*AC7</f>
        <v>1.401746495015526E-2</v>
      </c>
      <c r="AG7" s="910"/>
      <c r="AH7" s="573" t="s">
        <v>154</v>
      </c>
      <c r="AI7" s="576">
        <f t="shared" ref="AI7:AN7" si="4">(1-AI8)/AI6</f>
        <v>0.47499999999999998</v>
      </c>
      <c r="AJ7" s="576">
        <f t="shared" si="4"/>
        <v>0.98</v>
      </c>
      <c r="AK7" s="576">
        <f t="shared" si="4"/>
        <v>0.5</v>
      </c>
      <c r="AL7" s="576">
        <f t="shared" si="4"/>
        <v>0.3</v>
      </c>
      <c r="AM7" s="576">
        <f t="shared" si="4"/>
        <v>0.47499999999999998</v>
      </c>
      <c r="AN7" s="576">
        <f t="shared" si="4"/>
        <v>0.65</v>
      </c>
      <c r="AO7" s="576"/>
      <c r="AP7" s="576"/>
      <c r="AQ7" s="576">
        <f>(1-AQ8)/AQ6</f>
        <v>0.47499999999999998</v>
      </c>
      <c r="AR7" s="666" t="s">
        <v>278</v>
      </c>
      <c r="AT7" s="414" t="s">
        <v>917</v>
      </c>
      <c r="AU7" s="414" t="s">
        <v>831</v>
      </c>
    </row>
    <row r="8" spans="2:47" ht="14.5" customHeight="1">
      <c r="B8" s="462">
        <v>0</v>
      </c>
      <c r="C8" s="463">
        <v>450</v>
      </c>
      <c r="D8" s="463" t="s">
        <v>211</v>
      </c>
      <c r="E8" s="463">
        <v>450</v>
      </c>
      <c r="J8" s="442" t="s">
        <v>140</v>
      </c>
      <c r="K8" s="443">
        <v>1</v>
      </c>
      <c r="L8" s="444">
        <f t="shared" si="0"/>
        <v>0.98</v>
      </c>
      <c r="M8" s="445">
        <v>0.02</v>
      </c>
      <c r="N8" s="446" t="s">
        <v>101</v>
      </c>
      <c r="O8" s="447">
        <v>6</v>
      </c>
      <c r="P8" s="448"/>
      <c r="Q8" s="449">
        <v>0.05</v>
      </c>
      <c r="R8" s="449"/>
      <c r="S8" s="450">
        <v>0</v>
      </c>
      <c r="T8" s="451">
        <v>0.1</v>
      </c>
      <c r="U8" s="452">
        <v>7.0000000000000007E-2</v>
      </c>
      <c r="V8" s="453">
        <v>6.5000000000000002E-2</v>
      </c>
      <c r="W8" s="454">
        <v>100</v>
      </c>
      <c r="X8" s="455">
        <v>100</v>
      </c>
      <c r="Y8" s="456">
        <v>135</v>
      </c>
      <c r="Z8" s="457"/>
      <c r="AA8" s="458">
        <f>INDEX(summary!$A$2:$AD$24,MATCH('opex tbales'!$J8,summary!$A$2:$A$24,0),MATCH('opex tbales'!AA$6,summary!$A$2:$AD$2,0))</f>
        <v>6.4240902159218224E-2</v>
      </c>
      <c r="AB8" s="459">
        <f t="shared" si="1"/>
        <v>307721.54862000002</v>
      </c>
      <c r="AC8" s="460">
        <f t="shared" si="2"/>
        <v>6.597735415674516E-2</v>
      </c>
      <c r="AD8" s="461">
        <f t="shared" si="3"/>
        <v>4.2885280201884358E-3</v>
      </c>
      <c r="AG8" s="910"/>
      <c r="AH8" s="573" t="s">
        <v>153</v>
      </c>
      <c r="AI8" s="577">
        <v>0.05</v>
      </c>
      <c r="AJ8" s="577">
        <v>0.02</v>
      </c>
      <c r="AK8" s="577">
        <v>0</v>
      </c>
      <c r="AL8" s="577">
        <v>0.1</v>
      </c>
      <c r="AM8" s="577">
        <v>0.05</v>
      </c>
      <c r="AN8" s="577">
        <v>0.35</v>
      </c>
      <c r="AO8" s="577"/>
      <c r="AP8" s="577"/>
      <c r="AQ8" s="577">
        <v>0.05</v>
      </c>
      <c r="AR8" s="666" t="s">
        <v>278</v>
      </c>
      <c r="AT8" s="414" t="s">
        <v>918</v>
      </c>
      <c r="AU8" s="414" t="s">
        <v>832</v>
      </c>
    </row>
    <row r="9" spans="2:47" ht="14.5" customHeight="1">
      <c r="B9" s="462">
        <v>1</v>
      </c>
      <c r="C9" s="463">
        <v>650</v>
      </c>
      <c r="D9" s="463" t="s">
        <v>211</v>
      </c>
      <c r="E9" s="463">
        <v>650</v>
      </c>
      <c r="J9" s="442" t="s">
        <v>156</v>
      </c>
      <c r="K9" s="443">
        <v>2</v>
      </c>
      <c r="L9" s="444">
        <f t="shared" si="0"/>
        <v>0.5</v>
      </c>
      <c r="M9" s="445">
        <v>0</v>
      </c>
      <c r="N9" s="464"/>
      <c r="P9" s="465"/>
      <c r="Q9" s="449">
        <v>0</v>
      </c>
      <c r="R9" s="449"/>
      <c r="S9" s="450">
        <v>0</v>
      </c>
      <c r="T9" s="451">
        <v>0.1</v>
      </c>
      <c r="U9" s="452">
        <v>0</v>
      </c>
      <c r="V9" s="453">
        <v>6.25E-2</v>
      </c>
      <c r="W9" s="454">
        <v>100</v>
      </c>
      <c r="X9" s="455">
        <v>100</v>
      </c>
      <c r="Y9" s="456">
        <v>165</v>
      </c>
      <c r="Z9" s="457"/>
      <c r="AA9" s="458">
        <f>INDEX(summary!$A$2:$AD$24,MATCH('opex tbales'!$J9,summary!$A$2:$A$24,0),MATCH('opex tbales'!AA$6,summary!$A$2:$AD$2,0))</f>
        <v>0.1288926101400048</v>
      </c>
      <c r="AB9" s="459">
        <f t="shared" si="1"/>
        <v>617410.90590000013</v>
      </c>
      <c r="AC9" s="460">
        <f t="shared" si="2"/>
        <v>0.13237661834694678</v>
      </c>
      <c r="AD9" s="461">
        <f t="shared" si="3"/>
        <v>8.2735386466841736E-3</v>
      </c>
      <c r="AG9" s="911" t="s">
        <v>150</v>
      </c>
      <c r="AH9" s="578" t="s">
        <v>183</v>
      </c>
      <c r="AI9" s="579" t="s">
        <v>101</v>
      </c>
      <c r="AJ9" s="580" t="s">
        <v>101</v>
      </c>
      <c r="AK9" s="579" t="s">
        <v>278</v>
      </c>
      <c r="AL9" s="580" t="s">
        <v>101</v>
      </c>
      <c r="AM9" s="580" t="s">
        <v>101</v>
      </c>
      <c r="AN9" s="580" t="s">
        <v>124</v>
      </c>
      <c r="AO9" s="580" t="s">
        <v>124</v>
      </c>
      <c r="AP9" s="580" t="s">
        <v>124</v>
      </c>
      <c r="AQ9" s="580" t="s">
        <v>124</v>
      </c>
      <c r="AR9" s="580" t="s">
        <v>124</v>
      </c>
      <c r="AT9" s="414" t="s">
        <v>919</v>
      </c>
    </row>
    <row r="10" spans="2:47" ht="14.5" customHeight="1">
      <c r="B10" s="462">
        <v>2</v>
      </c>
      <c r="C10" s="463">
        <v>1000</v>
      </c>
      <c r="D10" s="463">
        <v>1000</v>
      </c>
      <c r="E10" s="463">
        <v>1000</v>
      </c>
      <c r="J10" s="442" t="s">
        <v>109</v>
      </c>
      <c r="K10" s="443">
        <v>3</v>
      </c>
      <c r="L10" s="444">
        <f>(1-M10)/K10</f>
        <v>0.3</v>
      </c>
      <c r="M10" s="445">
        <v>0.1</v>
      </c>
      <c r="N10" s="446" t="s">
        <v>101</v>
      </c>
      <c r="O10" s="447">
        <v>10</v>
      </c>
      <c r="P10" s="466" t="s">
        <v>223</v>
      </c>
      <c r="Q10" s="449">
        <v>0.05</v>
      </c>
      <c r="R10" s="449">
        <v>50</v>
      </c>
      <c r="S10" s="450">
        <v>1</v>
      </c>
      <c r="T10" s="451">
        <v>0</v>
      </c>
      <c r="U10" s="452">
        <v>7.0000000000000007E-2</v>
      </c>
      <c r="V10" s="453">
        <v>7.4999999999999997E-2</v>
      </c>
      <c r="W10" s="454">
        <v>100</v>
      </c>
      <c r="X10" s="455">
        <v>100</v>
      </c>
      <c r="Y10" s="456">
        <v>135</v>
      </c>
      <c r="Z10" s="457"/>
      <c r="AA10" s="458">
        <f>INDEX(summary!$A$2:$AD$24,MATCH('opex tbales'!$J10,summary!$A$2:$A$24,0),MATCH('opex tbales'!AA$6,summary!$A$2:$AD$2,0))</f>
        <v>0.27536453644808828</v>
      </c>
      <c r="AB10" s="459">
        <f t="shared" si="1"/>
        <v>1319028.8234250001</v>
      </c>
      <c r="AC10" s="460">
        <f t="shared" si="2"/>
        <v>0.28280772736371818</v>
      </c>
      <c r="AD10" s="461">
        <f t="shared" si="3"/>
        <v>2.1210579552278862E-2</v>
      </c>
      <c r="AG10" s="911"/>
      <c r="AH10" s="578" t="s">
        <v>931</v>
      </c>
      <c r="AI10" s="582">
        <v>6</v>
      </c>
      <c r="AJ10" s="582">
        <v>6</v>
      </c>
      <c r="AK10" s="579" t="s">
        <v>278</v>
      </c>
      <c r="AL10" s="582">
        <v>10</v>
      </c>
      <c r="AM10" s="582">
        <v>11</v>
      </c>
      <c r="AN10" s="584">
        <v>0.35</v>
      </c>
      <c r="AO10" s="585">
        <v>0.05</v>
      </c>
      <c r="AP10" s="585">
        <v>0.05</v>
      </c>
      <c r="AQ10" s="584">
        <v>0.25</v>
      </c>
      <c r="AR10" s="665" t="s">
        <v>278</v>
      </c>
      <c r="AT10" s="414" t="s">
        <v>920</v>
      </c>
      <c r="AU10" s="414" t="s">
        <v>833</v>
      </c>
    </row>
    <row r="11" spans="2:47" ht="14.5" customHeight="1">
      <c r="B11" s="462">
        <v>3</v>
      </c>
      <c r="C11" s="463">
        <v>1200</v>
      </c>
      <c r="D11" s="463">
        <v>1200</v>
      </c>
      <c r="E11" s="463">
        <v>1200</v>
      </c>
      <c r="J11" s="442" t="s">
        <v>141</v>
      </c>
      <c r="K11" s="443">
        <v>2</v>
      </c>
      <c r="L11" s="444">
        <f t="shared" si="0"/>
        <v>0.47499999999999998</v>
      </c>
      <c r="M11" s="445">
        <v>0.05</v>
      </c>
      <c r="N11" s="446" t="s">
        <v>101</v>
      </c>
      <c r="O11" s="447">
        <v>11</v>
      </c>
      <c r="P11" s="466" t="s">
        <v>223</v>
      </c>
      <c r="Q11" s="449">
        <v>0.05</v>
      </c>
      <c r="R11" s="449">
        <v>60</v>
      </c>
      <c r="S11" s="450">
        <v>1</v>
      </c>
      <c r="T11" s="451">
        <v>0</v>
      </c>
      <c r="U11" s="452">
        <v>7.0000000000000007E-2</v>
      </c>
      <c r="V11" s="453">
        <v>7.4999999999999997E-2</v>
      </c>
      <c r="W11" s="454">
        <v>100</v>
      </c>
      <c r="X11" s="455">
        <v>100</v>
      </c>
      <c r="Y11" s="456">
        <v>135</v>
      </c>
      <c r="Z11" s="457"/>
      <c r="AA11" s="458">
        <f>INDEX(summary!$A$2:$AD$24,MATCH('opex tbales'!$J11,summary!$A$2:$A$24,0),MATCH('opex tbales'!AA$6,summary!$A$2:$AD$2,0))</f>
        <v>5.4679551066842913E-2</v>
      </c>
      <c r="AB11" s="459">
        <f t="shared" si="1"/>
        <v>261921.54167500001</v>
      </c>
      <c r="AC11" s="460">
        <f t="shared" si="2"/>
        <v>5.6157556706280698E-2</v>
      </c>
      <c r="AD11" s="461">
        <f t="shared" si="3"/>
        <v>4.211816752971052E-3</v>
      </c>
      <c r="AG11" s="911"/>
      <c r="AH11" s="578" t="s">
        <v>216</v>
      </c>
      <c r="AI11" s="581" t="s">
        <v>278</v>
      </c>
      <c r="AJ11" s="582"/>
      <c r="AK11" s="579" t="s">
        <v>278</v>
      </c>
      <c r="AL11" s="583" t="s">
        <v>223</v>
      </c>
      <c r="AM11" s="583" t="s">
        <v>223</v>
      </c>
      <c r="AN11" s="584"/>
      <c r="AO11" s="585"/>
      <c r="AP11" s="585"/>
      <c r="AQ11" s="584"/>
      <c r="AR11" s="665" t="s">
        <v>278</v>
      </c>
      <c r="AT11" s="414" t="s">
        <v>921</v>
      </c>
      <c r="AU11" s="414" t="s">
        <v>833</v>
      </c>
    </row>
    <row r="12" spans="2:47" ht="14.5" customHeight="1">
      <c r="B12" s="462"/>
      <c r="C12" s="441" t="s">
        <v>106</v>
      </c>
      <c r="D12" s="441" t="s">
        <v>106</v>
      </c>
      <c r="E12" s="441" t="s">
        <v>106</v>
      </c>
      <c r="J12" s="442" t="s">
        <v>144</v>
      </c>
      <c r="K12" s="443">
        <v>1</v>
      </c>
      <c r="L12" s="444">
        <f t="shared" si="0"/>
        <v>0.65</v>
      </c>
      <c r="M12" s="445">
        <v>0.35</v>
      </c>
      <c r="N12" s="446" t="s">
        <v>124</v>
      </c>
      <c r="O12" s="445">
        <v>0.35</v>
      </c>
      <c r="P12" s="467"/>
      <c r="Q12" s="449">
        <v>0.05</v>
      </c>
      <c r="R12" s="449"/>
      <c r="S12" s="450">
        <v>0</v>
      </c>
      <c r="T12" s="451">
        <v>0.25</v>
      </c>
      <c r="U12" s="452">
        <v>7.0000000000000007E-2</v>
      </c>
      <c r="V12" s="453">
        <v>0.08</v>
      </c>
      <c r="W12" s="454">
        <v>100</v>
      </c>
      <c r="X12" s="455">
        <v>100</v>
      </c>
      <c r="Y12" s="456">
        <v>225</v>
      </c>
      <c r="Z12" s="457"/>
      <c r="AA12" s="458">
        <f>INDEX(summary!$A$2:$AD$24,MATCH('opex tbales'!$J12,summary!$A$2:$A$24,0),MATCH('opex tbales'!AA$6,summary!$A$2:$AD$2,0))</f>
        <v>7.0646817860703176E-2</v>
      </c>
      <c r="AB12" s="459">
        <f t="shared" si="1"/>
        <v>338406.64540000004</v>
      </c>
      <c r="AC12" s="460">
        <f t="shared" si="2"/>
        <v>7.2556423795082731E-2</v>
      </c>
      <c r="AD12" s="461">
        <f t="shared" si="3"/>
        <v>5.8045139036066182E-3</v>
      </c>
      <c r="AG12" s="910" t="s">
        <v>161</v>
      </c>
      <c r="AH12" s="573" t="s">
        <v>930</v>
      </c>
      <c r="AI12" s="586">
        <v>0.25</v>
      </c>
      <c r="AJ12" s="586">
        <v>0.05</v>
      </c>
      <c r="AK12" s="586">
        <v>0</v>
      </c>
      <c r="AL12" s="586">
        <v>0.05</v>
      </c>
      <c r="AM12" s="586">
        <v>0.05</v>
      </c>
      <c r="AN12" s="586">
        <v>0.05</v>
      </c>
      <c r="AO12" s="586">
        <v>0.05</v>
      </c>
      <c r="AP12" s="586">
        <v>0.05</v>
      </c>
      <c r="AQ12" s="586">
        <v>2.5000000000000001E-2</v>
      </c>
      <c r="AR12" s="586">
        <v>0.1</v>
      </c>
      <c r="AT12" s="414" t="s">
        <v>922</v>
      </c>
      <c r="AU12" s="414" t="s">
        <v>834</v>
      </c>
    </row>
    <row r="13" spans="2:47" ht="14.5" customHeight="1">
      <c r="B13" s="462">
        <v>0</v>
      </c>
      <c r="C13" s="463">
        <v>1000</v>
      </c>
      <c r="D13" s="463"/>
      <c r="E13" s="463">
        <v>1000</v>
      </c>
      <c r="J13" s="442" t="s">
        <v>146</v>
      </c>
      <c r="K13" s="464"/>
      <c r="L13" s="444"/>
      <c r="M13" s="445"/>
      <c r="N13" s="446" t="s">
        <v>124</v>
      </c>
      <c r="O13" s="468">
        <v>0.05</v>
      </c>
      <c r="P13" s="469"/>
      <c r="Q13" s="449">
        <v>0.05</v>
      </c>
      <c r="R13" s="449"/>
      <c r="S13" s="450">
        <v>0</v>
      </c>
      <c r="T13" s="451">
        <v>0</v>
      </c>
      <c r="U13" s="452">
        <v>7.0000000000000007E-2</v>
      </c>
      <c r="V13" s="453">
        <v>0.08</v>
      </c>
      <c r="W13" s="454">
        <v>100</v>
      </c>
      <c r="X13" s="455">
        <v>100</v>
      </c>
      <c r="Y13" s="456"/>
      <c r="Z13" s="457"/>
      <c r="AA13" s="458"/>
      <c r="AB13" s="459">
        <f t="shared" si="1"/>
        <v>0</v>
      </c>
      <c r="AC13" s="460">
        <f t="shared" si="2"/>
        <v>0</v>
      </c>
      <c r="AD13" s="461">
        <f t="shared" si="3"/>
        <v>0</v>
      </c>
      <c r="AG13" s="910"/>
      <c r="AH13" s="573" t="s">
        <v>929</v>
      </c>
      <c r="AI13" s="587" t="s">
        <v>278</v>
      </c>
      <c r="AJ13" s="586"/>
      <c r="AK13" s="587" t="s">
        <v>278</v>
      </c>
      <c r="AL13" s="586">
        <v>50</v>
      </c>
      <c r="AM13" s="586">
        <v>60</v>
      </c>
      <c r="AN13" s="586"/>
      <c r="AO13" s="586"/>
      <c r="AP13" s="586"/>
      <c r="AQ13" s="586"/>
      <c r="AR13" s="586" t="s">
        <v>278</v>
      </c>
      <c r="AT13" s="414" t="s">
        <v>923</v>
      </c>
      <c r="AU13" s="414" t="s">
        <v>835</v>
      </c>
    </row>
    <row r="14" spans="2:47" ht="14.5" customHeight="1">
      <c r="B14" s="462">
        <v>1</v>
      </c>
      <c r="C14" s="463">
        <v>1250</v>
      </c>
      <c r="D14" s="463"/>
      <c r="E14" s="463">
        <v>1500</v>
      </c>
      <c r="J14" s="442" t="s">
        <v>147</v>
      </c>
      <c r="K14" s="464"/>
      <c r="L14" s="444"/>
      <c r="M14" s="445"/>
      <c r="N14" s="446" t="s">
        <v>124</v>
      </c>
      <c r="O14" s="468">
        <v>0.05</v>
      </c>
      <c r="P14" s="469"/>
      <c r="Q14" s="449">
        <v>0.05</v>
      </c>
      <c r="R14" s="449"/>
      <c r="S14" s="450">
        <v>0</v>
      </c>
      <c r="T14" s="451">
        <v>0</v>
      </c>
      <c r="U14" s="452">
        <v>7.0000000000000007E-2</v>
      </c>
      <c r="V14" s="453">
        <v>0.08</v>
      </c>
      <c r="W14" s="454">
        <v>100</v>
      </c>
      <c r="X14" s="455">
        <v>100</v>
      </c>
      <c r="Y14" s="456"/>
      <c r="Z14" s="457"/>
      <c r="AA14" s="458"/>
      <c r="AB14" s="459">
        <f t="shared" si="1"/>
        <v>0</v>
      </c>
      <c r="AC14" s="460">
        <f t="shared" si="2"/>
        <v>0</v>
      </c>
      <c r="AD14" s="461">
        <f t="shared" si="3"/>
        <v>0</v>
      </c>
      <c r="AG14" s="910"/>
      <c r="AH14" s="573" t="s">
        <v>933</v>
      </c>
      <c r="AI14" s="586">
        <v>2.5000000000000001E-2</v>
      </c>
      <c r="AJ14" s="586">
        <v>0</v>
      </c>
      <c r="AK14" s="586">
        <v>0</v>
      </c>
      <c r="AL14" s="586">
        <v>1</v>
      </c>
      <c r="AM14" s="586">
        <v>1</v>
      </c>
      <c r="AN14" s="586">
        <v>0</v>
      </c>
      <c r="AO14" s="586">
        <v>0</v>
      </c>
      <c r="AP14" s="586">
        <v>0</v>
      </c>
      <c r="AQ14" s="586">
        <v>0</v>
      </c>
      <c r="AR14" s="586" t="s">
        <v>278</v>
      </c>
      <c r="AT14" s="414" t="s">
        <v>924</v>
      </c>
      <c r="AU14" s="414" t="s">
        <v>836</v>
      </c>
    </row>
    <row r="15" spans="2:47" ht="14.5" customHeight="1">
      <c r="B15" s="462">
        <v>2</v>
      </c>
      <c r="C15" s="463">
        <v>2000</v>
      </c>
      <c r="D15" s="470">
        <f>G88</f>
        <v>1393.3333333333333</v>
      </c>
      <c r="E15" s="463">
        <v>2000</v>
      </c>
      <c r="J15" s="442" t="s">
        <v>130</v>
      </c>
      <c r="K15" s="443">
        <v>2</v>
      </c>
      <c r="L15" s="444">
        <f>(1-M15)/K15</f>
        <v>0.47499999999999998</v>
      </c>
      <c r="M15" s="445">
        <v>0.05</v>
      </c>
      <c r="N15" s="446" t="s">
        <v>124</v>
      </c>
      <c r="O15" s="445">
        <v>0.25</v>
      </c>
      <c r="P15" s="467"/>
      <c r="Q15" s="449">
        <v>2.5000000000000001E-2</v>
      </c>
      <c r="R15" s="449"/>
      <c r="S15" s="450">
        <v>0</v>
      </c>
      <c r="T15" s="451">
        <v>0.4</v>
      </c>
      <c r="U15" s="452">
        <v>0.09</v>
      </c>
      <c r="V15" s="453">
        <v>0.09</v>
      </c>
      <c r="W15" s="454">
        <v>100</v>
      </c>
      <c r="X15" s="455">
        <v>100</v>
      </c>
      <c r="Y15" s="456">
        <v>70</v>
      </c>
      <c r="Z15" s="457"/>
      <c r="AA15" s="458">
        <f>INDEX(summary!$A$2:$AD$24,MATCH('opex tbales'!$J15,summary!$A$2:$A$24,0),MATCH('opex tbales'!AA$6,summary!$A$2:$AD$2,0))</f>
        <v>0.16148002406884726</v>
      </c>
      <c r="AB15" s="459">
        <f t="shared" si="1"/>
        <v>773508.48770000006</v>
      </c>
      <c r="AC15" s="460">
        <f t="shared" si="2"/>
        <v>0.16584488042874213</v>
      </c>
      <c r="AD15" s="461">
        <f t="shared" si="3"/>
        <v>1.4926039238586791E-2</v>
      </c>
      <c r="AG15" s="536" t="s">
        <v>826</v>
      </c>
      <c r="AH15" s="578" t="s">
        <v>934</v>
      </c>
      <c r="AI15" s="588">
        <v>0.1</v>
      </c>
      <c r="AJ15" s="588">
        <v>0.1</v>
      </c>
      <c r="AK15" s="588">
        <v>0.1</v>
      </c>
      <c r="AL15" s="588">
        <v>0</v>
      </c>
      <c r="AM15" s="588">
        <v>0</v>
      </c>
      <c r="AN15" s="588">
        <v>0.25</v>
      </c>
      <c r="AO15" s="588">
        <v>0</v>
      </c>
      <c r="AP15" s="588">
        <v>0</v>
      </c>
      <c r="AQ15" s="588">
        <v>0.4</v>
      </c>
      <c r="AR15" s="588">
        <v>0</v>
      </c>
      <c r="AT15" s="414" t="s">
        <v>925</v>
      </c>
      <c r="AU15" s="414" t="s">
        <v>837</v>
      </c>
    </row>
    <row r="16" spans="2:47" ht="14.5" customHeight="1" thickBot="1">
      <c r="B16" s="462">
        <v>3</v>
      </c>
      <c r="C16" s="463">
        <v>2250</v>
      </c>
      <c r="D16" s="470">
        <f>G89</f>
        <v>1566.6666666666667</v>
      </c>
      <c r="E16" s="463">
        <v>2000</v>
      </c>
      <c r="J16" s="471" t="s">
        <v>283</v>
      </c>
      <c r="K16" s="472"/>
      <c r="L16" s="473"/>
      <c r="M16" s="473"/>
      <c r="N16" s="474" t="s">
        <v>124</v>
      </c>
      <c r="O16" s="475"/>
      <c r="P16" s="476"/>
      <c r="Q16" s="477">
        <v>0.1</v>
      </c>
      <c r="R16" s="477"/>
      <c r="S16" s="478">
        <v>0</v>
      </c>
      <c r="T16" s="479">
        <v>0</v>
      </c>
      <c r="U16" s="480">
        <v>0</v>
      </c>
      <c r="V16" s="481">
        <v>0</v>
      </c>
      <c r="W16" s="482">
        <v>100</v>
      </c>
      <c r="X16" s="483">
        <v>100</v>
      </c>
      <c r="Y16" s="484">
        <v>225</v>
      </c>
      <c r="Z16" s="457"/>
      <c r="AA16" s="485"/>
      <c r="AB16" s="473"/>
      <c r="AC16" s="473"/>
      <c r="AD16" s="486"/>
      <c r="AG16" s="910" t="s">
        <v>174</v>
      </c>
      <c r="AH16" s="573" t="s">
        <v>188</v>
      </c>
      <c r="AI16" s="589">
        <v>7.0000000000000007E-2</v>
      </c>
      <c r="AJ16" s="589">
        <v>7.0000000000000007E-2</v>
      </c>
      <c r="AK16" s="589">
        <v>0</v>
      </c>
      <c r="AL16" s="589">
        <v>7.0000000000000007E-2</v>
      </c>
      <c r="AM16" s="589">
        <v>7.0000000000000007E-2</v>
      </c>
      <c r="AN16" s="589">
        <v>7.0000000000000007E-2</v>
      </c>
      <c r="AO16" s="589">
        <v>7.0000000000000007E-2</v>
      </c>
      <c r="AP16" s="589">
        <v>7.0000000000000007E-2</v>
      </c>
      <c r="AQ16" s="589">
        <v>0.09</v>
      </c>
      <c r="AR16" s="589">
        <v>0</v>
      </c>
      <c r="AT16" s="414" t="s">
        <v>926</v>
      </c>
    </row>
    <row r="17" spans="2:47" ht="14.5" customHeight="1">
      <c r="C17" s="441" t="s">
        <v>95</v>
      </c>
      <c r="D17" s="441" t="s">
        <v>95</v>
      </c>
      <c r="E17" s="441" t="s">
        <v>95</v>
      </c>
      <c r="W17" s="487" t="s">
        <v>423</v>
      </c>
      <c r="AB17" s="488">
        <f>SUM(AB7:AB16)</f>
        <v>4664048.0291000009</v>
      </c>
      <c r="AD17" s="489">
        <f>SUM(AD7:AD16)</f>
        <v>7.2732481064471194E-2</v>
      </c>
      <c r="AG17" s="910"/>
      <c r="AH17" s="573" t="s">
        <v>189</v>
      </c>
      <c r="AI17" s="589">
        <v>6.25E-2</v>
      </c>
      <c r="AJ17" s="589">
        <v>6.5000000000000002E-2</v>
      </c>
      <c r="AK17" s="613" t="s">
        <v>278</v>
      </c>
      <c r="AL17" s="589">
        <v>7.4999999999999997E-2</v>
      </c>
      <c r="AM17" s="589">
        <v>7.4999999999999997E-2</v>
      </c>
      <c r="AN17" s="589">
        <v>0.08</v>
      </c>
      <c r="AO17" s="589">
        <v>0.08</v>
      </c>
      <c r="AP17" s="589">
        <v>0.08</v>
      </c>
      <c r="AQ17" s="589">
        <v>0.09</v>
      </c>
      <c r="AR17" s="589">
        <v>0</v>
      </c>
      <c r="AT17" s="414" t="s">
        <v>927</v>
      </c>
    </row>
    <row r="18" spans="2:47" ht="14.5" customHeight="1" thickBot="1">
      <c r="B18" s="462">
        <v>0</v>
      </c>
      <c r="C18" s="445">
        <v>0.4</v>
      </c>
      <c r="D18" s="445">
        <v>0</v>
      </c>
      <c r="E18" s="445">
        <v>0.15</v>
      </c>
      <c r="AG18" s="590" t="s">
        <v>825</v>
      </c>
      <c r="AH18" s="612" t="s">
        <v>935</v>
      </c>
      <c r="AI18" s="537">
        <v>135</v>
      </c>
      <c r="AJ18" s="537">
        <v>135</v>
      </c>
      <c r="AK18" s="537">
        <v>165</v>
      </c>
      <c r="AL18" s="537">
        <v>135</v>
      </c>
      <c r="AM18" s="537">
        <v>135</v>
      </c>
      <c r="AN18" s="537">
        <v>225</v>
      </c>
      <c r="AO18" s="537"/>
      <c r="AP18" s="537"/>
      <c r="AQ18" s="537">
        <v>70</v>
      </c>
      <c r="AR18" s="537">
        <v>225</v>
      </c>
      <c r="AS18" s="614"/>
      <c r="AT18" s="414" t="s">
        <v>928</v>
      </c>
    </row>
    <row r="19" spans="2:47">
      <c r="B19" s="462">
        <v>1</v>
      </c>
      <c r="C19" s="445">
        <v>0.35</v>
      </c>
      <c r="D19" s="445">
        <v>0</v>
      </c>
      <c r="E19" s="445">
        <v>0.3</v>
      </c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614"/>
      <c r="AU19" s="614"/>
    </row>
    <row r="20" spans="2:47">
      <c r="B20" s="462">
        <v>2</v>
      </c>
      <c r="C20" s="445">
        <v>0.2</v>
      </c>
      <c r="D20" s="445">
        <v>0.75</v>
      </c>
      <c r="E20" s="445">
        <v>0.45</v>
      </c>
      <c r="AG20" s="616" t="s">
        <v>916</v>
      </c>
      <c r="AH20" s="615" t="s">
        <v>838</v>
      </c>
    </row>
    <row r="21" spans="2:47">
      <c r="B21" s="462">
        <v>3</v>
      </c>
      <c r="C21" s="445">
        <v>0.05</v>
      </c>
      <c r="D21" s="445">
        <v>0.25</v>
      </c>
      <c r="E21" s="445">
        <v>0.1</v>
      </c>
      <c r="J21" s="490" t="s">
        <v>163</v>
      </c>
      <c r="K21" s="491"/>
      <c r="L21" s="491"/>
      <c r="M21" s="491"/>
      <c r="R21" s="490" t="s">
        <v>454</v>
      </c>
      <c r="S21" s="491"/>
      <c r="T21" s="491"/>
      <c r="U21" s="491"/>
    </row>
    <row r="22" spans="2:47">
      <c r="C22" s="492" t="b">
        <f>SUM(C18:C21)=1</f>
        <v>1</v>
      </c>
      <c r="D22" s="492" t="b">
        <f>SUM(D18:D21)=1</f>
        <v>1</v>
      </c>
      <c r="E22" s="492" t="b">
        <f>SUM(E18:E21)=1</f>
        <v>1</v>
      </c>
    </row>
    <row r="23" spans="2:47">
      <c r="J23" s="493" t="s">
        <v>89</v>
      </c>
      <c r="K23" s="493" t="s">
        <v>160</v>
      </c>
      <c r="L23" s="493" t="s">
        <v>402</v>
      </c>
      <c r="M23" s="493" t="s">
        <v>178</v>
      </c>
      <c r="N23" s="493" t="s">
        <v>179</v>
      </c>
      <c r="O23" s="493" t="s">
        <v>403</v>
      </c>
      <c r="R23" s="493" t="s">
        <v>171</v>
      </c>
      <c r="S23" s="493"/>
      <c r="T23" s="493"/>
      <c r="U23" s="493"/>
    </row>
    <row r="24" spans="2:47">
      <c r="B24" s="493" t="s">
        <v>93</v>
      </c>
      <c r="C24" s="493" t="s">
        <v>103</v>
      </c>
      <c r="D24" s="493" t="s">
        <v>104</v>
      </c>
      <c r="E24" s="493" t="s">
        <v>108</v>
      </c>
      <c r="F24" s="494" t="s">
        <v>213</v>
      </c>
      <c r="G24" s="493" t="s">
        <v>214</v>
      </c>
      <c r="H24" s="493" t="s">
        <v>206</v>
      </c>
      <c r="J24" s="415">
        <v>1</v>
      </c>
      <c r="K24" s="495">
        <v>3</v>
      </c>
      <c r="L24" s="495">
        <v>1</v>
      </c>
      <c r="M24" s="414">
        <f>Phase1begin+constructiontimephase1-1</f>
        <v>3</v>
      </c>
      <c r="N24" s="414">
        <f>Phase1end+1</f>
        <v>4</v>
      </c>
      <c r="O24" s="414">
        <f>Phase1open+MAX(K7:K16)-1</f>
        <v>6</v>
      </c>
      <c r="R24" s="414" t="s">
        <v>415</v>
      </c>
      <c r="S24" s="496">
        <v>0.55000000000000004</v>
      </c>
    </row>
    <row r="25" spans="2:47">
      <c r="B25" s="497" t="s">
        <v>164</v>
      </c>
      <c r="C25" s="498">
        <f>SUMPRODUCT($C$8:$C$11,C18:C21)</f>
        <v>667.5</v>
      </c>
      <c r="D25" s="499">
        <f>SUMPRODUCT(C18:C21,C13:C16)</f>
        <v>1350</v>
      </c>
      <c r="E25" s="500">
        <f>D25/C25</f>
        <v>2.0224719101123596</v>
      </c>
      <c r="F25" s="501">
        <f>MarketrateSF/SUM(MarketrateSF,ResidentialCondominiumSF,ResidentialAffordableSF)</f>
        <v>0.53067134067102129</v>
      </c>
      <c r="G25" s="459">
        <f>MarketrateSF*(1-T7)</f>
        <v>941445.06874199992</v>
      </c>
      <c r="H25" s="459">
        <f>G25/C25</f>
        <v>1410.4045973662919</v>
      </c>
      <c r="J25" s="415">
        <v>2</v>
      </c>
      <c r="K25" s="495">
        <v>2</v>
      </c>
      <c r="L25" s="502">
        <f>Phase1open</f>
        <v>4</v>
      </c>
      <c r="M25" s="414">
        <f>Phase2begin+constructiontimephase2-1</f>
        <v>5</v>
      </c>
      <c r="N25" s="414">
        <f>Phase2end+1</f>
        <v>6</v>
      </c>
      <c r="O25" s="414">
        <f>Phase2open+MAX(K7:K16)-1</f>
        <v>8</v>
      </c>
      <c r="R25" s="414" t="s">
        <v>411</v>
      </c>
      <c r="S25" s="496">
        <v>0.05</v>
      </c>
    </row>
    <row r="26" spans="2:47">
      <c r="B26" s="497" t="s">
        <v>140</v>
      </c>
      <c r="C26" s="498">
        <f>SUMPRODUCT($D$8:$D$11,D18:D21)</f>
        <v>1050</v>
      </c>
      <c r="D26" s="499">
        <f>SUMPRODUCT(D18:D21,D13:D16)</f>
        <v>1436.6666666666667</v>
      </c>
      <c r="E26" s="500">
        <f>D26/C26</f>
        <v>1.3682539682539683</v>
      </c>
      <c r="F26" s="501">
        <f>ResidentialAffordableSF/SUM(MarketrateSF,ResidentialCondominiumSF,ResidentialAffordableSF)</f>
        <v>0.15611012364212709</v>
      </c>
      <c r="G26" s="459">
        <f>ResidentialAffordableSF*(1-T8)</f>
        <v>276949.39375800005</v>
      </c>
      <c r="H26" s="459">
        <f>G26/C26</f>
        <v>263.76132738857149</v>
      </c>
      <c r="J26" s="415">
        <v>3</v>
      </c>
      <c r="K26" s="495">
        <v>2</v>
      </c>
      <c r="L26" s="502">
        <f>Phase2open</f>
        <v>6</v>
      </c>
      <c r="M26" s="414">
        <f>Phase3begin+constructiontimephase3-1</f>
        <v>7</v>
      </c>
      <c r="N26" s="414">
        <f>Phase3end+1</f>
        <v>8</v>
      </c>
      <c r="O26" s="414">
        <f>Phase3open+MAX(K7:K16)-1</f>
        <v>10</v>
      </c>
      <c r="R26" s="414" t="s">
        <v>447</v>
      </c>
      <c r="S26" s="496">
        <v>0.02</v>
      </c>
    </row>
    <row r="27" spans="2:47">
      <c r="E27" s="493" t="s">
        <v>107</v>
      </c>
      <c r="F27" s="503"/>
      <c r="G27" s="459"/>
      <c r="H27" s="504"/>
    </row>
    <row r="28" spans="2:47">
      <c r="B28" s="497" t="s">
        <v>92</v>
      </c>
      <c r="C28" s="498">
        <f>SUMPRODUCT($E$8:$E$11,E18:E21)</f>
        <v>832.5</v>
      </c>
      <c r="D28" s="499"/>
      <c r="E28" s="447">
        <v>290</v>
      </c>
      <c r="F28" s="501">
        <f>ResidentialCondominiumSF/SUM(MarketrateSF,ResidentialCondominiumSF,ResidentialAffordableSF)</f>
        <v>0.3132185356868516</v>
      </c>
      <c r="G28" s="459">
        <f>ResidentialCondominiumSF*(1-T9)</f>
        <v>555669.81530999998</v>
      </c>
      <c r="H28" s="459">
        <f>G28/C28</f>
        <v>667.47124962162161</v>
      </c>
      <c r="J28" s="427"/>
      <c r="K28" s="495"/>
      <c r="R28" s="493" t="s">
        <v>172</v>
      </c>
      <c r="S28" s="493"/>
      <c r="T28" s="493"/>
      <c r="U28" s="493"/>
    </row>
    <row r="29" spans="2:47">
      <c r="B29" s="415" t="s">
        <v>212</v>
      </c>
      <c r="C29" s="488">
        <f>SUMPRODUCT(C25:C28,F25:F28)</f>
        <v>778.89318068144405</v>
      </c>
      <c r="E29" s="499">
        <f>Condoaveragesize*CondosalePSF</f>
        <v>241425</v>
      </c>
      <c r="F29" s="505">
        <f>SUM(F25:F28)</f>
        <v>1</v>
      </c>
      <c r="G29" s="506"/>
      <c r="H29" s="498">
        <f>SUM(H25:H28)</f>
        <v>2341.6371743764848</v>
      </c>
      <c r="J29" s="414" t="s">
        <v>157</v>
      </c>
      <c r="K29" s="496">
        <v>0.03</v>
      </c>
      <c r="R29" s="414" t="s">
        <v>416</v>
      </c>
      <c r="S29" s="496">
        <v>0.65</v>
      </c>
    </row>
    <row r="30" spans="2:47">
      <c r="R30" s="414" t="s">
        <v>448</v>
      </c>
      <c r="S30" s="496">
        <v>4.2500000000000003E-2</v>
      </c>
    </row>
    <row r="31" spans="2:47">
      <c r="B31" s="412" t="s">
        <v>113</v>
      </c>
      <c r="C31" s="413"/>
      <c r="D31" s="413"/>
      <c r="E31" s="413"/>
      <c r="F31" s="413"/>
      <c r="G31" s="413"/>
      <c r="H31" s="413"/>
      <c r="R31" s="414" t="s">
        <v>417</v>
      </c>
      <c r="S31" s="463">
        <v>30</v>
      </c>
    </row>
    <row r="32" spans="2:47">
      <c r="J32" s="507" t="s">
        <v>268</v>
      </c>
      <c r="K32" s="491"/>
      <c r="R32" s="414" t="s">
        <v>449</v>
      </c>
      <c r="S32" s="496">
        <v>0.02</v>
      </c>
    </row>
    <row r="33" spans="2:26">
      <c r="B33" s="508" t="s">
        <v>112</v>
      </c>
      <c r="C33" s="508" t="s">
        <v>101</v>
      </c>
      <c r="D33" s="493" t="s">
        <v>118</v>
      </c>
      <c r="J33" s="414" t="s">
        <v>246</v>
      </c>
      <c r="K33" s="447">
        <v>2</v>
      </c>
    </row>
    <row r="34" spans="2:26">
      <c r="B34" s="414" t="s">
        <v>111</v>
      </c>
      <c r="C34" s="447">
        <v>25</v>
      </c>
      <c r="J34" s="414" t="s">
        <v>247</v>
      </c>
      <c r="K34" s="447">
        <v>5</v>
      </c>
      <c r="R34" s="414" t="s">
        <v>524</v>
      </c>
      <c r="S34" s="496">
        <v>0.09</v>
      </c>
      <c r="Y34" s="415"/>
      <c r="Z34" s="415"/>
    </row>
    <row r="35" spans="2:26">
      <c r="B35" s="414" t="s">
        <v>110</v>
      </c>
      <c r="C35" s="447">
        <v>13.8</v>
      </c>
      <c r="J35" s="414" t="s">
        <v>260</v>
      </c>
      <c r="K35" s="447">
        <v>35</v>
      </c>
    </row>
    <row r="37" spans="2:26">
      <c r="B37" s="412" t="s">
        <v>115</v>
      </c>
      <c r="C37" s="413"/>
      <c r="D37" s="413"/>
      <c r="E37" s="413"/>
      <c r="F37" s="413"/>
      <c r="G37" s="413"/>
      <c r="H37" s="413"/>
      <c r="R37" s="509" t="s">
        <v>683</v>
      </c>
      <c r="S37" s="510"/>
      <c r="T37" s="510"/>
      <c r="U37" s="510"/>
    </row>
    <row r="38" spans="2:26">
      <c r="E38" s="905"/>
      <c r="F38" s="905"/>
      <c r="G38" s="905"/>
      <c r="R38" s="414" t="s">
        <v>652</v>
      </c>
      <c r="S38" s="496">
        <v>0.35</v>
      </c>
    </row>
    <row r="39" spans="2:26">
      <c r="B39" s="511" t="s">
        <v>116</v>
      </c>
      <c r="C39" s="511" t="s">
        <v>117</v>
      </c>
      <c r="D39" s="511" t="s">
        <v>118</v>
      </c>
      <c r="E39" s="511" t="s">
        <v>225</v>
      </c>
      <c r="F39" s="511" t="s">
        <v>226</v>
      </c>
      <c r="G39" s="511" t="s">
        <v>227</v>
      </c>
      <c r="J39" s="507" t="s">
        <v>177</v>
      </c>
      <c r="K39" s="507"/>
      <c r="R39" s="414" t="s">
        <v>653</v>
      </c>
      <c r="S39" s="495">
        <v>96.515000000000001</v>
      </c>
    </row>
    <row r="40" spans="2:26">
      <c r="B40" s="414" t="s">
        <v>165</v>
      </c>
      <c r="C40" s="447">
        <v>30</v>
      </c>
      <c r="D40" s="447">
        <v>10</v>
      </c>
      <c r="E40" s="459">
        <f>summary!AC17</f>
        <v>217930.61257500001</v>
      </c>
      <c r="F40" s="460">
        <f>E40/$E$43</f>
        <v>0.91650839683793262</v>
      </c>
      <c r="G40" s="512">
        <f>C40*F40</f>
        <v>27.495251905137977</v>
      </c>
      <c r="J40" s="414" t="s">
        <v>176</v>
      </c>
      <c r="K40" s="513">
        <v>0.02</v>
      </c>
      <c r="R40" s="414" t="s">
        <v>682</v>
      </c>
      <c r="S40" s="513">
        <v>0.25</v>
      </c>
    </row>
    <row r="41" spans="2:26">
      <c r="B41" s="414" t="s">
        <v>142</v>
      </c>
      <c r="C41" s="447">
        <v>20</v>
      </c>
      <c r="D41" s="447">
        <v>10</v>
      </c>
      <c r="E41" s="459">
        <f>summary!AC18</f>
        <v>7506.5</v>
      </c>
      <c r="F41" s="460">
        <f>E41/$E$43</f>
        <v>3.1568627278080512E-2</v>
      </c>
      <c r="G41" s="512">
        <f>C41*F41</f>
        <v>0.63137254556161027</v>
      </c>
      <c r="R41" s="414" t="s">
        <v>660</v>
      </c>
      <c r="S41" s="495">
        <v>1.25</v>
      </c>
    </row>
    <row r="42" spans="2:26">
      <c r="B42" s="414" t="s">
        <v>143</v>
      </c>
      <c r="C42" s="447">
        <v>25</v>
      </c>
      <c r="D42" s="447">
        <v>10</v>
      </c>
      <c r="E42" s="459">
        <f>summary!AC19</f>
        <v>12346.429100000001</v>
      </c>
      <c r="F42" s="460">
        <f>E42/$E$43</f>
        <v>5.1922975883986824E-2</v>
      </c>
      <c r="G42" s="512">
        <f>C42*F42</f>
        <v>1.2980743970996707</v>
      </c>
      <c r="J42" s="507" t="s">
        <v>203</v>
      </c>
      <c r="K42" s="507"/>
      <c r="L42" s="507"/>
      <c r="M42" s="507"/>
      <c r="R42" s="414" t="s">
        <v>664</v>
      </c>
      <c r="S42" s="496">
        <v>0.06</v>
      </c>
      <c r="Y42" s="415"/>
      <c r="Z42" s="415"/>
    </row>
    <row r="43" spans="2:26">
      <c r="E43" s="459">
        <f>SUM(E40:E42)</f>
        <v>237783.54167500001</v>
      </c>
      <c r="F43" s="514"/>
      <c r="G43" s="515">
        <f>SUM(G40:G42)</f>
        <v>29.424698847799259</v>
      </c>
      <c r="J43" s="414" t="s">
        <v>202</v>
      </c>
      <c r="K43" s="496">
        <v>0.25</v>
      </c>
      <c r="R43" s="414" t="s">
        <v>665</v>
      </c>
      <c r="S43" s="495">
        <v>30</v>
      </c>
    </row>
    <row r="44" spans="2:26">
      <c r="B44" s="412" t="s">
        <v>119</v>
      </c>
      <c r="C44" s="413"/>
      <c r="D44" s="413"/>
      <c r="E44" s="413"/>
      <c r="F44" s="413"/>
      <c r="G44" s="413"/>
      <c r="H44" s="413"/>
      <c r="J44" s="414" t="s">
        <v>155</v>
      </c>
      <c r="K44" s="496">
        <v>0.1</v>
      </c>
      <c r="N44" s="414" t="s">
        <v>282</v>
      </c>
      <c r="R44" s="414" t="s">
        <v>668</v>
      </c>
      <c r="S44" s="516">
        <v>0.01</v>
      </c>
    </row>
    <row r="45" spans="2:26">
      <c r="J45" s="414" t="s">
        <v>189</v>
      </c>
      <c r="K45" s="496">
        <v>7.4999999999999997E-3</v>
      </c>
    </row>
    <row r="46" spans="2:26">
      <c r="B46" s="493" t="s">
        <v>128</v>
      </c>
      <c r="C46" s="493" t="s">
        <v>121</v>
      </c>
      <c r="D46" s="493"/>
    </row>
    <row r="47" spans="2:26">
      <c r="B47" s="414" t="s">
        <v>225</v>
      </c>
      <c r="C47" s="470">
        <f>summary!AC20</f>
        <v>338406.64540000004</v>
      </c>
      <c r="J47" s="507" t="s">
        <v>185</v>
      </c>
      <c r="K47" s="507"/>
    </row>
    <row r="48" spans="2:26">
      <c r="B48" s="414" t="s">
        <v>191</v>
      </c>
      <c r="C48" s="517">
        <f>T12</f>
        <v>0.25</v>
      </c>
    </row>
    <row r="49" spans="2:26">
      <c r="B49" s="414" t="s">
        <v>228</v>
      </c>
      <c r="C49" s="459">
        <f>C47*(1-C48)</f>
        <v>253804.98405000003</v>
      </c>
      <c r="J49" s="414" t="s">
        <v>217</v>
      </c>
      <c r="K49" s="495">
        <v>10</v>
      </c>
    </row>
    <row r="50" spans="2:26">
      <c r="B50" s="414" t="s">
        <v>215</v>
      </c>
      <c r="C50" s="463">
        <v>325</v>
      </c>
      <c r="J50" s="414" t="s">
        <v>186</v>
      </c>
      <c r="K50" s="495">
        <v>10</v>
      </c>
    </row>
    <row r="51" spans="2:26">
      <c r="B51" s="414" t="s">
        <v>229</v>
      </c>
      <c r="C51" s="459">
        <f>C49/C50</f>
        <v>780.93841246153852</v>
      </c>
      <c r="J51" s="414" t="s">
        <v>187</v>
      </c>
      <c r="K51" s="496">
        <v>2.5000000000000001E-2</v>
      </c>
    </row>
    <row r="52" spans="2:26">
      <c r="B52" s="414" t="s">
        <v>120</v>
      </c>
      <c r="C52" s="447">
        <v>135</v>
      </c>
      <c r="J52" s="414" t="s">
        <v>264</v>
      </c>
      <c r="K52" s="496">
        <v>0.05</v>
      </c>
    </row>
    <row r="53" spans="2:26">
      <c r="B53" s="414" t="s">
        <v>230</v>
      </c>
      <c r="C53" s="447"/>
      <c r="J53" s="414" t="s">
        <v>218</v>
      </c>
      <c r="K53" s="496">
        <v>0.05</v>
      </c>
    </row>
    <row r="54" spans="2:26">
      <c r="D54" s="447"/>
    </row>
    <row r="55" spans="2:26">
      <c r="B55" s="493" t="s">
        <v>122</v>
      </c>
      <c r="C55" s="493" t="s">
        <v>127</v>
      </c>
      <c r="D55" s="493" t="s">
        <v>129</v>
      </c>
    </row>
    <row r="56" spans="2:26">
      <c r="B56" s="414" t="s">
        <v>125</v>
      </c>
      <c r="C56" s="445">
        <v>0.1</v>
      </c>
      <c r="D56" s="445">
        <v>0.1</v>
      </c>
    </row>
    <row r="57" spans="2:26">
      <c r="B57" s="414" t="s">
        <v>126</v>
      </c>
      <c r="C57" s="445">
        <v>0.05</v>
      </c>
      <c r="D57" s="445">
        <v>0.1</v>
      </c>
    </row>
    <row r="58" spans="2:26">
      <c r="O58" s="415"/>
      <c r="P58" s="415"/>
      <c r="Q58" s="415"/>
      <c r="R58" s="415"/>
      <c r="S58" s="415"/>
      <c r="T58" s="415"/>
      <c r="U58" s="415"/>
      <c r="V58" s="415"/>
      <c r="Y58" s="415"/>
      <c r="Z58" s="415"/>
    </row>
    <row r="59" spans="2:26">
      <c r="B59" s="412" t="s">
        <v>131</v>
      </c>
      <c r="C59" s="413"/>
      <c r="D59" s="413"/>
      <c r="E59" s="413"/>
      <c r="F59" s="413"/>
      <c r="G59" s="413"/>
      <c r="H59" s="413"/>
      <c r="J59" s="507" t="s">
        <v>131</v>
      </c>
      <c r="K59" s="507"/>
      <c r="L59" s="507"/>
      <c r="M59" s="507"/>
      <c r="N59" s="507"/>
      <c r="O59" s="507"/>
    </row>
    <row r="60" spans="2:26">
      <c r="M60" s="906" t="s">
        <v>89</v>
      </c>
      <c r="N60" s="906"/>
      <c r="O60" s="906"/>
    </row>
    <row r="61" spans="2:26">
      <c r="B61" s="493" t="s">
        <v>397</v>
      </c>
      <c r="C61" s="493" t="s">
        <v>396</v>
      </c>
      <c r="D61" s="493" t="s">
        <v>398</v>
      </c>
      <c r="E61" s="493" t="s">
        <v>132</v>
      </c>
      <c r="F61" s="493" t="s">
        <v>133</v>
      </c>
      <c r="G61" s="493" t="s">
        <v>134</v>
      </c>
      <c r="H61" s="493" t="s">
        <v>135</v>
      </c>
      <c r="J61" s="518" t="s">
        <v>93</v>
      </c>
      <c r="K61" s="518" t="s">
        <v>208</v>
      </c>
      <c r="L61" s="518" t="s">
        <v>209</v>
      </c>
      <c r="M61" s="518">
        <v>1</v>
      </c>
      <c r="N61" s="518">
        <v>2</v>
      </c>
      <c r="O61" s="518">
        <v>3</v>
      </c>
      <c r="Q61" s="519" t="s">
        <v>558</v>
      </c>
      <c r="R61" s="519"/>
      <c r="S61" s="414" t="s">
        <v>559</v>
      </c>
    </row>
    <row r="62" spans="2:26">
      <c r="B62" s="445">
        <v>0.6</v>
      </c>
      <c r="C62" s="495">
        <v>200</v>
      </c>
      <c r="D62" s="520">
        <f>1-M15</f>
        <v>0.95</v>
      </c>
      <c r="E62" s="455">
        <v>15</v>
      </c>
      <c r="F62" s="445">
        <v>0.4</v>
      </c>
      <c r="G62" s="455">
        <f>8*30</f>
        <v>240</v>
      </c>
      <c r="H62" s="445">
        <v>0.6</v>
      </c>
      <c r="J62" s="415" t="s">
        <v>105</v>
      </c>
      <c r="K62" s="521">
        <v>0.75</v>
      </c>
      <c r="L62" s="521" t="s">
        <v>210</v>
      </c>
      <c r="M62" s="522">
        <f>SUM('Summary Board'!H60:H62)*$K62</f>
        <v>474.43726842219422</v>
      </c>
      <c r="N62" s="522">
        <f>(SUM('Summary Board'!J60:J62)-M62)*$K62</f>
        <v>880.05522069232438</v>
      </c>
      <c r="O62" s="522">
        <f>(SUM('Summary Board'!L60:L62)-M62-N62)*$K62</f>
        <v>740.35851394647466</v>
      </c>
      <c r="Q62" s="414" t="s">
        <v>715</v>
      </c>
      <c r="R62" s="523"/>
    </row>
    <row r="63" spans="2:26">
      <c r="C63" s="495"/>
      <c r="D63" s="455"/>
      <c r="E63" s="445"/>
      <c r="F63" s="455"/>
      <c r="G63" s="445"/>
      <c r="J63" s="415" t="s">
        <v>109</v>
      </c>
      <c r="K63" s="521">
        <v>1.5</v>
      </c>
      <c r="L63" s="521">
        <v>1000</v>
      </c>
      <c r="M63" s="459">
        <f>(summary!B15/$L63)*$K63</f>
        <v>1153.28775</v>
      </c>
      <c r="N63" s="459">
        <f>(summary!C15/$L63)*$K63</f>
        <v>58.185749999999999</v>
      </c>
      <c r="O63" s="459">
        <f>(summary!D15/$L63)*$K63</f>
        <v>767.06973513750006</v>
      </c>
    </row>
    <row r="64" spans="2:26">
      <c r="C64" s="495"/>
      <c r="D64" s="455"/>
      <c r="E64" s="524"/>
      <c r="F64" s="525" t="s">
        <v>400</v>
      </c>
      <c r="G64" s="455">
        <f>((E62*30)*F62)+(G62*H62)</f>
        <v>324</v>
      </c>
      <c r="H64" s="445"/>
      <c r="J64" s="415" t="s">
        <v>144</v>
      </c>
      <c r="K64" s="521">
        <v>0.75</v>
      </c>
      <c r="L64" s="521" t="s">
        <v>210</v>
      </c>
      <c r="M64" s="459">
        <f>hotel!O11*$K64</f>
        <v>223.29090761538458</v>
      </c>
      <c r="N64" s="459">
        <f>hotel!O39*$K64</f>
        <v>362.41290173076925</v>
      </c>
      <c r="O64" s="459">
        <f>hotel!O67*$K64</f>
        <v>0</v>
      </c>
      <c r="Q64" s="414" t="s">
        <v>721</v>
      </c>
      <c r="R64" s="414" t="s">
        <v>105</v>
      </c>
      <c r="S64" s="414" t="s">
        <v>722</v>
      </c>
    </row>
    <row r="65" spans="2:20">
      <c r="C65" s="495"/>
      <c r="D65" s="455"/>
      <c r="E65" s="445"/>
      <c r="F65" s="455"/>
      <c r="G65" s="455"/>
      <c r="H65" s="445"/>
      <c r="J65" s="415" t="s">
        <v>141</v>
      </c>
      <c r="K65" s="521">
        <v>0.75</v>
      </c>
      <c r="L65" s="521">
        <v>500</v>
      </c>
      <c r="M65" s="459">
        <f>(summary!B16/$L65)*$K65</f>
        <v>228.66081555</v>
      </c>
      <c r="N65" s="459">
        <f>(summary!C16/$L65)*$K65</f>
        <v>141.02728260000001</v>
      </c>
      <c r="O65" s="459">
        <f>(summary!D16/$L65)*$K65</f>
        <v>23.194214362499999</v>
      </c>
      <c r="Q65" s="414" t="s">
        <v>144</v>
      </c>
      <c r="R65" s="414" t="s">
        <v>716</v>
      </c>
      <c r="S65" s="414" t="s">
        <v>722</v>
      </c>
    </row>
    <row r="66" spans="2:20">
      <c r="J66" s="415" t="s">
        <v>717</v>
      </c>
      <c r="K66" s="521">
        <v>0.75</v>
      </c>
      <c r="L66" s="521">
        <v>500</v>
      </c>
      <c r="M66" s="526">
        <f>(summary!B22/$L66)*$K66</f>
        <v>189.10605029999999</v>
      </c>
      <c r="N66" s="526">
        <f>(summary!C22/$L66)*$K66</f>
        <v>0</v>
      </c>
      <c r="O66" s="526">
        <f>(summary!D22/$L66)*$K66</f>
        <v>0</v>
      </c>
      <c r="Q66" s="414" t="s">
        <v>109</v>
      </c>
    </row>
    <row r="67" spans="2:20">
      <c r="B67" s="412" t="s">
        <v>145</v>
      </c>
      <c r="C67" s="413"/>
      <c r="D67" s="413"/>
      <c r="E67" s="413"/>
      <c r="F67" s="413"/>
      <c r="G67" s="413"/>
      <c r="H67" s="413"/>
      <c r="M67" s="498">
        <f>SUM(M62:M66)</f>
        <v>2268.7827918875787</v>
      </c>
      <c r="N67" s="498">
        <f>SUM(N62:N66)</f>
        <v>1441.6811550230937</v>
      </c>
      <c r="O67" s="498">
        <f>SUM(O62:O66)</f>
        <v>1530.6224634464745</v>
      </c>
      <c r="Q67" s="414" t="s">
        <v>717</v>
      </c>
      <c r="R67" s="414" t="s">
        <v>718</v>
      </c>
      <c r="S67" s="414" t="s">
        <v>719</v>
      </c>
    </row>
    <row r="68" spans="2:20">
      <c r="N68" s="462" t="s">
        <v>545</v>
      </c>
      <c r="O68" s="488">
        <f>SUM(M67:O67)</f>
        <v>5241.0864103571466</v>
      </c>
      <c r="Q68" s="414" t="s">
        <v>141</v>
      </c>
      <c r="R68" s="414" t="s">
        <v>141</v>
      </c>
      <c r="S68" s="414" t="s">
        <v>720</v>
      </c>
    </row>
    <row r="69" spans="2:20">
      <c r="B69" s="493" t="s">
        <v>136</v>
      </c>
      <c r="C69" s="527"/>
      <c r="E69" s="493" t="s">
        <v>285</v>
      </c>
      <c r="F69" s="493" t="s">
        <v>287</v>
      </c>
      <c r="N69" s="414" t="s">
        <v>546</v>
      </c>
      <c r="O69" s="459">
        <f>'Summary Board'!N66</f>
        <v>2320.5254631000003</v>
      </c>
    </row>
    <row r="70" spans="2:20">
      <c r="B70" s="414" t="s">
        <v>137</v>
      </c>
      <c r="C70" s="463">
        <v>300</v>
      </c>
      <c r="E70" s="414" t="s">
        <v>286</v>
      </c>
      <c r="F70" s="463">
        <v>1000</v>
      </c>
      <c r="Q70" s="519" t="s">
        <v>730</v>
      </c>
    </row>
    <row r="71" spans="2:20">
      <c r="B71" s="414" t="s">
        <v>138</v>
      </c>
      <c r="C71" s="528">
        <f>C70*365</f>
        <v>109500</v>
      </c>
    </row>
    <row r="72" spans="2:20">
      <c r="E72" s="414" t="s">
        <v>291</v>
      </c>
      <c r="F72" s="495">
        <v>5</v>
      </c>
      <c r="Q72" s="519" t="s">
        <v>731</v>
      </c>
      <c r="R72" s="519"/>
      <c r="S72" s="519"/>
      <c r="T72" s="519"/>
    </row>
    <row r="73" spans="2:20">
      <c r="B73" s="493" t="s">
        <v>139</v>
      </c>
      <c r="C73" s="527"/>
      <c r="E73" s="414" t="s">
        <v>292</v>
      </c>
      <c r="F73" s="495">
        <v>8</v>
      </c>
      <c r="Q73" s="529" t="s">
        <v>738</v>
      </c>
      <c r="R73" s="519"/>
      <c r="S73" s="519"/>
      <c r="T73" s="519"/>
    </row>
    <row r="74" spans="2:20">
      <c r="B74" s="414" t="s">
        <v>137</v>
      </c>
      <c r="C74" s="463">
        <v>300</v>
      </c>
      <c r="E74" s="414" t="s">
        <v>293</v>
      </c>
      <c r="F74" s="455">
        <v>15</v>
      </c>
    </row>
    <row r="75" spans="2:20">
      <c r="B75" s="414" t="s">
        <v>138</v>
      </c>
      <c r="C75" s="528">
        <f>C74*365</f>
        <v>109500</v>
      </c>
      <c r="E75" s="414" t="s">
        <v>294</v>
      </c>
      <c r="F75" s="495">
        <v>364</v>
      </c>
    </row>
    <row r="76" spans="2:20">
      <c r="E76" s="414" t="s">
        <v>297</v>
      </c>
      <c r="F76" s="414">
        <f>F72*F73*F74*F75</f>
        <v>218400</v>
      </c>
    </row>
    <row r="77" spans="2:20">
      <c r="B77" s="493" t="s">
        <v>139</v>
      </c>
      <c r="C77" s="527"/>
    </row>
    <row r="78" spans="2:20">
      <c r="B78" s="414" t="s">
        <v>137</v>
      </c>
      <c r="C78" s="470">
        <v>500</v>
      </c>
      <c r="E78" s="414" t="s">
        <v>295</v>
      </c>
      <c r="F78" s="495">
        <v>2</v>
      </c>
    </row>
    <row r="79" spans="2:20">
      <c r="B79" s="414" t="s">
        <v>138</v>
      </c>
      <c r="C79" s="528">
        <f>C78*365</f>
        <v>182500</v>
      </c>
      <c r="E79" s="414" t="s">
        <v>296</v>
      </c>
      <c r="F79" s="455">
        <v>50000</v>
      </c>
      <c r="S79" s="414" t="s">
        <v>723</v>
      </c>
      <c r="T79" s="414">
        <v>239</v>
      </c>
    </row>
    <row r="80" spans="2:20">
      <c r="B80" s="414" t="s">
        <v>289</v>
      </c>
      <c r="C80" s="447">
        <v>1</v>
      </c>
      <c r="E80" s="414" t="s">
        <v>297</v>
      </c>
      <c r="F80" s="530">
        <f>F78*F79</f>
        <v>100000</v>
      </c>
      <c r="S80" s="414" t="s">
        <v>724</v>
      </c>
      <c r="T80" s="414">
        <v>350</v>
      </c>
    </row>
    <row r="81" spans="2:20">
      <c r="C81" s="445"/>
      <c r="S81" s="414" t="s">
        <v>727</v>
      </c>
      <c r="T81" s="414">
        <v>238</v>
      </c>
    </row>
    <row r="82" spans="2:20">
      <c r="E82" s="414" t="s">
        <v>298</v>
      </c>
      <c r="F82" s="530">
        <f>F76+F80</f>
        <v>318400</v>
      </c>
      <c r="S82" s="414" t="s">
        <v>726</v>
      </c>
      <c r="T82" s="414">
        <v>1276</v>
      </c>
    </row>
    <row r="83" spans="2:20">
      <c r="E83" s="414" t="s">
        <v>299</v>
      </c>
      <c r="F83" s="530">
        <f>F82/12</f>
        <v>26533.333333333332</v>
      </c>
      <c r="S83" s="414" t="s">
        <v>725</v>
      </c>
      <c r="T83" s="414">
        <v>394</v>
      </c>
    </row>
    <row r="84" spans="2:20">
      <c r="S84" s="414" t="s">
        <v>728</v>
      </c>
      <c r="T84" s="414">
        <v>3497</v>
      </c>
    </row>
    <row r="85" spans="2:20" ht="13.5">
      <c r="B85" s="531"/>
      <c r="S85" s="414" t="s">
        <v>729</v>
      </c>
      <c r="T85" s="414">
        <v>1187</v>
      </c>
    </row>
    <row r="86" spans="2:20" ht="13.5">
      <c r="B86" s="532"/>
      <c r="T86" s="415">
        <f>SUM(T79:T85)</f>
        <v>7181</v>
      </c>
    </row>
    <row r="87" spans="2:20" ht="14">
      <c r="B87" s="533" t="s">
        <v>733</v>
      </c>
      <c r="C87" s="414" t="s">
        <v>734</v>
      </c>
      <c r="D87" s="534" t="s">
        <v>735</v>
      </c>
    </row>
    <row r="88" spans="2:20">
      <c r="B88" s="414" t="s">
        <v>736</v>
      </c>
      <c r="C88" s="499">
        <f>31350*2</f>
        <v>62700</v>
      </c>
      <c r="D88" s="535">
        <v>0.8</v>
      </c>
      <c r="E88" s="499">
        <f>C88*D88</f>
        <v>50160</v>
      </c>
      <c r="F88" s="499">
        <f>E88/12</f>
        <v>4180</v>
      </c>
      <c r="G88" s="499">
        <f>F88/3</f>
        <v>1393.3333333333333</v>
      </c>
    </row>
    <row r="89" spans="2:20">
      <c r="B89" s="414" t="s">
        <v>737</v>
      </c>
      <c r="C89" s="499">
        <f>35250*2</f>
        <v>70500</v>
      </c>
      <c r="D89" s="535">
        <v>0.8</v>
      </c>
      <c r="E89" s="499">
        <f>C89*D89</f>
        <v>56400</v>
      </c>
      <c r="F89" s="499">
        <f>E89/12</f>
        <v>4700</v>
      </c>
      <c r="G89" s="499">
        <f>F89/3</f>
        <v>1566.6666666666667</v>
      </c>
    </row>
    <row r="90" spans="2:20" ht="13.5">
      <c r="B90" s="531"/>
    </row>
    <row r="91" spans="2:20" ht="13.5">
      <c r="B91" s="531"/>
    </row>
    <row r="92" spans="2:20" ht="13.5">
      <c r="B92" s="531"/>
    </row>
    <row r="93" spans="2:20" ht="13.5">
      <c r="B93" s="531"/>
    </row>
  </sheetData>
  <mergeCells count="7">
    <mergeCell ref="AA5:AD5"/>
    <mergeCell ref="E38:G38"/>
    <mergeCell ref="M60:O60"/>
    <mergeCell ref="AG6:AG8"/>
    <mergeCell ref="AG9:AG11"/>
    <mergeCell ref="AG12:AG14"/>
    <mergeCell ref="AG16:AG17"/>
  </mergeCells>
  <hyperlinks>
    <hyperlink ref="D87" r:id="rId1" xr:uid="{D80C6363-8265-4836-9E0C-78F7D4904611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501</vt:i4>
      </vt:variant>
    </vt:vector>
  </HeadingPairs>
  <TitlesOfParts>
    <vt:vector size="534" baseType="lpstr">
      <vt:lpstr>original</vt:lpstr>
      <vt:lpstr>market comps</vt:lpstr>
      <vt:lpstr>absorption</vt:lpstr>
      <vt:lpstr>notes</vt:lpstr>
      <vt:lpstr>Summary Board</vt:lpstr>
      <vt:lpstr>summary</vt:lpstr>
      <vt:lpstr>cockpit (3)</vt:lpstr>
      <vt:lpstr>cockpit (2)</vt:lpstr>
      <vt:lpstr>opex tbales</vt:lpstr>
      <vt:lpstr>cockpit (4)</vt:lpstr>
      <vt:lpstr>cockpit</vt:lpstr>
      <vt:lpstr>CFs-&gt;</vt:lpstr>
      <vt:lpstr>combined</vt:lpstr>
      <vt:lpstr>res, market-rate (2)</vt:lpstr>
      <vt:lpstr>res, market-rate</vt:lpstr>
      <vt:lpstr>res, condo (2)</vt:lpstr>
      <vt:lpstr>res, condo</vt:lpstr>
      <vt:lpstr>res, affordable</vt:lpstr>
      <vt:lpstr>office (2)</vt:lpstr>
      <vt:lpstr>office</vt:lpstr>
      <vt:lpstr>retail</vt:lpstr>
      <vt:lpstr>hotel (2)</vt:lpstr>
      <vt:lpstr>hotel</vt:lpstr>
      <vt:lpstr>public bldgs</vt:lpstr>
      <vt:lpstr>parking</vt:lpstr>
      <vt:lpstr>acq-demo-repur</vt:lpstr>
      <vt:lpstr>parcel sheet</vt:lpstr>
      <vt:lpstr>tif sizing</vt:lpstr>
      <vt:lpstr>infstrc</vt:lpstr>
      <vt:lpstr>amschedules-&gt;</vt:lpstr>
      <vt:lpstr>p1</vt:lpstr>
      <vt:lpstr>p2</vt:lpstr>
      <vt:lpstr>p3</vt:lpstr>
      <vt:lpstr>'cockpit (2)'!amortizationschedule</vt:lpstr>
      <vt:lpstr>'cockpit (3)'!amortizationschedule</vt:lpstr>
      <vt:lpstr>'cockpit (4)'!amortizationschedule</vt:lpstr>
      <vt:lpstr>'opex tbales'!amortizationschedule</vt:lpstr>
      <vt:lpstr>amortizationschedule</vt:lpstr>
      <vt:lpstr>'cockpit (2)'!annualvisitors</vt:lpstr>
      <vt:lpstr>'cockpit (3)'!annualvisitors</vt:lpstr>
      <vt:lpstr>'cockpit (4)'!annualvisitors</vt:lpstr>
      <vt:lpstr>'opex tbales'!annualvisitors</vt:lpstr>
      <vt:lpstr>annualvisitors</vt:lpstr>
      <vt:lpstr>'cockpit (2)'!assessedvalue</vt:lpstr>
      <vt:lpstr>'cockpit (3)'!assessedvalue</vt:lpstr>
      <vt:lpstr>'cockpit (4)'!assessedvalue</vt:lpstr>
      <vt:lpstr>'opex tbales'!assessedvalue</vt:lpstr>
      <vt:lpstr>assessedvalue</vt:lpstr>
      <vt:lpstr>'cockpit (2)'!blendedcaprate</vt:lpstr>
      <vt:lpstr>'cockpit (3)'!blendedcaprate</vt:lpstr>
      <vt:lpstr>'cockpit (4)'!blendedcaprate</vt:lpstr>
      <vt:lpstr>'opex tbales'!blendedcaprate</vt:lpstr>
      <vt:lpstr>blendedcaprate</vt:lpstr>
      <vt:lpstr>'cockpit (2)'!Closingcosts</vt:lpstr>
      <vt:lpstr>'cockpit (3)'!Closingcosts</vt:lpstr>
      <vt:lpstr>'cockpit (4)'!Closingcosts</vt:lpstr>
      <vt:lpstr>'opex tbales'!Closingcosts</vt:lpstr>
      <vt:lpstr>Closingcosts</vt:lpstr>
      <vt:lpstr>'cockpit (2)'!ColumnTitle1</vt:lpstr>
      <vt:lpstr>'cockpit (3)'!ColumnTitle1</vt:lpstr>
      <vt:lpstr>'cockpit (4)'!ColumnTitle1</vt:lpstr>
      <vt:lpstr>'hotel (2)'!ColumnTitle1</vt:lpstr>
      <vt:lpstr>'office (2)'!ColumnTitle1</vt:lpstr>
      <vt:lpstr>'opex tbales'!ColumnTitle1</vt:lpstr>
      <vt:lpstr>'p2'!ColumnTitle1</vt:lpstr>
      <vt:lpstr>'p3'!ColumnTitle1</vt:lpstr>
      <vt:lpstr>'res, condo (2)'!ColumnTitle1</vt:lpstr>
      <vt:lpstr>'res, market-rate (2)'!ColumnTitle1</vt:lpstr>
      <vt:lpstr>ColumnTitle1</vt:lpstr>
      <vt:lpstr>'cockpit (3)'!Condoaveragesize</vt:lpstr>
      <vt:lpstr>'cockpit (4)'!Condoaveragesize</vt:lpstr>
      <vt:lpstr>'opex tbales'!Condoaveragesize</vt:lpstr>
      <vt:lpstr>Condoaveragesize</vt:lpstr>
      <vt:lpstr>'cockpit (2)'!CondoconstructionPSF</vt:lpstr>
      <vt:lpstr>'cockpit (3)'!CondoconstructionPSF</vt:lpstr>
      <vt:lpstr>'cockpit (4)'!CondoconstructionPSF</vt:lpstr>
      <vt:lpstr>'opex tbales'!CondoconstructionPSF</vt:lpstr>
      <vt:lpstr>CondoconstructionPSF</vt:lpstr>
      <vt:lpstr>'cockpit (2)'!Condocostofsale</vt:lpstr>
      <vt:lpstr>'cockpit (3)'!Condocostofsale</vt:lpstr>
      <vt:lpstr>'cockpit (4)'!Condocostofsale</vt:lpstr>
      <vt:lpstr>'opex tbales'!Condocostofsale</vt:lpstr>
      <vt:lpstr>Condocostofsale</vt:lpstr>
      <vt:lpstr>'cockpit (2)'!CondosalePSF</vt:lpstr>
      <vt:lpstr>'cockpit (3)'!CondosalePSF</vt:lpstr>
      <vt:lpstr>'cockpit (4)'!CondosalePSF</vt:lpstr>
      <vt:lpstr>'opex tbales'!CondosalePSF</vt:lpstr>
      <vt:lpstr>CondosalePSF</vt:lpstr>
      <vt:lpstr>'cockpit (2)'!Constructioninterestrate</vt:lpstr>
      <vt:lpstr>'cockpit (3)'!Constructioninterestrate</vt:lpstr>
      <vt:lpstr>'cockpit (4)'!Constructioninterestrate</vt:lpstr>
      <vt:lpstr>'opex tbales'!Constructioninterestrate</vt:lpstr>
      <vt:lpstr>Constructioninterestrate</vt:lpstr>
      <vt:lpstr>'cockpit (2)'!Constructionservicingfees</vt:lpstr>
      <vt:lpstr>'cockpit (3)'!Constructionservicingfees</vt:lpstr>
      <vt:lpstr>'cockpit (4)'!Constructionservicingfees</vt:lpstr>
      <vt:lpstr>'opex tbales'!Constructionservicingfees</vt:lpstr>
      <vt:lpstr>Constructionservicingfees</vt:lpstr>
      <vt:lpstr>'cockpit (3)'!Constructiontime</vt:lpstr>
      <vt:lpstr>'opex tbales'!Constructiontime</vt:lpstr>
      <vt:lpstr>'cockpit (2)'!constructiontimephase1</vt:lpstr>
      <vt:lpstr>'cockpit (3)'!constructiontimephase1</vt:lpstr>
      <vt:lpstr>'cockpit (4)'!constructiontimephase1</vt:lpstr>
      <vt:lpstr>'opex tbales'!constructiontimephase1</vt:lpstr>
      <vt:lpstr>constructiontimephase1</vt:lpstr>
      <vt:lpstr>'cockpit (2)'!constructiontimephase2</vt:lpstr>
      <vt:lpstr>'cockpit (3)'!constructiontimephase2</vt:lpstr>
      <vt:lpstr>'cockpit (4)'!constructiontimephase2</vt:lpstr>
      <vt:lpstr>'opex tbales'!constructiontimephase2</vt:lpstr>
      <vt:lpstr>constructiontimephase2</vt:lpstr>
      <vt:lpstr>'cockpit (2)'!constructiontimephase3</vt:lpstr>
      <vt:lpstr>'cockpit (3)'!constructiontimephase3</vt:lpstr>
      <vt:lpstr>'cockpit (4)'!constructiontimephase3</vt:lpstr>
      <vt:lpstr>'opex tbales'!constructiontimephase3</vt:lpstr>
      <vt:lpstr>constructiontimephase3</vt:lpstr>
      <vt:lpstr>'cockpit (2)'!demolitionbuildingPSF</vt:lpstr>
      <vt:lpstr>'cockpit (3)'!demolitionbuildingPSF</vt:lpstr>
      <vt:lpstr>'cockpit (4)'!demolitionbuildingPSF</vt:lpstr>
      <vt:lpstr>'opex tbales'!demolitionbuildingPSF</vt:lpstr>
      <vt:lpstr>demolitionbuildingPSF</vt:lpstr>
      <vt:lpstr>'cockpit (2)'!demolitionsurfacelot</vt:lpstr>
      <vt:lpstr>'cockpit (3)'!demolitionsurfacelot</vt:lpstr>
      <vt:lpstr>'cockpit (4)'!demolitionsurfacelot</vt:lpstr>
      <vt:lpstr>'opex tbales'!demolitionsurfacelot</vt:lpstr>
      <vt:lpstr>demolitionsurfacelot</vt:lpstr>
      <vt:lpstr>'cockpit (2)'!Developerfee</vt:lpstr>
      <vt:lpstr>'cockpit (3)'!Developerfee</vt:lpstr>
      <vt:lpstr>'cockpit (4)'!Developerfee</vt:lpstr>
      <vt:lpstr>'opex tbales'!Developerfee</vt:lpstr>
      <vt:lpstr>Developerfee</vt:lpstr>
      <vt:lpstr>'cockpit (2)'!discountrate</vt:lpstr>
      <vt:lpstr>'cockpit (3)'!discountrate</vt:lpstr>
      <vt:lpstr>'cockpit (4)'!discountrate</vt:lpstr>
      <vt:lpstr>'opex tbales'!discountrate</vt:lpstr>
      <vt:lpstr>discountrate</vt:lpstr>
      <vt:lpstr>'cockpit (2)'!dispositionyear</vt:lpstr>
      <vt:lpstr>'cockpit (3)'!dispositionyear</vt:lpstr>
      <vt:lpstr>'cockpit (4)'!dispositionyear</vt:lpstr>
      <vt:lpstr>'opex tbales'!dispositionyear</vt:lpstr>
      <vt:lpstr>dispositionyear</vt:lpstr>
      <vt:lpstr>'cockpit (2)'!entrancefee</vt:lpstr>
      <vt:lpstr>'cockpit (3)'!entrancefee</vt:lpstr>
      <vt:lpstr>'cockpit (4)'!entrancefee</vt:lpstr>
      <vt:lpstr>'opex tbales'!entrancefee</vt:lpstr>
      <vt:lpstr>entrancefee</vt:lpstr>
      <vt:lpstr>'p2'!Full_Print</vt:lpstr>
      <vt:lpstr>'p3'!Full_Print</vt:lpstr>
      <vt:lpstr>Full_Print</vt:lpstr>
      <vt:lpstr>'cockpit (2)'!giftshopincome</vt:lpstr>
      <vt:lpstr>'cockpit (3)'!giftshopincome</vt:lpstr>
      <vt:lpstr>'cockpit (4)'!giftshopincome</vt:lpstr>
      <vt:lpstr>'opex tbales'!giftshopincome</vt:lpstr>
      <vt:lpstr>giftshopincome</vt:lpstr>
      <vt:lpstr>'cockpit (2)'!hoteladr</vt:lpstr>
      <vt:lpstr>'cockpit (3)'!hoteladr</vt:lpstr>
      <vt:lpstr>'cockpit (4)'!hoteladr</vt:lpstr>
      <vt:lpstr>'opex tbales'!hoteladr</vt:lpstr>
      <vt:lpstr>hoteladr</vt:lpstr>
      <vt:lpstr>'cockpit (2)'!Hotelaverageroomsize</vt:lpstr>
      <vt:lpstr>'cockpit (3)'!Hotelaverageroomsize</vt:lpstr>
      <vt:lpstr>'cockpit (4)'!Hotelaverageroomsize</vt:lpstr>
      <vt:lpstr>'opex tbales'!Hotelaverageroomsize</vt:lpstr>
      <vt:lpstr>Hotelaverageroomsize</vt:lpstr>
      <vt:lpstr>'cockpit (2)'!hotelconstructioncostPSF</vt:lpstr>
      <vt:lpstr>'cockpit (3)'!hotelconstructioncostPSF</vt:lpstr>
      <vt:lpstr>'cockpit (4)'!hotelconstructioncostPSF</vt:lpstr>
      <vt:lpstr>'opex tbales'!hotelconstructioncostPSF</vt:lpstr>
      <vt:lpstr>hotelconstructioncostPSF</vt:lpstr>
      <vt:lpstr>'cockpit (2)'!hotelfoodandbeverageincome</vt:lpstr>
      <vt:lpstr>'cockpit (3)'!hotelfoodandbeverageincome</vt:lpstr>
      <vt:lpstr>'cockpit (4)'!hotelfoodandbeverageincome</vt:lpstr>
      <vt:lpstr>'opex tbales'!hotelfoodandbeverageincome</vt:lpstr>
      <vt:lpstr>hotelfoodandbeverageincome</vt:lpstr>
      <vt:lpstr>'cockpit (2)'!hotelfoodandbeveragemargin</vt:lpstr>
      <vt:lpstr>'cockpit (3)'!hotelfoodandbeveragemargin</vt:lpstr>
      <vt:lpstr>'cockpit (4)'!hotelfoodandbeveragemargin</vt:lpstr>
      <vt:lpstr>'opex tbales'!hotelfoodandbeveragemargin</vt:lpstr>
      <vt:lpstr>hotelfoodandbeveragemargin</vt:lpstr>
      <vt:lpstr>'cockpit (2)'!hotelotherincome</vt:lpstr>
      <vt:lpstr>'cockpit (3)'!hotelotherincome</vt:lpstr>
      <vt:lpstr>'cockpit (4)'!hotelotherincome</vt:lpstr>
      <vt:lpstr>'opex tbales'!hotelotherincome</vt:lpstr>
      <vt:lpstr>hotelotherincome</vt:lpstr>
      <vt:lpstr>'cockpit (2)'!hotelotherincomemargin</vt:lpstr>
      <vt:lpstr>'cockpit (3)'!hotelotherincomemargin</vt:lpstr>
      <vt:lpstr>'cockpit (4)'!hotelotherincomemargin</vt:lpstr>
      <vt:lpstr>'opex tbales'!hotelotherincomemargin</vt:lpstr>
      <vt:lpstr>hotelotherincomemargin</vt:lpstr>
      <vt:lpstr>'cockpit (2)'!Hotelrampup</vt:lpstr>
      <vt:lpstr>'cockpit (3)'!Hotelrampup</vt:lpstr>
      <vt:lpstr>'cockpit (4)'!Hotelrampup</vt:lpstr>
      <vt:lpstr>'opex tbales'!Hotelrampup</vt:lpstr>
      <vt:lpstr>Hotelrampup</vt:lpstr>
      <vt:lpstr>'cockpit (2)'!Hotelvacancy</vt:lpstr>
      <vt:lpstr>'cockpit (3)'!Hotelvacancy</vt:lpstr>
      <vt:lpstr>'cockpit (4)'!Hotelvacancy</vt:lpstr>
      <vt:lpstr>'opex tbales'!Hotelvacancy</vt:lpstr>
      <vt:lpstr>Hotelvacancy</vt:lpstr>
      <vt:lpstr>'cockpit (2)'!Inflation</vt:lpstr>
      <vt:lpstr>'cockpit (3)'!Inflation</vt:lpstr>
      <vt:lpstr>'cockpit (4)'!Inflation</vt:lpstr>
      <vt:lpstr>'opex tbales'!Inflation</vt:lpstr>
      <vt:lpstr>Inflation</vt:lpstr>
      <vt:lpstr>'p2'!Interest_Rate</vt:lpstr>
      <vt:lpstr>'p3'!Interest_Rate</vt:lpstr>
      <vt:lpstr>Interest_Rate</vt:lpstr>
      <vt:lpstr>'cockpit (2)'!Investmenthorizon</vt:lpstr>
      <vt:lpstr>'cockpit (3)'!Investmenthorizon</vt:lpstr>
      <vt:lpstr>'cockpit (4)'!Investmenthorizon</vt:lpstr>
      <vt:lpstr>'opex tbales'!Investmenthorizon</vt:lpstr>
      <vt:lpstr>Investmenthorizon</vt:lpstr>
      <vt:lpstr>'p2'!Loan_Amount</vt:lpstr>
      <vt:lpstr>'p3'!Loan_Amount</vt:lpstr>
      <vt:lpstr>Loan_Amount</vt:lpstr>
      <vt:lpstr>'p2'!Loan_Start</vt:lpstr>
      <vt:lpstr>'p3'!Loan_Start</vt:lpstr>
      <vt:lpstr>Loan_Start</vt:lpstr>
      <vt:lpstr>'p2'!Loan_Years</vt:lpstr>
      <vt:lpstr>'p3'!Loan_Years</vt:lpstr>
      <vt:lpstr>Loan_Years</vt:lpstr>
      <vt:lpstr>'cockpit (2)'!Loantocost</vt:lpstr>
      <vt:lpstr>'cockpit (3)'!Loantocost</vt:lpstr>
      <vt:lpstr>'cockpit (4)'!Loantocost</vt:lpstr>
      <vt:lpstr>'opex tbales'!Loantocost</vt:lpstr>
      <vt:lpstr>Loantocost</vt:lpstr>
      <vt:lpstr>'cockpit (2)'!loantovalue</vt:lpstr>
      <vt:lpstr>'cockpit (3)'!loantovalue</vt:lpstr>
      <vt:lpstr>'cockpit (4)'!loantovalue</vt:lpstr>
      <vt:lpstr>'opex tbales'!loantovalue</vt:lpstr>
      <vt:lpstr>loantovalue</vt:lpstr>
      <vt:lpstr>MarketrateSF</vt:lpstr>
      <vt:lpstr>'cockpit (2)'!millagerate</vt:lpstr>
      <vt:lpstr>'cockpit (3)'!millagerate</vt:lpstr>
      <vt:lpstr>'cockpit (4)'!millagerate</vt:lpstr>
      <vt:lpstr>'opex tbales'!millagerate</vt:lpstr>
      <vt:lpstr>millagerate</vt:lpstr>
      <vt:lpstr>'p2'!Number_of_Payments</vt:lpstr>
      <vt:lpstr>'p3'!Number_of_Payments</vt:lpstr>
      <vt:lpstr>Number_of_Payments</vt:lpstr>
      <vt:lpstr>'cockpit (2)'!OfficeconstructionratePSF</vt:lpstr>
      <vt:lpstr>'cockpit (3)'!OfficeconstructionratePSF</vt:lpstr>
      <vt:lpstr>'cockpit (4)'!OfficeconstructionratePSF</vt:lpstr>
      <vt:lpstr>'opex tbales'!OfficeconstructionratePSF</vt:lpstr>
      <vt:lpstr>OfficeconstructionratePSF</vt:lpstr>
      <vt:lpstr>'cockpit (2)'!officeentrycaprate</vt:lpstr>
      <vt:lpstr>'cockpit (3)'!officeentrycaprate</vt:lpstr>
      <vt:lpstr>'cockpit (4)'!officeentrycaprate</vt:lpstr>
      <vt:lpstr>'opex tbales'!officeentrycaprate</vt:lpstr>
      <vt:lpstr>officeentrycaprate</vt:lpstr>
      <vt:lpstr>'cockpit (2)'!officeexitcap</vt:lpstr>
      <vt:lpstr>'cockpit (3)'!officeexitcap</vt:lpstr>
      <vt:lpstr>'cockpit (4)'!officeexitcap</vt:lpstr>
      <vt:lpstr>'opex tbales'!officeexitcap</vt:lpstr>
      <vt:lpstr>officeexitcap</vt:lpstr>
      <vt:lpstr>'cockpit (2)'!OfficemarketratePSF</vt:lpstr>
      <vt:lpstr>'cockpit (3)'!OfficemarketratePSF</vt:lpstr>
      <vt:lpstr>'cockpit (4)'!OfficemarketratePSF</vt:lpstr>
      <vt:lpstr>'opex tbales'!OfficemarketratePSF</vt:lpstr>
      <vt:lpstr>OfficemarketratePSF</vt:lpstr>
      <vt:lpstr>'cockpit (2)'!officeopex</vt:lpstr>
      <vt:lpstr>'cockpit (3)'!officeopex</vt:lpstr>
      <vt:lpstr>'cockpit (4)'!officeopex</vt:lpstr>
      <vt:lpstr>'opex tbales'!officeopex</vt:lpstr>
      <vt:lpstr>officeopex</vt:lpstr>
      <vt:lpstr>'cockpit (2)'!Officerampup</vt:lpstr>
      <vt:lpstr>'cockpit (3)'!Officerampup</vt:lpstr>
      <vt:lpstr>'cockpit (4)'!Officerampup</vt:lpstr>
      <vt:lpstr>'opex tbales'!Officerampup</vt:lpstr>
      <vt:lpstr>Officerampup</vt:lpstr>
      <vt:lpstr>'cockpit (2)'!Officevacancy</vt:lpstr>
      <vt:lpstr>'cockpit (3)'!Officevacancy</vt:lpstr>
      <vt:lpstr>'cockpit (4)'!Officevacancy</vt:lpstr>
      <vt:lpstr>'opex tbales'!Officevacancy</vt:lpstr>
      <vt:lpstr>Officevacancy</vt:lpstr>
      <vt:lpstr>'cockpit (2)'!parkingaveragespacesize</vt:lpstr>
      <vt:lpstr>'cockpit (3)'!parkingaveragespacesize</vt:lpstr>
      <vt:lpstr>'cockpit (4)'!parkingaveragespacesize</vt:lpstr>
      <vt:lpstr>'opex tbales'!parkingaveragespacesize</vt:lpstr>
      <vt:lpstr>parkingaveragespacesize</vt:lpstr>
      <vt:lpstr>'cockpit (2)'!parkingconstructioncostPSF</vt:lpstr>
      <vt:lpstr>'cockpit (3)'!parkingconstructioncostPSF</vt:lpstr>
      <vt:lpstr>'cockpit (4)'!parkingconstructioncostPSF</vt:lpstr>
      <vt:lpstr>'opex tbales'!parkingconstructioncostPSF</vt:lpstr>
      <vt:lpstr>parkingconstructioncostPSF</vt:lpstr>
      <vt:lpstr>'cockpit (2)'!parkingrampup</vt:lpstr>
      <vt:lpstr>'cockpit (3)'!parkingrampup</vt:lpstr>
      <vt:lpstr>'cockpit (4)'!parkingrampup</vt:lpstr>
      <vt:lpstr>'opex tbales'!parkingrampup</vt:lpstr>
      <vt:lpstr>parkingrampup</vt:lpstr>
      <vt:lpstr>'cockpit (2)'!parkingrevenueperspacepermonth</vt:lpstr>
      <vt:lpstr>'cockpit (3)'!parkingrevenueperspacepermonth</vt:lpstr>
      <vt:lpstr>'cockpit (4)'!parkingrevenueperspacepermonth</vt:lpstr>
      <vt:lpstr>'opex tbales'!parkingrevenueperspacepermonth</vt:lpstr>
      <vt:lpstr>parkingrevenueperspacepermonth</vt:lpstr>
      <vt:lpstr>'cockpit (2)'!permanentinterestrate</vt:lpstr>
      <vt:lpstr>'cockpit (3)'!permanentinterestrate</vt:lpstr>
      <vt:lpstr>'cockpit (4)'!permanentinterestrate</vt:lpstr>
      <vt:lpstr>'opex tbales'!permanentinterestrate</vt:lpstr>
      <vt:lpstr>permanentinterestrate</vt:lpstr>
      <vt:lpstr>'cockpit (2)'!permanentservicingfees</vt:lpstr>
      <vt:lpstr>'cockpit (3)'!permanentservicingfees</vt:lpstr>
      <vt:lpstr>'cockpit (4)'!permanentservicingfees</vt:lpstr>
      <vt:lpstr>'opex tbales'!permanentservicingfees</vt:lpstr>
      <vt:lpstr>permanentservicingfees</vt:lpstr>
      <vt:lpstr>'cockpit (2)'!Phase1</vt:lpstr>
      <vt:lpstr>'cockpit (3)'!Phase1</vt:lpstr>
      <vt:lpstr>'cockpit (4)'!Phase1</vt:lpstr>
      <vt:lpstr>'opex tbales'!Phase1</vt:lpstr>
      <vt:lpstr>Phase1</vt:lpstr>
      <vt:lpstr>'cockpit (2)'!Phase1begin</vt:lpstr>
      <vt:lpstr>'cockpit (3)'!Phase1begin</vt:lpstr>
      <vt:lpstr>'cockpit (4)'!Phase1begin</vt:lpstr>
      <vt:lpstr>'opex tbales'!Phase1begin</vt:lpstr>
      <vt:lpstr>Phase1begin</vt:lpstr>
      <vt:lpstr>'cockpit (2)'!Phase1end</vt:lpstr>
      <vt:lpstr>'cockpit (3)'!Phase1end</vt:lpstr>
      <vt:lpstr>'cockpit (4)'!Phase1end</vt:lpstr>
      <vt:lpstr>'opex tbales'!Phase1end</vt:lpstr>
      <vt:lpstr>Phase1end</vt:lpstr>
      <vt:lpstr>phase1landcontribution</vt:lpstr>
      <vt:lpstr>'cockpit (2)'!Phase1open</vt:lpstr>
      <vt:lpstr>'cockpit (3)'!Phase1open</vt:lpstr>
      <vt:lpstr>'cockpit (4)'!Phase1open</vt:lpstr>
      <vt:lpstr>'opex tbales'!Phase1open</vt:lpstr>
      <vt:lpstr>Phase1open</vt:lpstr>
      <vt:lpstr>'cockpit (2)'!phase1stabilizationyear</vt:lpstr>
      <vt:lpstr>'cockpit (3)'!phase1stabilizationyear</vt:lpstr>
      <vt:lpstr>'cockpit (4)'!phase1stabilizationyear</vt:lpstr>
      <vt:lpstr>'opex tbales'!phase1stabilizationyear</vt:lpstr>
      <vt:lpstr>phase1stabilizationyear</vt:lpstr>
      <vt:lpstr>'cockpit (2)'!Phase2</vt:lpstr>
      <vt:lpstr>'cockpit (3)'!Phase2</vt:lpstr>
      <vt:lpstr>'cockpit (4)'!Phase2</vt:lpstr>
      <vt:lpstr>'opex tbales'!Phase2</vt:lpstr>
      <vt:lpstr>Phase2</vt:lpstr>
      <vt:lpstr>'cockpit (2)'!Phase2begin</vt:lpstr>
      <vt:lpstr>'cockpit (3)'!Phase2begin</vt:lpstr>
      <vt:lpstr>'cockpit (4)'!Phase2begin</vt:lpstr>
      <vt:lpstr>'opex tbales'!Phase2begin</vt:lpstr>
      <vt:lpstr>Phase2begin</vt:lpstr>
      <vt:lpstr>'cockpit (2)'!Phase2end</vt:lpstr>
      <vt:lpstr>'cockpit (3)'!Phase2end</vt:lpstr>
      <vt:lpstr>'cockpit (4)'!Phase2end</vt:lpstr>
      <vt:lpstr>'opex tbales'!Phase2end</vt:lpstr>
      <vt:lpstr>Phase2end</vt:lpstr>
      <vt:lpstr>phase2landcontribution</vt:lpstr>
      <vt:lpstr>'cockpit (2)'!Phase2open</vt:lpstr>
      <vt:lpstr>'cockpit (3)'!Phase2open</vt:lpstr>
      <vt:lpstr>'cockpit (4)'!Phase2open</vt:lpstr>
      <vt:lpstr>'opex tbales'!Phase2open</vt:lpstr>
      <vt:lpstr>Phase2open</vt:lpstr>
      <vt:lpstr>'cockpit (2)'!phase2stabilizationyear</vt:lpstr>
      <vt:lpstr>'cockpit (3)'!phase2stabilizationyear</vt:lpstr>
      <vt:lpstr>'cockpit (4)'!phase2stabilizationyear</vt:lpstr>
      <vt:lpstr>'opex tbales'!phase2stabilizationyear</vt:lpstr>
      <vt:lpstr>phase2stabilizationyear</vt:lpstr>
      <vt:lpstr>'cockpit (2)'!Phase3</vt:lpstr>
      <vt:lpstr>'cockpit (3)'!Phase3</vt:lpstr>
      <vt:lpstr>'cockpit (4)'!Phase3</vt:lpstr>
      <vt:lpstr>'opex tbales'!Phase3</vt:lpstr>
      <vt:lpstr>Phase3</vt:lpstr>
      <vt:lpstr>'cockpit (2)'!Phase3begin</vt:lpstr>
      <vt:lpstr>'cockpit (3)'!Phase3begin</vt:lpstr>
      <vt:lpstr>'cockpit (4)'!Phase3begin</vt:lpstr>
      <vt:lpstr>'opex tbales'!Phase3begin</vt:lpstr>
      <vt:lpstr>Phase3begin</vt:lpstr>
      <vt:lpstr>'cockpit (2)'!Phase3end</vt:lpstr>
      <vt:lpstr>'cockpit (3)'!Phase3end</vt:lpstr>
      <vt:lpstr>'cockpit (4)'!Phase3end</vt:lpstr>
      <vt:lpstr>'opex tbales'!Phase3end</vt:lpstr>
      <vt:lpstr>Phase3end</vt:lpstr>
      <vt:lpstr>phase3landcontribution</vt:lpstr>
      <vt:lpstr>'cockpit (2)'!Phase3open</vt:lpstr>
      <vt:lpstr>'cockpit (3)'!Phase3open</vt:lpstr>
      <vt:lpstr>'cockpit (4)'!Phase3open</vt:lpstr>
      <vt:lpstr>'opex tbales'!Phase3open</vt:lpstr>
      <vt:lpstr>Phase3open</vt:lpstr>
      <vt:lpstr>'cockpit (2)'!phase3stabilizationyear</vt:lpstr>
      <vt:lpstr>'cockpit (3)'!phase3stabilizationyear</vt:lpstr>
      <vt:lpstr>'cockpit (4)'!phase3stabilizationyear</vt:lpstr>
      <vt:lpstr>'opex tbales'!phase3stabilizationyear</vt:lpstr>
      <vt:lpstr>phase3stabilizationyear</vt:lpstr>
      <vt:lpstr>'cockpit (2)'!Premiumcosts</vt:lpstr>
      <vt:lpstr>'cockpit (3)'!Premiumcosts</vt:lpstr>
      <vt:lpstr>'cockpit (4)'!Premiumcosts</vt:lpstr>
      <vt:lpstr>'opex tbales'!Premiumcosts</vt:lpstr>
      <vt:lpstr>Premiumcosts</vt:lpstr>
      <vt:lpstr>'cockpit (2)'!Premiumexitcaprate</vt:lpstr>
      <vt:lpstr>'cockpit (3)'!Premiumexitcaprate</vt:lpstr>
      <vt:lpstr>'cockpit (4)'!Premiumexitcaprate</vt:lpstr>
      <vt:lpstr>'opex tbales'!Premiumexitcaprate</vt:lpstr>
      <vt:lpstr>Premiumexitcaprate</vt:lpstr>
      <vt:lpstr>'cockpit (2)'!premiumprices</vt:lpstr>
      <vt:lpstr>'cockpit (3)'!premiumprices</vt:lpstr>
      <vt:lpstr>'cockpit (4)'!premiumprices</vt:lpstr>
      <vt:lpstr>'opex tbales'!premiumprices</vt:lpstr>
      <vt:lpstr>premiumprices</vt:lpstr>
      <vt:lpstr>'Summary Board'!Print_Area</vt:lpstr>
      <vt:lpstr>'p1'!Print_Titles</vt:lpstr>
      <vt:lpstr>'p2'!Print_Titles</vt:lpstr>
      <vt:lpstr>'p3'!Print_Titles</vt:lpstr>
      <vt:lpstr>'cockpit (2)'!publicspacesconstructioncostPSF</vt:lpstr>
      <vt:lpstr>'cockpit (3)'!publicspacesconstructioncostPSF</vt:lpstr>
      <vt:lpstr>'cockpit (4)'!publicspacesconstructioncostPSF</vt:lpstr>
      <vt:lpstr>'opex tbales'!publicspacesconstructioncostPSF</vt:lpstr>
      <vt:lpstr>publicspacesconstructioncostPSF</vt:lpstr>
      <vt:lpstr>'cockpit (2)'!Repurposecost</vt:lpstr>
      <vt:lpstr>'cockpit (3)'!Repurposecost</vt:lpstr>
      <vt:lpstr>'cockpit (4)'!Repurposecost</vt:lpstr>
      <vt:lpstr>'opex tbales'!Repurposecost</vt:lpstr>
      <vt:lpstr>Repurposecost</vt:lpstr>
      <vt:lpstr>'cockpit (3)'!Residentialaffordableaveragesize</vt:lpstr>
      <vt:lpstr>'cockpit (4)'!Residentialaffordableaveragesize</vt:lpstr>
      <vt:lpstr>'opex tbales'!Residentialaffordableaveragesize</vt:lpstr>
      <vt:lpstr>Residentialaffordableaveragesize</vt:lpstr>
      <vt:lpstr>'cockpit (2)'!ResidentialaffordablecostPSF</vt:lpstr>
      <vt:lpstr>'cockpit (3)'!ResidentialaffordablecostPSF</vt:lpstr>
      <vt:lpstr>'cockpit (4)'!ResidentialaffordablecostPSF</vt:lpstr>
      <vt:lpstr>'opex tbales'!ResidentialaffordablecostPSF</vt:lpstr>
      <vt:lpstr>ResidentialaffordablecostPSF</vt:lpstr>
      <vt:lpstr>'cockpit (2)'!ResidentialAffordablePSFrate</vt:lpstr>
      <vt:lpstr>'cockpit (3)'!ResidentialAffordablePSFrate</vt:lpstr>
      <vt:lpstr>'cockpit (4)'!ResidentialAffordablePSFrate</vt:lpstr>
      <vt:lpstr>'opex tbales'!ResidentialAffordablePSFrate</vt:lpstr>
      <vt:lpstr>ResidentialAffordablePSFrate</vt:lpstr>
      <vt:lpstr>'cockpit (2)'!ResidentialAffordablerampup</vt:lpstr>
      <vt:lpstr>'cockpit (3)'!ResidentialAffordablerampup</vt:lpstr>
      <vt:lpstr>'cockpit (4)'!ResidentialAffordablerampup</vt:lpstr>
      <vt:lpstr>'opex tbales'!ResidentialAffordablerampup</vt:lpstr>
      <vt:lpstr>ResidentialAffordablerampup</vt:lpstr>
      <vt:lpstr>ResidentialAffordableSF</vt:lpstr>
      <vt:lpstr>'cockpit (2)'!ResidentialAffordablevacancy</vt:lpstr>
      <vt:lpstr>'cockpit (3)'!ResidentialAffordablevacancy</vt:lpstr>
      <vt:lpstr>'cockpit (4)'!ResidentialAffordablevacancy</vt:lpstr>
      <vt:lpstr>'opex tbales'!ResidentialAffordablevacancy</vt:lpstr>
      <vt:lpstr>ResidentialAffordablevacancy</vt:lpstr>
      <vt:lpstr>'cockpit (2)'!ResidentialCondominiumrampup</vt:lpstr>
      <vt:lpstr>'cockpit (3)'!ResidentialCondominiumrampup</vt:lpstr>
      <vt:lpstr>'cockpit (4)'!ResidentialCondominiumrampup</vt:lpstr>
      <vt:lpstr>'opex tbales'!ResidentialCondominiumrampup</vt:lpstr>
      <vt:lpstr>ResidentialCondominiumrampup</vt:lpstr>
      <vt:lpstr>ResidentialCondominiumSF</vt:lpstr>
      <vt:lpstr>'cockpit (2)'!ResidentialCondominiumvacancy</vt:lpstr>
      <vt:lpstr>'cockpit (3)'!ResidentialCondominiumvacancy</vt:lpstr>
      <vt:lpstr>'cockpit (4)'!ResidentialCondominiumvacancy</vt:lpstr>
      <vt:lpstr>'opex tbales'!ResidentialCondominiumvacancy</vt:lpstr>
      <vt:lpstr>ResidentialCondominiumvacancy</vt:lpstr>
      <vt:lpstr>'cockpit (2)'!Residentialmarketrateaveragesize</vt:lpstr>
      <vt:lpstr>'cockpit (3)'!Residentialmarketrateaveragesize</vt:lpstr>
      <vt:lpstr>'cockpit (4)'!Residentialmarketrateaveragesize</vt:lpstr>
      <vt:lpstr>'opex tbales'!Residentialmarketrateaveragesize</vt:lpstr>
      <vt:lpstr>Residentialmarketrateaveragesize</vt:lpstr>
      <vt:lpstr>'cockpit (2)'!ResidentialmarketrateconstructionPSF</vt:lpstr>
      <vt:lpstr>'cockpit (3)'!ResidentialmarketrateconstructionPSF</vt:lpstr>
      <vt:lpstr>'cockpit (4)'!ResidentialmarketrateconstructionPSF</vt:lpstr>
      <vt:lpstr>'opex tbales'!ResidentialmarketrateconstructionPSF</vt:lpstr>
      <vt:lpstr>ResidentialmarketrateconstructionPSF</vt:lpstr>
      <vt:lpstr>'cockpit (2)'!ResidentialmarketratePSFrate</vt:lpstr>
      <vt:lpstr>'cockpit (3)'!ResidentialmarketratePSFrate</vt:lpstr>
      <vt:lpstr>'cockpit (4)'!ResidentialmarketratePSFrate</vt:lpstr>
      <vt:lpstr>'opex tbales'!ResidentialmarketratePSFrate</vt:lpstr>
      <vt:lpstr>ResidentialmarketratePSFrate</vt:lpstr>
      <vt:lpstr>'cockpit (2)'!Residentialmarketraterampup</vt:lpstr>
      <vt:lpstr>'cockpit (3)'!Residentialmarketraterampup</vt:lpstr>
      <vt:lpstr>'cockpit (4)'!Residentialmarketraterampup</vt:lpstr>
      <vt:lpstr>'opex tbales'!Residentialmarketraterampup</vt:lpstr>
      <vt:lpstr>Residentialmarketraterampup</vt:lpstr>
      <vt:lpstr>'cockpit (2)'!Residentialmarketratevacancy</vt:lpstr>
      <vt:lpstr>'cockpit (3)'!Residentialmarketratevacancy</vt:lpstr>
      <vt:lpstr>'cockpit (4)'!Residentialmarketratevacancy</vt:lpstr>
      <vt:lpstr>'opex tbales'!Residentialmarketratevacancy</vt:lpstr>
      <vt:lpstr>Residentialmarketratevacancy</vt:lpstr>
      <vt:lpstr>'cockpit (2)'!RetailconstructioncostPSF</vt:lpstr>
      <vt:lpstr>'cockpit (3)'!RetailconstructioncostPSF</vt:lpstr>
      <vt:lpstr>'cockpit (4)'!RetailconstructioncostPSF</vt:lpstr>
      <vt:lpstr>'opex tbales'!RetailconstructioncostPSF</vt:lpstr>
      <vt:lpstr>RetailconstructioncostPSF</vt:lpstr>
      <vt:lpstr>'cockpit (2)'!retailentrycap</vt:lpstr>
      <vt:lpstr>'cockpit (3)'!retailentrycap</vt:lpstr>
      <vt:lpstr>'cockpit (4)'!retailentrycap</vt:lpstr>
      <vt:lpstr>'opex tbales'!retailentrycap</vt:lpstr>
      <vt:lpstr>retailentrycap</vt:lpstr>
      <vt:lpstr>'cockpit (2)'!Retailexitcap</vt:lpstr>
      <vt:lpstr>'cockpit (3)'!Retailexitcap</vt:lpstr>
      <vt:lpstr>'cockpit (4)'!Retailexitcap</vt:lpstr>
      <vt:lpstr>'opex tbales'!Retailexitcap</vt:lpstr>
      <vt:lpstr>Retailexitcap</vt:lpstr>
      <vt:lpstr>'cockpit (2)'!retailopex</vt:lpstr>
      <vt:lpstr>'cockpit (3)'!retailopex</vt:lpstr>
      <vt:lpstr>'cockpit (4)'!retailopex</vt:lpstr>
      <vt:lpstr>'opex tbales'!retailopex</vt:lpstr>
      <vt:lpstr>retailopex</vt:lpstr>
      <vt:lpstr>'cockpit (2)'!Retailrampup</vt:lpstr>
      <vt:lpstr>'cockpit (3)'!Retailrampup</vt:lpstr>
      <vt:lpstr>'cockpit (4)'!Retailrampup</vt:lpstr>
      <vt:lpstr>'opex tbales'!Retailrampup</vt:lpstr>
      <vt:lpstr>Retailrampup</vt:lpstr>
      <vt:lpstr>'cockpit (2)'!RetailrentalratePSF</vt:lpstr>
      <vt:lpstr>'cockpit (3)'!RetailrentalratePSF</vt:lpstr>
      <vt:lpstr>'cockpit (4)'!RetailrentalratePSF</vt:lpstr>
      <vt:lpstr>'opex tbales'!RetailrentalratePSF</vt:lpstr>
      <vt:lpstr>RetailrentalratePSF</vt:lpstr>
      <vt:lpstr>'cockpit (2)'!Retailvacancy</vt:lpstr>
      <vt:lpstr>'cockpit (3)'!Retailvacancy</vt:lpstr>
      <vt:lpstr>'cockpit (4)'!Retailvacancy</vt:lpstr>
      <vt:lpstr>'opex tbales'!Retailvacancy</vt:lpstr>
      <vt:lpstr>Retailvacancy</vt:lpstr>
      <vt:lpstr>'p2'!RowTitleRegion1..E6</vt:lpstr>
      <vt:lpstr>'p3'!RowTitleRegion1..E6</vt:lpstr>
      <vt:lpstr>RowTitleRegion1..E6</vt:lpstr>
      <vt:lpstr>'p2'!RowTitleRegion2..E11</vt:lpstr>
      <vt:lpstr>'p3'!RowTitleRegion2..E11</vt:lpstr>
      <vt:lpstr>RowTitleRegion2..E11</vt:lpstr>
      <vt:lpstr>sfacre</vt:lpstr>
      <vt:lpstr>'cockpit (2)'!tiforiginationfee</vt:lpstr>
      <vt:lpstr>'cockpit (3)'!tiforiginationfee</vt:lpstr>
      <vt:lpstr>'cockpit (4)'!tiforiginationfee</vt:lpstr>
      <vt:lpstr>'opex tbales'!tiforiginationfee</vt:lpstr>
      <vt:lpstr>tiforiginationfee</vt:lpstr>
      <vt:lpstr>tifphase1</vt:lpstr>
      <vt:lpstr>tifphase2</vt:lpstr>
      <vt:lpstr>tifphase3</vt:lpstr>
      <vt:lpstr>'cockpit (2)'!tifrate</vt:lpstr>
      <vt:lpstr>'cockpit (3)'!tifrate</vt:lpstr>
      <vt:lpstr>'cockpit (4)'!tifrate</vt:lpstr>
      <vt:lpstr>'opex tbales'!tifrate</vt:lpstr>
      <vt:lpstr>tifrate</vt:lpstr>
      <vt:lpstr>'p2'!Total_Cost</vt:lpstr>
      <vt:lpstr>'p3'!Total_Cost</vt:lpstr>
      <vt:lpstr>Total_Cost</vt:lpstr>
      <vt:lpstr>'p2'!Total_Interest</vt:lpstr>
      <vt:lpstr>'p3'!Total_Interest</vt:lpstr>
      <vt:lpstr>Total_Interest</vt:lpstr>
      <vt:lpstr>totalsf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 Yang</dc:creator>
  <cp:lastModifiedBy>Andrew Jacobs</cp:lastModifiedBy>
  <dcterms:created xsi:type="dcterms:W3CDTF">2019-01-23T21:26:32Z</dcterms:created>
  <dcterms:modified xsi:type="dcterms:W3CDTF">2019-04-04T12:09:00Z</dcterms:modified>
</cp:coreProperties>
</file>