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yankatz/Documents/Georgia Tech/ULI Competition/"/>
    </mc:Choice>
  </mc:AlternateContent>
  <xr:revisionPtr revIDLastSave="0" documentId="13_ncr:1_{F9398948-CF00-E149-A6B6-141A02B9D79F}" xr6:coauthVersionLast="36" xr6:coauthVersionMax="36" xr10:uidLastSave="{00000000-0000-0000-0000-000000000000}"/>
  <bookViews>
    <workbookView xWindow="900" yWindow="460" windowWidth="27380" windowHeight="15900" tabRatio="904" xr2:uid="{00000000-000D-0000-FFFF-FFFF00000000}"/>
  </bookViews>
  <sheets>
    <sheet name="Summary Board" sheetId="28" r:id="rId1"/>
    <sheet name="Budget" sheetId="33" r:id="rId2"/>
    <sheet name="Financing" sheetId="34" r:id="rId3"/>
    <sheet name="1.Infrastructure Costs" sheetId="15" r:id="rId4"/>
    <sheet name="2.Market-rate Rental Housing" sheetId="14" r:id="rId5"/>
    <sheet name="3.Market-rate For-Sale Housing" sheetId="19" r:id="rId6"/>
    <sheet name="4.Affordable Rental Housing" sheetId="31" r:id="rId7"/>
    <sheet name="5.Affordable For-Sale Housing" sheetId="32" r:id="rId8"/>
    <sheet name="6.Office_Commercial" sheetId="20" r:id="rId9"/>
    <sheet name="7.Market-rate Retail" sheetId="22" r:id="rId10"/>
    <sheet name="8.Hotel" sheetId="23" r:id="rId11"/>
    <sheet name="9.Structured Parking (New)" sheetId="18" r:id="rId12"/>
    <sheet name="9.Structured Parking (Existing)" sheetId="35" r:id="rId13"/>
    <sheet name="10.Other" sheetId="36" r:id="rId14"/>
    <sheet name="10.Surface Parking" sheetId="24" r:id="rId15"/>
    <sheet name="Development Schedule" sheetId="30" r:id="rId16"/>
    <sheet name="Assumptions" sheetId="29" r:id="rId17"/>
  </sheets>
  <definedNames>
    <definedName name="_xlnm.Print_Area" localSheetId="3">'1.Infrastructure Costs'!$A$1:$N$24</definedName>
    <definedName name="_xlnm.Print_Area" localSheetId="5">'3.Market-rate For-Sale Housing'!$A$1:$M$28</definedName>
    <definedName name="_xlnm.Print_Area" localSheetId="7">'5.Affordable For-Sale Housing'!$A$1:$M$28</definedName>
    <definedName name="_xlnm.Print_Area" localSheetId="10">'8.Hotel'!$A$1:$M$28</definedName>
    <definedName name="_xlnm.Print_Area" localSheetId="2">Financing!$A$2:$M$45</definedName>
    <definedName name="_xlnm.Print_Area" localSheetId="0">'Summary Board'!$A$1:$N$154</definedName>
  </definedNames>
  <calcPr calcId="179021" calcMode="autoNoTable" iterate="1"/>
</workbook>
</file>

<file path=xl/calcChain.xml><?xml version="1.0" encoding="utf-8"?>
<calcChain xmlns="http://schemas.openxmlformats.org/spreadsheetml/2006/main">
  <c r="J129" i="28" l="1"/>
  <c r="C13" i="31"/>
  <c r="C15" i="34" l="1"/>
  <c r="E103" i="28"/>
  <c r="F21" i="15"/>
  <c r="G21" i="15"/>
  <c r="H21" i="15"/>
  <c r="I21" i="15"/>
  <c r="J21" i="15"/>
  <c r="K21" i="15"/>
  <c r="L21" i="15"/>
  <c r="M21" i="15"/>
  <c r="N21" i="15"/>
  <c r="E21" i="15"/>
  <c r="F19" i="15"/>
  <c r="C16" i="15"/>
  <c r="G117" i="28"/>
  <c r="K99" i="28"/>
  <c r="J73" i="28" l="1"/>
  <c r="I73" i="28"/>
  <c r="H73" i="28"/>
  <c r="I49" i="30"/>
  <c r="I50" i="30"/>
  <c r="H50" i="30"/>
  <c r="H49" i="30"/>
  <c r="C25" i="30"/>
  <c r="C26" i="30"/>
  <c r="C27" i="30"/>
  <c r="D42" i="36"/>
  <c r="D40" i="36"/>
  <c r="E30" i="36"/>
  <c r="D27" i="36"/>
  <c r="E27" i="36" s="1"/>
  <c r="F27" i="36" s="1"/>
  <c r="G27" i="36" s="1"/>
  <c r="H27" i="36" s="1"/>
  <c r="I27" i="36" s="1"/>
  <c r="J27" i="36" s="1"/>
  <c r="K27" i="36" s="1"/>
  <c r="M25" i="36"/>
  <c r="L25" i="36"/>
  <c r="F25" i="36"/>
  <c r="E73" i="28"/>
  <c r="F73" i="28"/>
  <c r="G73" i="28"/>
  <c r="K73" i="28"/>
  <c r="L73" i="28"/>
  <c r="M73" i="28"/>
  <c r="N73" i="28"/>
  <c r="D73" i="28"/>
  <c r="D15" i="28"/>
  <c r="D39" i="35"/>
  <c r="C39" i="35"/>
  <c r="D32" i="35"/>
  <c r="C32" i="35"/>
  <c r="D31" i="35"/>
  <c r="C31" i="35"/>
  <c r="E8" i="34"/>
  <c r="G8" i="34"/>
  <c r="H8" i="34"/>
  <c r="J8" i="34"/>
  <c r="K8" i="34"/>
  <c r="L8" i="34"/>
  <c r="D8" i="34"/>
  <c r="E82" i="28"/>
  <c r="F82" i="28"/>
  <c r="G82" i="28"/>
  <c r="H82" i="28"/>
  <c r="I82" i="28"/>
  <c r="J82" i="28"/>
  <c r="K82" i="28"/>
  <c r="L82" i="28"/>
  <c r="M82" i="28"/>
  <c r="N82" i="28"/>
  <c r="D82" i="28"/>
  <c r="F33" i="36"/>
  <c r="G33" i="36" s="1"/>
  <c r="H33" i="36" s="1"/>
  <c r="I33" i="36" s="1"/>
  <c r="J33" i="36" s="1"/>
  <c r="O56" i="30"/>
  <c r="C65" i="36"/>
  <c r="J8" i="36" s="1"/>
  <c r="J9" i="36" s="1"/>
  <c r="C64" i="36"/>
  <c r="C63" i="36"/>
  <c r="K56" i="30"/>
  <c r="K57" i="30"/>
  <c r="L33" i="36"/>
  <c r="M33" i="36" s="1"/>
  <c r="C11" i="36"/>
  <c r="G10" i="36"/>
  <c r="H10" i="36" s="1"/>
  <c r="I10" i="36" s="1"/>
  <c r="M10" i="36" s="1"/>
  <c r="F8" i="36"/>
  <c r="E4" i="36"/>
  <c r="F4" i="36" s="1"/>
  <c r="G4" i="36" s="1"/>
  <c r="H4" i="36" s="1"/>
  <c r="I4" i="36" s="1"/>
  <c r="J4" i="36" s="1"/>
  <c r="K4" i="36" s="1"/>
  <c r="L4" i="36" s="1"/>
  <c r="M4" i="36" s="1"/>
  <c r="K55" i="30"/>
  <c r="C7" i="29"/>
  <c r="I47" i="28"/>
  <c r="I48" i="28" s="1"/>
  <c r="K41" i="28"/>
  <c r="L41" i="28"/>
  <c r="G23" i="15"/>
  <c r="F41" i="28" s="1"/>
  <c r="H23" i="15"/>
  <c r="G41" i="28" s="1"/>
  <c r="I23" i="15"/>
  <c r="H41" i="28" s="1"/>
  <c r="J23" i="15"/>
  <c r="I41" i="28" s="1"/>
  <c r="K23" i="15"/>
  <c r="J41" i="28" s="1"/>
  <c r="L23" i="15"/>
  <c r="M23" i="15"/>
  <c r="N23" i="15"/>
  <c r="M41" i="28" s="1"/>
  <c r="G17" i="15"/>
  <c r="H17" i="15"/>
  <c r="I17" i="15"/>
  <c r="J17" i="15"/>
  <c r="K17" i="15"/>
  <c r="L17" i="15"/>
  <c r="M17" i="15"/>
  <c r="N17" i="15"/>
  <c r="B10" i="34"/>
  <c r="B7" i="34"/>
  <c r="K98" i="28"/>
  <c r="C5" i="33"/>
  <c r="E105" i="28"/>
  <c r="D39" i="28"/>
  <c r="E136" i="28"/>
  <c r="E137" i="28"/>
  <c r="D158" i="28" s="1"/>
  <c r="E138" i="28"/>
  <c r="D159" i="28" s="1"/>
  <c r="E139" i="28"/>
  <c r="E140" i="28"/>
  <c r="E135" i="28"/>
  <c r="E133" i="28"/>
  <c r="D133" i="28" s="1"/>
  <c r="E134" i="28"/>
  <c r="E132" i="28"/>
  <c r="D132" i="28" s="1"/>
  <c r="E131" i="28"/>
  <c r="D162" i="28" s="1"/>
  <c r="D164" i="28" s="1"/>
  <c r="H55" i="28" s="1"/>
  <c r="E36" i="28"/>
  <c r="F36" i="28"/>
  <c r="G36" i="28"/>
  <c r="I36" i="28"/>
  <c r="J36" i="28"/>
  <c r="K36" i="28"/>
  <c r="L36" i="28"/>
  <c r="M36" i="28"/>
  <c r="D36" i="28"/>
  <c r="G35" i="35"/>
  <c r="H36" i="28" s="1"/>
  <c r="H8" i="35"/>
  <c r="H7" i="35"/>
  <c r="B51" i="35"/>
  <c r="C51" i="35"/>
  <c r="C52" i="35"/>
  <c r="B52" i="35" s="1"/>
  <c r="B50" i="35"/>
  <c r="E7" i="35" s="1"/>
  <c r="M42" i="35"/>
  <c r="J42" i="35"/>
  <c r="I42" i="35"/>
  <c r="F42" i="35"/>
  <c r="B41" i="35"/>
  <c r="B40" i="35"/>
  <c r="M37" i="35"/>
  <c r="L37" i="35"/>
  <c r="L42" i="35" s="1"/>
  <c r="K37" i="35"/>
  <c r="K42" i="35" s="1"/>
  <c r="J37" i="35"/>
  <c r="I37" i="35"/>
  <c r="H37" i="35"/>
  <c r="H42" i="35" s="1"/>
  <c r="F37" i="35"/>
  <c r="D37" i="35"/>
  <c r="D42" i="35" s="1"/>
  <c r="C37" i="35"/>
  <c r="C42" i="35" s="1"/>
  <c r="C29" i="35"/>
  <c r="D28" i="35"/>
  <c r="D29" i="35" s="1"/>
  <c r="D30" i="35" s="1"/>
  <c r="D43" i="35" s="1"/>
  <c r="C28" i="35"/>
  <c r="C30" i="35" s="1"/>
  <c r="C43" i="35" s="1"/>
  <c r="B21" i="35"/>
  <c r="D21" i="35" s="1"/>
  <c r="E21" i="35" s="1"/>
  <c r="B10" i="35"/>
  <c r="D10" i="35" s="1"/>
  <c r="E10" i="35" s="1"/>
  <c r="F10" i="35" s="1"/>
  <c r="G10" i="35" s="1"/>
  <c r="H10" i="35" s="1"/>
  <c r="I10" i="35" s="1"/>
  <c r="J10" i="35" s="1"/>
  <c r="K10" i="35" s="1"/>
  <c r="L10" i="35" s="1"/>
  <c r="M10" i="35" s="1"/>
  <c r="E8" i="35"/>
  <c r="E4" i="35"/>
  <c r="F4" i="35" s="1"/>
  <c r="G4" i="35" s="1"/>
  <c r="H4" i="35" s="1"/>
  <c r="I4" i="35" s="1"/>
  <c r="J4" i="35" s="1"/>
  <c r="K4" i="35" s="1"/>
  <c r="L4" i="35" s="1"/>
  <c r="M4" i="35" s="1"/>
  <c r="C43" i="30"/>
  <c r="K54" i="30"/>
  <c r="K11" i="30"/>
  <c r="D160" i="28" l="1"/>
  <c r="D167" i="28"/>
  <c r="D169" i="28" s="1"/>
  <c r="E16" i="15" s="1"/>
  <c r="L27" i="36"/>
  <c r="K28" i="36"/>
  <c r="F28" i="36"/>
  <c r="F30" i="36" s="1"/>
  <c r="C82" i="28"/>
  <c r="G25" i="36"/>
  <c r="G37" i="35"/>
  <c r="G42" i="35" s="1"/>
  <c r="E96" i="28"/>
  <c r="C96" i="28" s="1"/>
  <c r="G17" i="36"/>
  <c r="D43" i="36"/>
  <c r="D11" i="36"/>
  <c r="E11" i="36" s="1"/>
  <c r="F11" i="36" s="1"/>
  <c r="G11" i="36" s="1"/>
  <c r="H11" i="36" s="1"/>
  <c r="I11" i="36" s="1"/>
  <c r="J11" i="36" s="1"/>
  <c r="K11" i="36" s="1"/>
  <c r="L11" i="36" s="1"/>
  <c r="M11" i="36" s="1"/>
  <c r="F9" i="36"/>
  <c r="K8" i="36"/>
  <c r="L8" i="36" s="1"/>
  <c r="M8" i="36" s="1"/>
  <c r="E37" i="35"/>
  <c r="E42" i="35" s="1"/>
  <c r="E26" i="35"/>
  <c r="F7" i="35"/>
  <c r="F26" i="35" s="1"/>
  <c r="F21" i="35"/>
  <c r="G21" i="35" s="1"/>
  <c r="H21" i="35" s="1"/>
  <c r="I21" i="35" s="1"/>
  <c r="J21" i="35" s="1"/>
  <c r="K21" i="35" s="1"/>
  <c r="L21" i="35" s="1"/>
  <c r="M21" i="35" s="1"/>
  <c r="E27" i="35"/>
  <c r="F8" i="35"/>
  <c r="G8" i="35" s="1"/>
  <c r="I8" i="35" s="1"/>
  <c r="J8" i="35" s="1"/>
  <c r="K8" i="35" s="1"/>
  <c r="L8" i="35" s="1"/>
  <c r="M8" i="35" s="1"/>
  <c r="F16" i="15" l="1"/>
  <c r="F17" i="15" s="1"/>
  <c r="F23" i="15" s="1"/>
  <c r="E41" i="28" s="1"/>
  <c r="E17" i="15"/>
  <c r="E23" i="15" s="1"/>
  <c r="D41" i="28" s="1"/>
  <c r="K30" i="36"/>
  <c r="D51" i="36"/>
  <c r="D12" i="28"/>
  <c r="G28" i="36"/>
  <c r="G30" i="36" s="1"/>
  <c r="H25" i="36"/>
  <c r="M27" i="36"/>
  <c r="M28" i="36" s="1"/>
  <c r="L28" i="36"/>
  <c r="H17" i="36"/>
  <c r="E12" i="36"/>
  <c r="D35" i="36"/>
  <c r="E35" i="36" s="1"/>
  <c r="D19" i="36"/>
  <c r="E19" i="36" s="1"/>
  <c r="E20" i="36" s="1"/>
  <c r="F12" i="36"/>
  <c r="G9" i="36"/>
  <c r="F27" i="35"/>
  <c r="F28" i="35" s="1"/>
  <c r="F29" i="35" s="1"/>
  <c r="F30" i="35" s="1"/>
  <c r="E28" i="35"/>
  <c r="E29" i="35" s="1"/>
  <c r="E30" i="35" s="1"/>
  <c r="G7" i="35"/>
  <c r="G27" i="35"/>
  <c r="G26" i="35"/>
  <c r="E14" i="36" l="1"/>
  <c r="E42" i="36" s="1"/>
  <c r="E40" i="36"/>
  <c r="L30" i="36"/>
  <c r="M30" i="36"/>
  <c r="H28" i="36"/>
  <c r="H30" i="36" s="1"/>
  <c r="I25" i="36"/>
  <c r="F31" i="35"/>
  <c r="F32" i="35" s="1"/>
  <c r="F39" i="35" s="1"/>
  <c r="F15" i="28" s="1"/>
  <c r="E31" i="35"/>
  <c r="E32" i="35" s="1"/>
  <c r="E39" i="35" s="1"/>
  <c r="I17" i="36"/>
  <c r="F19" i="36"/>
  <c r="F20" i="36" s="1"/>
  <c r="E38" i="36"/>
  <c r="F35" i="36"/>
  <c r="F36" i="36" s="1"/>
  <c r="F40" i="36" s="1"/>
  <c r="H9" i="36"/>
  <c r="G12" i="36"/>
  <c r="F14" i="36"/>
  <c r="H27" i="35"/>
  <c r="I7" i="35"/>
  <c r="H26" i="35"/>
  <c r="G28" i="35"/>
  <c r="I28" i="36" l="1"/>
  <c r="I30" i="36" s="1"/>
  <c r="J25" i="36"/>
  <c r="J28" i="36" s="1"/>
  <c r="J30" i="36" s="1"/>
  <c r="E15" i="28"/>
  <c r="E43" i="35"/>
  <c r="F43" i="35"/>
  <c r="J17" i="36"/>
  <c r="G35" i="36"/>
  <c r="G36" i="36" s="1"/>
  <c r="G40" i="36" s="1"/>
  <c r="F38" i="36"/>
  <c r="F42" i="36" s="1"/>
  <c r="G14" i="36"/>
  <c r="I9" i="36"/>
  <c r="H12" i="36"/>
  <c r="G19" i="36"/>
  <c r="G20" i="36" s="1"/>
  <c r="E22" i="36"/>
  <c r="H28" i="35"/>
  <c r="G29" i="35"/>
  <c r="G30" i="35" s="1"/>
  <c r="I26" i="35"/>
  <c r="J7" i="35"/>
  <c r="I27" i="35"/>
  <c r="G31" i="35" l="1"/>
  <c r="G32" i="35" s="1"/>
  <c r="G39" i="35" s="1"/>
  <c r="G15" i="28" s="1"/>
  <c r="K17" i="36"/>
  <c r="E43" i="36"/>
  <c r="I12" i="36"/>
  <c r="F22" i="36"/>
  <c r="H19" i="36"/>
  <c r="H20" i="36" s="1"/>
  <c r="H14" i="36"/>
  <c r="H35" i="36"/>
  <c r="H36" i="36" s="1"/>
  <c r="H40" i="36" s="1"/>
  <c r="G38" i="36"/>
  <c r="G42" i="36" s="1"/>
  <c r="I28" i="35"/>
  <c r="I29" i="35" s="1"/>
  <c r="I30" i="35" s="1"/>
  <c r="J26" i="35"/>
  <c r="J27" i="35"/>
  <c r="K7" i="35"/>
  <c r="H29" i="35"/>
  <c r="H30" i="35" s="1"/>
  <c r="E35" i="28"/>
  <c r="G35" i="28"/>
  <c r="H35" i="28"/>
  <c r="I35" i="28"/>
  <c r="J35" i="28"/>
  <c r="K35" i="28"/>
  <c r="L35" i="28"/>
  <c r="M35" i="28"/>
  <c r="D35" i="28"/>
  <c r="B21" i="18"/>
  <c r="D21" i="18" s="1"/>
  <c r="E21" i="18" s="1"/>
  <c r="F21" i="18" s="1"/>
  <c r="G21" i="18" s="1"/>
  <c r="H21" i="18" s="1"/>
  <c r="I21" i="18" s="1"/>
  <c r="J21" i="18" s="1"/>
  <c r="K21" i="18" s="1"/>
  <c r="L21" i="18" s="1"/>
  <c r="M21" i="18" s="1"/>
  <c r="B10" i="18"/>
  <c r="D10" i="18" s="1"/>
  <c r="E10" i="18" s="1"/>
  <c r="D14" i="28"/>
  <c r="B39" i="18"/>
  <c r="B38" i="18"/>
  <c r="D41" i="18"/>
  <c r="C41" i="18"/>
  <c r="D40" i="18"/>
  <c r="F40" i="18"/>
  <c r="G40" i="18"/>
  <c r="H40" i="18"/>
  <c r="I40" i="18"/>
  <c r="J40" i="18"/>
  <c r="K40" i="18"/>
  <c r="L40" i="18"/>
  <c r="M40" i="18"/>
  <c r="C40" i="18"/>
  <c r="D37" i="18"/>
  <c r="C37" i="18"/>
  <c r="D35" i="18"/>
  <c r="F35" i="18"/>
  <c r="G35" i="18"/>
  <c r="H35" i="18"/>
  <c r="I35" i="18"/>
  <c r="J35" i="18"/>
  <c r="K35" i="18"/>
  <c r="L35" i="18"/>
  <c r="M35" i="18"/>
  <c r="C35" i="18"/>
  <c r="D69" i="28"/>
  <c r="E68" i="28"/>
  <c r="F68" i="28"/>
  <c r="G68" i="28"/>
  <c r="H68" i="28"/>
  <c r="I68" i="28"/>
  <c r="J68" i="28"/>
  <c r="D81" i="28"/>
  <c r="E116" i="28"/>
  <c r="F116" i="28"/>
  <c r="D30" i="18"/>
  <c r="C30" i="18"/>
  <c r="D29" i="18"/>
  <c r="C29" i="18"/>
  <c r="D28" i="18"/>
  <c r="C28" i="18"/>
  <c r="C50" i="18"/>
  <c r="B50" i="18" s="1"/>
  <c r="C49" i="18"/>
  <c r="B49" i="18" s="1"/>
  <c r="C11" i="20"/>
  <c r="E15" i="30"/>
  <c r="E14" i="30"/>
  <c r="C14" i="30"/>
  <c r="C15" i="30"/>
  <c r="K41" i="30"/>
  <c r="K39" i="30"/>
  <c r="K44" i="30"/>
  <c r="K43" i="30"/>
  <c r="E16" i="30"/>
  <c r="F16" i="30" s="1"/>
  <c r="F53" i="30" s="1"/>
  <c r="F12" i="30"/>
  <c r="E80" i="28"/>
  <c r="F80" i="28"/>
  <c r="H80" i="28"/>
  <c r="I80" i="28"/>
  <c r="J80" i="28"/>
  <c r="M80" i="28"/>
  <c r="N80" i="28"/>
  <c r="D80" i="28"/>
  <c r="G78" i="28"/>
  <c r="J78" i="28"/>
  <c r="M78" i="28"/>
  <c r="N78" i="28"/>
  <c r="D78" i="28"/>
  <c r="D77" i="28"/>
  <c r="N74" i="28"/>
  <c r="D68" i="28"/>
  <c r="D66" i="28"/>
  <c r="D76" i="28" s="1"/>
  <c r="D65" i="28"/>
  <c r="D75" i="28" s="1"/>
  <c r="D64" i="28"/>
  <c r="E13" i="28"/>
  <c r="D13" i="28"/>
  <c r="E9" i="28"/>
  <c r="F9" i="28"/>
  <c r="G9" i="28"/>
  <c r="K9" i="28"/>
  <c r="L9" i="28"/>
  <c r="M9" i="28"/>
  <c r="D9" i="28"/>
  <c r="K37" i="34"/>
  <c r="J37" i="34"/>
  <c r="I37" i="34"/>
  <c r="E37" i="34"/>
  <c r="D37" i="34"/>
  <c r="B37" i="34"/>
  <c r="F24" i="34"/>
  <c r="F37" i="34" s="1"/>
  <c r="C24" i="34"/>
  <c r="C37" i="34" s="1"/>
  <c r="M7" i="34"/>
  <c r="D6" i="34"/>
  <c r="E6" i="34" s="1"/>
  <c r="F6" i="34" s="1"/>
  <c r="G6" i="34" s="1"/>
  <c r="H6" i="34" s="1"/>
  <c r="I6" i="34" s="1"/>
  <c r="J6" i="34" s="1"/>
  <c r="K6" i="34" s="1"/>
  <c r="L6" i="34" s="1"/>
  <c r="C5" i="34"/>
  <c r="D5" i="34" s="1"/>
  <c r="E5" i="34" s="1"/>
  <c r="F5" i="34" s="1"/>
  <c r="G5" i="34" s="1"/>
  <c r="H5" i="34" s="1"/>
  <c r="I5" i="34" s="1"/>
  <c r="J5" i="34" s="1"/>
  <c r="K5" i="34" s="1"/>
  <c r="L5" i="34" s="1"/>
  <c r="C11" i="22"/>
  <c r="C20" i="22" s="1"/>
  <c r="C29" i="22" s="1"/>
  <c r="C11" i="19"/>
  <c r="C13" i="14"/>
  <c r="D134" i="28"/>
  <c r="F135" i="28"/>
  <c r="F136" i="28" s="1"/>
  <c r="D131" i="28"/>
  <c r="G43" i="35" l="1"/>
  <c r="H31" i="35"/>
  <c r="H32" i="35" s="1"/>
  <c r="H39" i="35" s="1"/>
  <c r="H15" i="28" s="1"/>
  <c r="I31" i="35"/>
  <c r="I32" i="35" s="1"/>
  <c r="I39" i="35" s="1"/>
  <c r="G24" i="34"/>
  <c r="G116" i="28"/>
  <c r="B33" i="18" s="1"/>
  <c r="E51" i="36"/>
  <c r="E12" i="28"/>
  <c r="L17" i="36"/>
  <c r="F43" i="36"/>
  <c r="I35" i="36"/>
  <c r="I36" i="36" s="1"/>
  <c r="I40" i="36" s="1"/>
  <c r="H38" i="36"/>
  <c r="H42" i="36" s="1"/>
  <c r="G22" i="36"/>
  <c r="I19" i="36"/>
  <c r="I20" i="36" s="1"/>
  <c r="K9" i="36"/>
  <c r="J12" i="36"/>
  <c r="I14" i="36"/>
  <c r="E53" i="30"/>
  <c r="J28" i="35"/>
  <c r="K27" i="35"/>
  <c r="L7" i="35"/>
  <c r="K26" i="35"/>
  <c r="J29" i="35"/>
  <c r="J30" i="35" s="1"/>
  <c r="F10" i="18"/>
  <c r="C47" i="30"/>
  <c r="M10" i="34"/>
  <c r="F137" i="28"/>
  <c r="D137" i="28" s="1"/>
  <c r="D136" i="28"/>
  <c r="D40" i="28" s="1"/>
  <c r="C8" i="34" s="1"/>
  <c r="D135" i="28"/>
  <c r="E114" i="28"/>
  <c r="F114" i="28"/>
  <c r="E115" i="28"/>
  <c r="F115" i="28"/>
  <c r="F113" i="28"/>
  <c r="E113" i="28"/>
  <c r="F112" i="28"/>
  <c r="E112" i="28"/>
  <c r="C27" i="20"/>
  <c r="B37" i="20"/>
  <c r="B36" i="20"/>
  <c r="B15" i="20"/>
  <c r="C22" i="20"/>
  <c r="C15" i="20"/>
  <c r="C12" i="20"/>
  <c r="C14" i="20" s="1"/>
  <c r="D11" i="20"/>
  <c r="E11" i="20" s="1"/>
  <c r="F11" i="20" s="1"/>
  <c r="G11" i="20" s="1"/>
  <c r="H11" i="20" s="1"/>
  <c r="I11" i="20" s="1"/>
  <c r="J11" i="20" s="1"/>
  <c r="K11" i="20" s="1"/>
  <c r="L11" i="20" s="1"/>
  <c r="M11" i="20" s="1"/>
  <c r="I10" i="20"/>
  <c r="J10" i="20" s="1"/>
  <c r="M10" i="20" s="1"/>
  <c r="G7" i="20"/>
  <c r="H77" i="28" s="1"/>
  <c r="H7" i="20"/>
  <c r="I77" i="28" s="1"/>
  <c r="I7" i="20"/>
  <c r="J77" i="28" s="1"/>
  <c r="J7" i="20"/>
  <c r="K77" i="28" s="1"/>
  <c r="K7" i="20"/>
  <c r="L77" i="28" s="1"/>
  <c r="L7" i="20"/>
  <c r="M77" i="28" s="1"/>
  <c r="M7" i="20"/>
  <c r="N77" i="28" s="1"/>
  <c r="D7" i="20"/>
  <c r="F9" i="23"/>
  <c r="G9" i="23" s="1"/>
  <c r="H9" i="23" s="1"/>
  <c r="I9" i="23" s="1"/>
  <c r="J9" i="23" s="1"/>
  <c r="K9" i="23" s="1"/>
  <c r="L9" i="23" s="1"/>
  <c r="M9" i="23" s="1"/>
  <c r="G55" i="30"/>
  <c r="G80" i="28" s="1"/>
  <c r="C35" i="32"/>
  <c r="B35" i="32" s="1"/>
  <c r="C33" i="32"/>
  <c r="B33" i="32" s="1"/>
  <c r="M7" i="32"/>
  <c r="N66" i="28" s="1"/>
  <c r="N76" i="28" s="1"/>
  <c r="F7" i="32"/>
  <c r="G66" i="28" s="1"/>
  <c r="G76" i="28" s="1"/>
  <c r="I7" i="32"/>
  <c r="J66" i="28" s="1"/>
  <c r="J76" i="28" s="1"/>
  <c r="J7" i="32"/>
  <c r="K66" i="28" s="1"/>
  <c r="K76" i="28" s="1"/>
  <c r="K7" i="32"/>
  <c r="L66" i="28" s="1"/>
  <c r="L76" i="28" s="1"/>
  <c r="L7" i="32"/>
  <c r="M66" i="28" s="1"/>
  <c r="M76" i="28" s="1"/>
  <c r="E7" i="32"/>
  <c r="F66" i="28" s="1"/>
  <c r="F76" i="28" s="1"/>
  <c r="D7" i="32"/>
  <c r="E66" i="28" s="1"/>
  <c r="E76" i="28" s="1"/>
  <c r="B15" i="32"/>
  <c r="B14" i="32"/>
  <c r="C13" i="32"/>
  <c r="E11" i="32"/>
  <c r="E13" i="32" s="1"/>
  <c r="D11" i="32"/>
  <c r="D13" i="32" s="1"/>
  <c r="D15" i="32" s="1"/>
  <c r="E4" i="32"/>
  <c r="F4" i="32" s="1"/>
  <c r="G4" i="32" s="1"/>
  <c r="H4" i="32" s="1"/>
  <c r="I4" i="32" s="1"/>
  <c r="J4" i="32" s="1"/>
  <c r="K4" i="32" s="1"/>
  <c r="L4" i="32" s="1"/>
  <c r="M4" i="32" s="1"/>
  <c r="M26" i="31"/>
  <c r="N65" i="28" s="1"/>
  <c r="N75" i="28" s="1"/>
  <c r="L26" i="31"/>
  <c r="M65" i="28" s="1"/>
  <c r="M75" i="28" s="1"/>
  <c r="I17" i="31"/>
  <c r="J65" i="28" s="1"/>
  <c r="J75" i="28" s="1"/>
  <c r="H17" i="31"/>
  <c r="I65" i="28" s="1"/>
  <c r="I75" i="28" s="1"/>
  <c r="G17" i="31"/>
  <c r="H65" i="28" s="1"/>
  <c r="H75" i="28" s="1"/>
  <c r="F8" i="31"/>
  <c r="G65" i="28" s="1"/>
  <c r="G75" i="28" s="1"/>
  <c r="C58" i="31"/>
  <c r="B58" i="31" s="1"/>
  <c r="K19" i="31" s="1"/>
  <c r="B47" i="31"/>
  <c r="B46" i="31"/>
  <c r="I30" i="31"/>
  <c r="H30" i="31"/>
  <c r="G30" i="31"/>
  <c r="F30" i="31"/>
  <c r="E30" i="31"/>
  <c r="D30" i="31"/>
  <c r="C22" i="31"/>
  <c r="C31" i="31" s="1"/>
  <c r="D31" i="31" s="1"/>
  <c r="E31" i="31" s="1"/>
  <c r="F31" i="31" s="1"/>
  <c r="G31" i="31" s="1"/>
  <c r="H31" i="31" s="1"/>
  <c r="I31" i="31" s="1"/>
  <c r="J31" i="31" s="1"/>
  <c r="K31" i="31" s="1"/>
  <c r="L31" i="31" s="1"/>
  <c r="M31" i="31" s="1"/>
  <c r="F21" i="31"/>
  <c r="E21" i="31"/>
  <c r="D21" i="31"/>
  <c r="D13" i="31"/>
  <c r="E13" i="31" s="1"/>
  <c r="F4" i="31"/>
  <c r="G4" i="31" s="1"/>
  <c r="H4" i="31" s="1"/>
  <c r="I4" i="31" s="1"/>
  <c r="J4" i="31" s="1"/>
  <c r="K4" i="31" s="1"/>
  <c r="L4" i="31" s="1"/>
  <c r="M4" i="31" s="1"/>
  <c r="E4" i="31"/>
  <c r="L7" i="19"/>
  <c r="M7" i="19"/>
  <c r="H17" i="14"/>
  <c r="I17" i="14"/>
  <c r="G17" i="14"/>
  <c r="E18" i="30"/>
  <c r="E54" i="30" s="1"/>
  <c r="H27" i="30"/>
  <c r="I27" i="30" s="1"/>
  <c r="I57" i="30" s="1"/>
  <c r="D37" i="22"/>
  <c r="D11" i="28" s="1"/>
  <c r="D36" i="22"/>
  <c r="D34" i="22"/>
  <c r="G28" i="22"/>
  <c r="H28" i="22" s="1"/>
  <c r="I28" i="22" s="1"/>
  <c r="J28" i="22" s="1"/>
  <c r="M28" i="22" s="1"/>
  <c r="J19" i="22"/>
  <c r="K19" i="22" s="1"/>
  <c r="L19" i="22" s="1"/>
  <c r="M19" i="22" s="1"/>
  <c r="M10" i="22"/>
  <c r="L10" i="22"/>
  <c r="K10" i="22"/>
  <c r="J10" i="22"/>
  <c r="I10" i="22"/>
  <c r="H10" i="22"/>
  <c r="G10" i="22"/>
  <c r="D29" i="22"/>
  <c r="E29" i="22" s="1"/>
  <c r="F26" i="22"/>
  <c r="F17" i="22"/>
  <c r="D20" i="22"/>
  <c r="E20" i="22" s="1"/>
  <c r="D11" i="22"/>
  <c r="E11" i="22" s="1"/>
  <c r="F11" i="22" s="1"/>
  <c r="G11" i="22" s="1"/>
  <c r="H11" i="22" s="1"/>
  <c r="I11" i="22" s="1"/>
  <c r="J11" i="22" s="1"/>
  <c r="K11" i="22" s="1"/>
  <c r="L11" i="22" s="1"/>
  <c r="M11" i="22" s="1"/>
  <c r="B15" i="19"/>
  <c r="B14" i="19"/>
  <c r="C13" i="19"/>
  <c r="C14" i="19" s="1"/>
  <c r="D11" i="19"/>
  <c r="D13" i="19" s="1"/>
  <c r="E7" i="19"/>
  <c r="F7" i="19"/>
  <c r="I7" i="19"/>
  <c r="J7" i="19"/>
  <c r="K7" i="19"/>
  <c r="D7" i="19"/>
  <c r="C35" i="19"/>
  <c r="B35" i="19" s="1"/>
  <c r="C33" i="19"/>
  <c r="B47" i="14"/>
  <c r="B46" i="14"/>
  <c r="L26" i="14"/>
  <c r="M26" i="14"/>
  <c r="D13" i="14"/>
  <c r="E13" i="14" s="1"/>
  <c r="F13" i="14" s="1"/>
  <c r="G13" i="14" s="1"/>
  <c r="H13" i="14" s="1"/>
  <c r="I13" i="14" s="1"/>
  <c r="J13" i="14" s="1"/>
  <c r="K13" i="14" s="1"/>
  <c r="L13" i="14" s="1"/>
  <c r="M13" i="14" s="1"/>
  <c r="F8" i="14"/>
  <c r="C22" i="14"/>
  <c r="D22" i="14" s="1"/>
  <c r="E22" i="14" s="1"/>
  <c r="F22" i="14" s="1"/>
  <c r="G22" i="14" s="1"/>
  <c r="H22" i="14" s="1"/>
  <c r="I22" i="14" s="1"/>
  <c r="J22" i="14" s="1"/>
  <c r="K22" i="14" s="1"/>
  <c r="L22" i="14" s="1"/>
  <c r="M22" i="14" s="1"/>
  <c r="C58" i="14"/>
  <c r="B58" i="14" s="1"/>
  <c r="E19" i="14" s="1"/>
  <c r="L57" i="30"/>
  <c r="L78" i="28" s="1"/>
  <c r="K78" i="28"/>
  <c r="J58" i="30"/>
  <c r="L55" i="30"/>
  <c r="K80" i="28"/>
  <c r="I30" i="29"/>
  <c r="K31" i="30"/>
  <c r="J26" i="14" s="1"/>
  <c r="H26" i="30"/>
  <c r="E17" i="30"/>
  <c r="F17" i="30" s="1"/>
  <c r="F10" i="30"/>
  <c r="F14" i="30"/>
  <c r="F49" i="30" s="1"/>
  <c r="E8" i="14" s="1"/>
  <c r="E9" i="14" s="1"/>
  <c r="F6" i="30"/>
  <c r="G6" i="30" s="1"/>
  <c r="H6" i="30" s="1"/>
  <c r="I6" i="30" s="1"/>
  <c r="J6" i="30" s="1"/>
  <c r="K6" i="30" s="1"/>
  <c r="L6" i="30" s="1"/>
  <c r="M6" i="30" s="1"/>
  <c r="N6" i="30" s="1"/>
  <c r="D45" i="22" l="1"/>
  <c r="I15" i="28"/>
  <c r="I43" i="35"/>
  <c r="J31" i="35"/>
  <c r="J32" i="35" s="1"/>
  <c r="J39" i="35" s="1"/>
  <c r="H43" i="35"/>
  <c r="G37" i="34"/>
  <c r="H24" i="34"/>
  <c r="H37" i="34" s="1"/>
  <c r="G114" i="28"/>
  <c r="F51" i="36"/>
  <c r="F12" i="28"/>
  <c r="M17" i="36"/>
  <c r="J19" i="36"/>
  <c r="J20" i="36" s="1"/>
  <c r="J14" i="36"/>
  <c r="L9" i="36"/>
  <c r="K12" i="36"/>
  <c r="J35" i="36"/>
  <c r="J36" i="36" s="1"/>
  <c r="J40" i="36" s="1"/>
  <c r="I38" i="36"/>
  <c r="I42" i="36" s="1"/>
  <c r="H22" i="36"/>
  <c r="G43" i="36"/>
  <c r="F57" i="30"/>
  <c r="C48" i="18"/>
  <c r="O53" i="30"/>
  <c r="K28" i="35"/>
  <c r="K29" i="35" s="1"/>
  <c r="K30" i="35" s="1"/>
  <c r="G115" i="28"/>
  <c r="B18" i="23" s="1"/>
  <c r="D18" i="23" s="1"/>
  <c r="D20" i="23" s="1"/>
  <c r="G112" i="28"/>
  <c r="C40" i="14" s="1"/>
  <c r="D40" i="14" s="1"/>
  <c r="L27" i="35"/>
  <c r="M7" i="35"/>
  <c r="L26" i="35"/>
  <c r="G10" i="18"/>
  <c r="H10" i="18" s="1"/>
  <c r="I10" i="18" s="1"/>
  <c r="J10" i="18" s="1"/>
  <c r="K10" i="18" s="1"/>
  <c r="L10" i="18" s="1"/>
  <c r="M10" i="18" s="1"/>
  <c r="H57" i="30"/>
  <c r="H78" i="28" s="1"/>
  <c r="G58" i="30"/>
  <c r="F18" i="30"/>
  <c r="F78" i="28"/>
  <c r="I78" i="28"/>
  <c r="C58" i="22"/>
  <c r="D58" i="22" s="1"/>
  <c r="H18" i="22" s="1"/>
  <c r="G7" i="32"/>
  <c r="H66" i="28" s="1"/>
  <c r="H76" i="28" s="1"/>
  <c r="C59" i="22"/>
  <c r="D59" i="22" s="1"/>
  <c r="K27" i="22" s="1"/>
  <c r="E7" i="20"/>
  <c r="F77" i="28" s="1"/>
  <c r="K49" i="30"/>
  <c r="L80" i="28"/>
  <c r="E57" i="30"/>
  <c r="E49" i="30"/>
  <c r="D8" i="14" s="1"/>
  <c r="D9" i="14" s="1"/>
  <c r="D10" i="14" s="1"/>
  <c r="M21" i="31"/>
  <c r="B33" i="19"/>
  <c r="G63" i="28"/>
  <c r="F74" i="28"/>
  <c r="G64" i="28"/>
  <c r="K63" i="28"/>
  <c r="K74" i="28"/>
  <c r="L64" i="28"/>
  <c r="E74" i="28"/>
  <c r="F64" i="28"/>
  <c r="H63" i="28"/>
  <c r="M64" i="28"/>
  <c r="L74" i="28"/>
  <c r="E64" i="28"/>
  <c r="D74" i="28"/>
  <c r="N83" i="28"/>
  <c r="N63" i="28"/>
  <c r="J74" i="28"/>
  <c r="K64" i="28"/>
  <c r="J63" i="28"/>
  <c r="F63" i="28"/>
  <c r="M63" i="28"/>
  <c r="I74" i="28"/>
  <c r="J64" i="28"/>
  <c r="I63" i="28"/>
  <c r="M74" i="28"/>
  <c r="N64" i="28"/>
  <c r="D8" i="20"/>
  <c r="D9" i="20" s="1"/>
  <c r="D12" i="20" s="1"/>
  <c r="D14" i="20" s="1"/>
  <c r="E77" i="28"/>
  <c r="J21" i="31"/>
  <c r="D33" i="34"/>
  <c r="E33" i="34"/>
  <c r="C16" i="20"/>
  <c r="C24" i="20" s="1"/>
  <c r="C28" i="20" s="1"/>
  <c r="C15" i="19"/>
  <c r="C16" i="19" s="1"/>
  <c r="C24" i="19" s="1"/>
  <c r="C31" i="14"/>
  <c r="D31" i="14" s="1"/>
  <c r="E31" i="14" s="1"/>
  <c r="F31" i="14" s="1"/>
  <c r="G31" i="14" s="1"/>
  <c r="H31" i="14" s="1"/>
  <c r="I31" i="14" s="1"/>
  <c r="J31" i="14" s="1"/>
  <c r="K31" i="14" s="1"/>
  <c r="L31" i="14" s="1"/>
  <c r="M31" i="14" s="1"/>
  <c r="G113" i="28"/>
  <c r="B19" i="20" s="1"/>
  <c r="C19" i="20" s="1"/>
  <c r="D19" i="20" s="1"/>
  <c r="E19" i="20" s="1"/>
  <c r="F138" i="28"/>
  <c r="D138" i="28" s="1"/>
  <c r="L21" i="31"/>
  <c r="O55" i="30"/>
  <c r="F11" i="32"/>
  <c r="F13" i="32" s="1"/>
  <c r="F15" i="32"/>
  <c r="F14" i="32"/>
  <c r="F16" i="32" s="1"/>
  <c r="F24" i="32" s="1"/>
  <c r="E15" i="32"/>
  <c r="E14" i="32"/>
  <c r="E16" i="32" s="1"/>
  <c r="E24" i="32" s="1"/>
  <c r="C14" i="32"/>
  <c r="C15" i="32"/>
  <c r="C16" i="32" s="1"/>
  <c r="C24" i="32" s="1"/>
  <c r="G11" i="32"/>
  <c r="D14" i="32"/>
  <c r="D16" i="32" s="1"/>
  <c r="D24" i="32" s="1"/>
  <c r="F13" i="31"/>
  <c r="E19" i="31"/>
  <c r="I19" i="31"/>
  <c r="M19" i="31"/>
  <c r="G21" i="31"/>
  <c r="K21" i="31"/>
  <c r="D22" i="31"/>
  <c r="E22" i="31" s="1"/>
  <c r="F22" i="31" s="1"/>
  <c r="G22" i="31" s="1"/>
  <c r="H22" i="31" s="1"/>
  <c r="I22" i="31" s="1"/>
  <c r="J22" i="31" s="1"/>
  <c r="K22" i="31" s="1"/>
  <c r="L22" i="31" s="1"/>
  <c r="M22" i="31" s="1"/>
  <c r="D19" i="31"/>
  <c r="F19" i="31"/>
  <c r="F18" i="31" s="1"/>
  <c r="J19" i="31"/>
  <c r="H21" i="31"/>
  <c r="H19" i="31"/>
  <c r="L19" i="31"/>
  <c r="G19" i="31"/>
  <c r="I21" i="31"/>
  <c r="G26" i="22"/>
  <c r="H26" i="22" s="1"/>
  <c r="I26" i="22" s="1"/>
  <c r="J26" i="22" s="1"/>
  <c r="F27" i="22"/>
  <c r="E30" i="22"/>
  <c r="E32" i="22" s="1"/>
  <c r="F29" i="22"/>
  <c r="G29" i="22" s="1"/>
  <c r="H29" i="22" s="1"/>
  <c r="I29" i="22" s="1"/>
  <c r="J29" i="22" s="1"/>
  <c r="K29" i="22" s="1"/>
  <c r="L29" i="22" s="1"/>
  <c r="M29" i="22" s="1"/>
  <c r="F18" i="22"/>
  <c r="G17" i="22"/>
  <c r="E21" i="22"/>
  <c r="E23" i="22" s="1"/>
  <c r="F20" i="22"/>
  <c r="G20" i="22" s="1"/>
  <c r="H20" i="22" s="1"/>
  <c r="I20" i="22" s="1"/>
  <c r="J20" i="22" s="1"/>
  <c r="K20" i="22" s="1"/>
  <c r="L20" i="22" s="1"/>
  <c r="M20" i="22" s="1"/>
  <c r="D15" i="19"/>
  <c r="D14" i="19"/>
  <c r="E11" i="19"/>
  <c r="E30" i="14"/>
  <c r="L19" i="14"/>
  <c r="H19" i="14"/>
  <c r="H30" i="14"/>
  <c r="K19" i="14"/>
  <c r="G19" i="14"/>
  <c r="D21" i="14"/>
  <c r="F21" i="14"/>
  <c r="G30" i="14"/>
  <c r="D19" i="14"/>
  <c r="J19" i="14"/>
  <c r="F19" i="14"/>
  <c r="F18" i="14" s="1"/>
  <c r="E21" i="14"/>
  <c r="D30" i="14"/>
  <c r="J30" i="14"/>
  <c r="F30" i="14"/>
  <c r="M19" i="14"/>
  <c r="I19" i="14"/>
  <c r="I30" i="14"/>
  <c r="I26" i="30"/>
  <c r="H7" i="32" s="1"/>
  <c r="I66" i="28" s="1"/>
  <c r="I76" i="28" s="1"/>
  <c r="H25" i="30"/>
  <c r="L31" i="30"/>
  <c r="K32" i="30"/>
  <c r="G14" i="29"/>
  <c r="E14" i="29"/>
  <c r="G13" i="29"/>
  <c r="E13" i="29"/>
  <c r="G12" i="29"/>
  <c r="E12" i="29"/>
  <c r="G11" i="29"/>
  <c r="E11" i="29"/>
  <c r="G10" i="29"/>
  <c r="E10" i="29"/>
  <c r="G9" i="29"/>
  <c r="E9" i="29"/>
  <c r="G6" i="29"/>
  <c r="E6" i="29"/>
  <c r="G5" i="29"/>
  <c r="E5" i="29"/>
  <c r="G4" i="29"/>
  <c r="E4" i="29"/>
  <c r="G3" i="29"/>
  <c r="E3" i="29"/>
  <c r="E7" i="29" s="1"/>
  <c r="E16" i="29" s="1"/>
  <c r="C40" i="22" l="1"/>
  <c r="D40" i="22" s="1"/>
  <c r="M18" i="23"/>
  <c r="M20" i="23" s="1"/>
  <c r="M34" i="28" s="1"/>
  <c r="K18" i="23"/>
  <c r="K20" i="23" s="1"/>
  <c r="K34" i="28" s="1"/>
  <c r="F18" i="23"/>
  <c r="F20" i="23" s="1"/>
  <c r="F34" i="28" s="1"/>
  <c r="J15" i="28"/>
  <c r="J43" i="35"/>
  <c r="C46" i="36"/>
  <c r="D46" i="36" s="1"/>
  <c r="D47" i="36" s="1"/>
  <c r="D49" i="36" s="1"/>
  <c r="K31" i="35"/>
  <c r="K32" i="35" s="1"/>
  <c r="K39" i="35" s="1"/>
  <c r="E18" i="23"/>
  <c r="E20" i="23" s="1"/>
  <c r="E22" i="23" s="1"/>
  <c r="E26" i="23" s="1"/>
  <c r="J18" i="23"/>
  <c r="J20" i="23" s="1"/>
  <c r="J34" i="28" s="1"/>
  <c r="L18" i="23"/>
  <c r="L20" i="23" s="1"/>
  <c r="L34" i="28" s="1"/>
  <c r="G18" i="23"/>
  <c r="G20" i="23" s="1"/>
  <c r="G34" i="28" s="1"/>
  <c r="C40" i="31"/>
  <c r="D40" i="31" s="1"/>
  <c r="E40" i="31" s="1"/>
  <c r="F40" i="31" s="1"/>
  <c r="F41" i="31" s="1"/>
  <c r="H18" i="23"/>
  <c r="H20" i="23" s="1"/>
  <c r="H34" i="28" s="1"/>
  <c r="I18" i="23"/>
  <c r="I20" i="23" s="1"/>
  <c r="I34" i="28" s="1"/>
  <c r="G51" i="36"/>
  <c r="G12" i="28"/>
  <c r="L12" i="36"/>
  <c r="M9" i="36"/>
  <c r="M12" i="36" s="1"/>
  <c r="K35" i="36"/>
  <c r="K36" i="36" s="1"/>
  <c r="K40" i="36" s="1"/>
  <c r="J38" i="36"/>
  <c r="J42" i="36" s="1"/>
  <c r="I22" i="36"/>
  <c r="H43" i="36"/>
  <c r="K14" i="36"/>
  <c r="K42" i="36" s="1"/>
  <c r="K19" i="36"/>
  <c r="K20" i="36" s="1"/>
  <c r="C81" i="28"/>
  <c r="B48" i="18"/>
  <c r="E8" i="18"/>
  <c r="O54" i="30"/>
  <c r="F54" i="30"/>
  <c r="F7" i="20" s="1"/>
  <c r="G77" i="28" s="1"/>
  <c r="B19" i="32"/>
  <c r="C19" i="32" s="1"/>
  <c r="D19" i="32" s="1"/>
  <c r="B19" i="19"/>
  <c r="C19" i="19" s="1"/>
  <c r="C20" i="19" s="1"/>
  <c r="C22" i="19" s="1"/>
  <c r="C25" i="19" s="1"/>
  <c r="C26" i="19" s="1"/>
  <c r="M26" i="35"/>
  <c r="M27" i="35"/>
  <c r="L28" i="35"/>
  <c r="G10" i="32"/>
  <c r="B35" i="20"/>
  <c r="C77" i="28" s="1"/>
  <c r="H17" i="22"/>
  <c r="D15" i="20"/>
  <c r="D16" i="20" s="1"/>
  <c r="E8" i="20"/>
  <c r="E9" i="20" s="1"/>
  <c r="K26" i="22"/>
  <c r="L26" i="22" s="1"/>
  <c r="M26" i="22" s="1"/>
  <c r="G18" i="31"/>
  <c r="H18" i="31" s="1"/>
  <c r="I18" i="31" s="1"/>
  <c r="G18" i="14"/>
  <c r="H18" i="14" s="1"/>
  <c r="I18" i="14" s="1"/>
  <c r="H10" i="32"/>
  <c r="I10" i="32" s="1"/>
  <c r="J10" i="32" s="1"/>
  <c r="K10" i="32" s="1"/>
  <c r="L10" i="32" s="1"/>
  <c r="M10" i="32" s="1"/>
  <c r="L32" i="30"/>
  <c r="L50" i="30" s="1"/>
  <c r="K26" i="31" s="1"/>
  <c r="L65" i="28" s="1"/>
  <c r="L75" i="28" s="1"/>
  <c r="K50" i="30"/>
  <c r="O52" i="30"/>
  <c r="Q52" i="30" s="1"/>
  <c r="L49" i="30"/>
  <c r="O49" i="30" s="1"/>
  <c r="Q49" i="30" s="1"/>
  <c r="K26" i="14"/>
  <c r="C34" i="32"/>
  <c r="I83" i="28"/>
  <c r="E78" i="28"/>
  <c r="O57" i="30"/>
  <c r="C57" i="22"/>
  <c r="F15" i="30"/>
  <c r="F50" i="30" s="1"/>
  <c r="E50" i="30"/>
  <c r="E58" i="30" s="1"/>
  <c r="C57" i="14"/>
  <c r="M83" i="28"/>
  <c r="J83" i="28"/>
  <c r="E34" i="28"/>
  <c r="D22" i="23"/>
  <c r="D26" i="23" s="1"/>
  <c r="D34" i="28"/>
  <c r="D16" i="19"/>
  <c r="F33" i="34"/>
  <c r="D20" i="20"/>
  <c r="D22" i="20" s="1"/>
  <c r="E40" i="14"/>
  <c r="D41" i="14"/>
  <c r="D43" i="14" s="1"/>
  <c r="E20" i="20"/>
  <c r="E22" i="20" s="1"/>
  <c r="F19" i="20"/>
  <c r="F139" i="28"/>
  <c r="C35" i="23"/>
  <c r="B35" i="23" s="1"/>
  <c r="J7" i="23" s="1"/>
  <c r="K68" i="28" s="1"/>
  <c r="H11" i="32"/>
  <c r="G13" i="32"/>
  <c r="G13" i="31"/>
  <c r="I17" i="22"/>
  <c r="J17" i="22" s="1"/>
  <c r="K17" i="22" s="1"/>
  <c r="L17" i="22" s="1"/>
  <c r="M17" i="22" s="1"/>
  <c r="F30" i="22"/>
  <c r="F32" i="22" s="1"/>
  <c r="G27" i="22"/>
  <c r="F21" i="22"/>
  <c r="F23" i="22" s="1"/>
  <c r="G18" i="22"/>
  <c r="E13" i="19"/>
  <c r="F11" i="19"/>
  <c r="I25" i="30"/>
  <c r="E40" i="22" l="1"/>
  <c r="D41" i="22"/>
  <c r="D43" i="22" s="1"/>
  <c r="D32" i="28" s="1"/>
  <c r="E46" i="36"/>
  <c r="F46" i="36" s="1"/>
  <c r="K15" i="28"/>
  <c r="K43" i="35"/>
  <c r="H51" i="36"/>
  <c r="H12" i="28"/>
  <c r="D54" i="36"/>
  <c r="D55" i="36" s="1"/>
  <c r="D33" i="28"/>
  <c r="J22" i="36"/>
  <c r="M14" i="36"/>
  <c r="M42" i="36" s="1"/>
  <c r="L19" i="36"/>
  <c r="L20" i="36" s="1"/>
  <c r="I43" i="36"/>
  <c r="L14" i="36"/>
  <c r="L42" i="36" s="1"/>
  <c r="L35" i="36"/>
  <c r="L36" i="36" s="1"/>
  <c r="L40" i="36" s="1"/>
  <c r="K38" i="36"/>
  <c r="F8" i="18"/>
  <c r="G8" i="18" s="1"/>
  <c r="H8" i="18" s="1"/>
  <c r="I8" i="18" s="1"/>
  <c r="J8" i="18" s="1"/>
  <c r="K8" i="18" s="1"/>
  <c r="L8" i="18" s="1"/>
  <c r="M8" i="18" s="1"/>
  <c r="E81" i="28"/>
  <c r="E33" i="18"/>
  <c r="E7" i="18"/>
  <c r="C69" i="28"/>
  <c r="C20" i="32"/>
  <c r="C22" i="32" s="1"/>
  <c r="C25" i="32" s="1"/>
  <c r="C26" i="32" s="1"/>
  <c r="D19" i="19"/>
  <c r="E19" i="32"/>
  <c r="D20" i="32"/>
  <c r="D22" i="32" s="1"/>
  <c r="L29" i="35"/>
  <c r="L30" i="35" s="1"/>
  <c r="M28" i="35"/>
  <c r="E41" i="31"/>
  <c r="E43" i="31" s="1"/>
  <c r="E48" i="31" s="1"/>
  <c r="D24" i="20"/>
  <c r="D10" i="28"/>
  <c r="D41" i="31"/>
  <c r="D43" i="31" s="1"/>
  <c r="F8" i="20"/>
  <c r="E12" i="20"/>
  <c r="E14" i="20" s="1"/>
  <c r="E15" i="20"/>
  <c r="B34" i="32"/>
  <c r="C76" i="28"/>
  <c r="J26" i="31"/>
  <c r="C59" i="31"/>
  <c r="B59" i="31" s="1"/>
  <c r="K58" i="30"/>
  <c r="M30" i="14"/>
  <c r="L83" i="28"/>
  <c r="L30" i="14"/>
  <c r="K30" i="14"/>
  <c r="L63" i="28"/>
  <c r="L58" i="30"/>
  <c r="C59" i="14"/>
  <c r="B59" i="14" s="1"/>
  <c r="C78" i="28"/>
  <c r="E8" i="22"/>
  <c r="F8" i="22" s="1"/>
  <c r="D57" i="22"/>
  <c r="E9" i="22" s="1"/>
  <c r="E12" i="22" s="1"/>
  <c r="O50" i="30"/>
  <c r="C57" i="31"/>
  <c r="D8" i="31"/>
  <c r="E8" i="31"/>
  <c r="F65" i="28" s="1"/>
  <c r="F75" i="28" s="1"/>
  <c r="F83" i="28" s="1"/>
  <c r="F58" i="30"/>
  <c r="E63" i="28"/>
  <c r="M12" i="14"/>
  <c r="H12" i="14"/>
  <c r="J12" i="14"/>
  <c r="I12" i="14"/>
  <c r="E12" i="14"/>
  <c r="D12" i="14"/>
  <c r="K12" i="14"/>
  <c r="F12" i="14"/>
  <c r="D83" i="28"/>
  <c r="L12" i="14"/>
  <c r="G12" i="14"/>
  <c r="B57" i="14"/>
  <c r="C80" i="28"/>
  <c r="E94" i="28"/>
  <c r="D27" i="20"/>
  <c r="D31" i="28"/>
  <c r="E27" i="20"/>
  <c r="E31" i="28"/>
  <c r="D48" i="14"/>
  <c r="D26" i="28"/>
  <c r="D24" i="19"/>
  <c r="D6" i="28"/>
  <c r="H33" i="34"/>
  <c r="G33" i="34"/>
  <c r="F40" i="14"/>
  <c r="E41" i="14"/>
  <c r="E43" i="14" s="1"/>
  <c r="G19" i="20"/>
  <c r="F20" i="20"/>
  <c r="F22" i="20" s="1"/>
  <c r="F140" i="28"/>
  <c r="D140" i="28" s="1"/>
  <c r="D139" i="28"/>
  <c r="G40" i="28" s="1"/>
  <c r="F8" i="34" s="1"/>
  <c r="I11" i="32"/>
  <c r="G15" i="32"/>
  <c r="G14" i="32"/>
  <c r="G16" i="32" s="1"/>
  <c r="G24" i="32" s="1"/>
  <c r="J18" i="31"/>
  <c r="K18" i="31" s="1"/>
  <c r="L18" i="31" s="1"/>
  <c r="M18" i="31" s="1"/>
  <c r="H13" i="31"/>
  <c r="G40" i="31"/>
  <c r="G41" i="31" s="1"/>
  <c r="F43" i="31"/>
  <c r="H27" i="22"/>
  <c r="G30" i="22"/>
  <c r="G32" i="22" s="1"/>
  <c r="G21" i="22"/>
  <c r="G23" i="22" s="1"/>
  <c r="E15" i="19"/>
  <c r="E14" i="19"/>
  <c r="G11" i="19"/>
  <c r="F13" i="19"/>
  <c r="G21" i="14"/>
  <c r="H58" i="30"/>
  <c r="G7" i="19"/>
  <c r="O51" i="30"/>
  <c r="Q51" i="30" s="1"/>
  <c r="I21" i="14"/>
  <c r="J18" i="14"/>
  <c r="K18" i="14" s="1"/>
  <c r="E4" i="19"/>
  <c r="F4" i="19"/>
  <c r="G4" i="19" s="1"/>
  <c r="H4" i="19" s="1"/>
  <c r="I4" i="19" s="1"/>
  <c r="J4" i="19" s="1"/>
  <c r="K4" i="19" s="1"/>
  <c r="L4" i="19" s="1"/>
  <c r="M4" i="19" s="1"/>
  <c r="E61" i="28"/>
  <c r="F61" i="28" s="1"/>
  <c r="G61" i="28" s="1"/>
  <c r="H61" i="28" s="1"/>
  <c r="I61" i="28" s="1"/>
  <c r="J61" i="28" s="1"/>
  <c r="K61" i="28" s="1"/>
  <c r="L61" i="28" s="1"/>
  <c r="M61" i="28" s="1"/>
  <c r="N61" i="28" s="1"/>
  <c r="E3" i="28"/>
  <c r="F3" i="28" s="1"/>
  <c r="G3" i="28" s="1"/>
  <c r="H3" i="28" s="1"/>
  <c r="I3" i="28" s="1"/>
  <c r="J3" i="28" s="1"/>
  <c r="K3" i="28" s="1"/>
  <c r="L3" i="28" s="1"/>
  <c r="M3" i="28" s="1"/>
  <c r="E4" i="24"/>
  <c r="F4" i="24"/>
  <c r="G4" i="24"/>
  <c r="H4" i="24"/>
  <c r="I4" i="24"/>
  <c r="J4" i="24"/>
  <c r="K4" i="24"/>
  <c r="L4" i="24"/>
  <c r="M4" i="24"/>
  <c r="E4" i="23"/>
  <c r="F4" i="23"/>
  <c r="G4" i="23"/>
  <c r="H4" i="23"/>
  <c r="I4" i="23"/>
  <c r="J4" i="23"/>
  <c r="K4" i="23"/>
  <c r="L4" i="23"/>
  <c r="M4" i="23"/>
  <c r="E4" i="22"/>
  <c r="F4" i="22"/>
  <c r="G4" i="22"/>
  <c r="H4" i="22"/>
  <c r="I4" i="22"/>
  <c r="J4" i="22"/>
  <c r="K4" i="22"/>
  <c r="L4" i="22"/>
  <c r="M4" i="22"/>
  <c r="E4" i="20"/>
  <c r="F4" i="20"/>
  <c r="G4" i="20"/>
  <c r="H4" i="20"/>
  <c r="I4" i="20"/>
  <c r="J4" i="20"/>
  <c r="K4" i="20"/>
  <c r="L4" i="20"/>
  <c r="M4" i="20"/>
  <c r="E4" i="14"/>
  <c r="F4" i="14"/>
  <c r="G4" i="14"/>
  <c r="H4" i="14"/>
  <c r="I4" i="14"/>
  <c r="J4" i="14"/>
  <c r="K4" i="14"/>
  <c r="L4" i="14"/>
  <c r="M4" i="14"/>
  <c r="F4" i="15"/>
  <c r="G4" i="15"/>
  <c r="H4" i="15"/>
  <c r="I4" i="15"/>
  <c r="J4" i="15"/>
  <c r="K4" i="15"/>
  <c r="L4" i="15"/>
  <c r="M4" i="15"/>
  <c r="N4" i="15"/>
  <c r="E4" i="18"/>
  <c r="F4" i="18"/>
  <c r="G4" i="18"/>
  <c r="H4" i="18"/>
  <c r="I4" i="18"/>
  <c r="J4" i="18"/>
  <c r="K4" i="18"/>
  <c r="L4" i="18"/>
  <c r="M4" i="18"/>
  <c r="D48" i="22" l="1"/>
  <c r="D49" i="22" s="1"/>
  <c r="E47" i="36"/>
  <c r="E49" i="36" s="1"/>
  <c r="E54" i="36" s="1"/>
  <c r="E55" i="36" s="1"/>
  <c r="F40" i="22"/>
  <c r="E41" i="22"/>
  <c r="E43" i="22" s="1"/>
  <c r="L31" i="35"/>
  <c r="L32" i="35" s="1"/>
  <c r="L39" i="35" s="1"/>
  <c r="D30" i="28"/>
  <c r="E33" i="28"/>
  <c r="I51" i="36"/>
  <c r="I12" i="28"/>
  <c r="F47" i="36"/>
  <c r="F49" i="36" s="1"/>
  <c r="G46" i="36"/>
  <c r="J43" i="36"/>
  <c r="M19" i="36"/>
  <c r="M20" i="36" s="1"/>
  <c r="M35" i="36"/>
  <c r="L38" i="36"/>
  <c r="K22" i="36"/>
  <c r="F35" i="28"/>
  <c r="E95" i="28" s="1"/>
  <c r="C95" i="28" s="1"/>
  <c r="E35" i="18"/>
  <c r="E40" i="18" s="1"/>
  <c r="E69" i="28"/>
  <c r="E27" i="18"/>
  <c r="F7" i="18"/>
  <c r="E26" i="18"/>
  <c r="D28" i="20"/>
  <c r="D141" i="28"/>
  <c r="J40" i="28"/>
  <c r="I8" i="34" s="1"/>
  <c r="E30" i="28"/>
  <c r="D25" i="32"/>
  <c r="D26" i="32" s="1"/>
  <c r="E20" i="32"/>
  <c r="E22" i="32" s="1"/>
  <c r="F19" i="32"/>
  <c r="D20" i="19"/>
  <c r="D22" i="19" s="1"/>
  <c r="E19" i="19"/>
  <c r="M29" i="35"/>
  <c r="M30" i="35" s="1"/>
  <c r="E29" i="28"/>
  <c r="C34" i="19"/>
  <c r="C74" i="28" s="1"/>
  <c r="E16" i="20"/>
  <c r="E24" i="20" s="1"/>
  <c r="E28" i="20" s="1"/>
  <c r="F9" i="20"/>
  <c r="G8" i="20"/>
  <c r="D29" i="28"/>
  <c r="D48" i="31"/>
  <c r="C73" i="28"/>
  <c r="J28" i="31"/>
  <c r="D28" i="31"/>
  <c r="E28" i="31"/>
  <c r="M28" i="31"/>
  <c r="K28" i="31"/>
  <c r="H28" i="31"/>
  <c r="G28" i="31"/>
  <c r="I28" i="31"/>
  <c r="L28" i="31"/>
  <c r="F28" i="31"/>
  <c r="F27" i="31" s="1"/>
  <c r="K65" i="28"/>
  <c r="K75" i="28" s="1"/>
  <c r="K83" i="28" s="1"/>
  <c r="M30" i="31"/>
  <c r="L30" i="31"/>
  <c r="J30" i="31"/>
  <c r="K30" i="31"/>
  <c r="F28" i="14"/>
  <c r="F27" i="14" s="1"/>
  <c r="E28" i="14"/>
  <c r="H28" i="14"/>
  <c r="G28" i="14"/>
  <c r="K28" i="14"/>
  <c r="I28" i="14"/>
  <c r="L28" i="14"/>
  <c r="M28" i="14"/>
  <c r="D28" i="14"/>
  <c r="J28" i="14"/>
  <c r="H8" i="32"/>
  <c r="C66" i="28"/>
  <c r="E14" i="22"/>
  <c r="E36" i="22" s="1"/>
  <c r="E34" i="22"/>
  <c r="F9" i="22"/>
  <c r="G8" i="22"/>
  <c r="H8" i="22" s="1"/>
  <c r="I8" i="22" s="1"/>
  <c r="J8" i="22" s="1"/>
  <c r="K8" i="22" s="1"/>
  <c r="L8" i="22" s="1"/>
  <c r="M8" i="22" s="1"/>
  <c r="E65" i="28"/>
  <c r="D12" i="31"/>
  <c r="K12" i="31"/>
  <c r="H12" i="31"/>
  <c r="E12" i="31"/>
  <c r="L12" i="31"/>
  <c r="I12" i="31"/>
  <c r="J12" i="31"/>
  <c r="G12" i="31"/>
  <c r="M12" i="31"/>
  <c r="F12" i="31"/>
  <c r="B57" i="31"/>
  <c r="C75" i="28"/>
  <c r="Q50" i="30"/>
  <c r="O58" i="30"/>
  <c r="P53" i="30" s="1"/>
  <c r="L10" i="14"/>
  <c r="G10" i="14"/>
  <c r="H10" i="14"/>
  <c r="M10" i="14"/>
  <c r="J10" i="14"/>
  <c r="F10" i="14"/>
  <c r="E10" i="14"/>
  <c r="E34" i="14" s="1"/>
  <c r="E36" i="14" s="1"/>
  <c r="E37" i="14" s="1"/>
  <c r="I10" i="14"/>
  <c r="K10" i="14"/>
  <c r="C63" i="28"/>
  <c r="C68" i="28"/>
  <c r="C94" i="28" s="1"/>
  <c r="G74" i="28"/>
  <c r="G83" i="28" s="1"/>
  <c r="H64" i="28"/>
  <c r="F48" i="31"/>
  <c r="F29" i="28"/>
  <c r="E48" i="14"/>
  <c r="E26" i="28"/>
  <c r="F27" i="20"/>
  <c r="F31" i="28"/>
  <c r="E16" i="19"/>
  <c r="K33" i="34"/>
  <c r="J33" i="34"/>
  <c r="I33" i="34"/>
  <c r="G40" i="14"/>
  <c r="F41" i="14"/>
  <c r="F43" i="14" s="1"/>
  <c r="H19" i="20"/>
  <c r="G20" i="20"/>
  <c r="G22" i="20" s="1"/>
  <c r="J11" i="32"/>
  <c r="H40" i="31"/>
  <c r="H41" i="31" s="1"/>
  <c r="G43" i="31"/>
  <c r="I13" i="31"/>
  <c r="I27" i="22"/>
  <c r="H30" i="22"/>
  <c r="H32" i="22" s="1"/>
  <c r="I18" i="22"/>
  <c r="H21" i="22"/>
  <c r="H23" i="22" s="1"/>
  <c r="H11" i="19"/>
  <c r="I11" i="19" s="1"/>
  <c r="J11" i="19" s="1"/>
  <c r="K11" i="19" s="1"/>
  <c r="G13" i="19"/>
  <c r="F15" i="19"/>
  <c r="F14" i="19"/>
  <c r="J21" i="14"/>
  <c r="G10" i="19"/>
  <c r="M21" i="14"/>
  <c r="L21" i="14"/>
  <c r="K21" i="14"/>
  <c r="H7" i="19"/>
  <c r="I58" i="30"/>
  <c r="C58" i="30" s="1"/>
  <c r="C59" i="30" s="1"/>
  <c r="H21" i="14"/>
  <c r="L18" i="14"/>
  <c r="M18" i="14" s="1"/>
  <c r="E48" i="22" l="1"/>
  <c r="E32" i="28"/>
  <c r="F41" i="22"/>
  <c r="F43" i="22" s="1"/>
  <c r="G40" i="22"/>
  <c r="E75" i="28"/>
  <c r="E83" i="28" s="1"/>
  <c r="C65" i="28"/>
  <c r="B34" i="19"/>
  <c r="L15" i="28"/>
  <c r="L43" i="35"/>
  <c r="M31" i="35"/>
  <c r="M32" i="35" s="1"/>
  <c r="M39" i="35" s="1"/>
  <c r="G47" i="36"/>
  <c r="G49" i="36" s="1"/>
  <c r="H46" i="36"/>
  <c r="F54" i="36"/>
  <c r="F55" i="36" s="1"/>
  <c r="F33" i="28"/>
  <c r="J51" i="36"/>
  <c r="J12" i="28"/>
  <c r="M36" i="36"/>
  <c r="K43" i="36"/>
  <c r="C6" i="33"/>
  <c r="L22" i="36"/>
  <c r="M22" i="36"/>
  <c r="M34" i="14"/>
  <c r="M36" i="14" s="1"/>
  <c r="M37" i="14" s="1"/>
  <c r="M5" i="28" s="1"/>
  <c r="E28" i="18"/>
  <c r="E29" i="18" s="1"/>
  <c r="E30" i="18" s="1"/>
  <c r="F26" i="18"/>
  <c r="F27" i="18"/>
  <c r="G7" i="18"/>
  <c r="K34" i="14"/>
  <c r="K36" i="14" s="1"/>
  <c r="K37" i="14" s="1"/>
  <c r="K5" i="28" s="1"/>
  <c r="M8" i="34"/>
  <c r="B11" i="34"/>
  <c r="G19" i="32"/>
  <c r="F20" i="32"/>
  <c r="F22" i="32" s="1"/>
  <c r="F16" i="19"/>
  <c r="F24" i="19" s="1"/>
  <c r="E20" i="19"/>
  <c r="E22" i="19" s="1"/>
  <c r="F19" i="19"/>
  <c r="E25" i="32"/>
  <c r="E26" i="32" s="1"/>
  <c r="F30" i="28"/>
  <c r="D27" i="28"/>
  <c r="D25" i="19"/>
  <c r="D26" i="19" s="1"/>
  <c r="I34" i="14"/>
  <c r="I36" i="14" s="1"/>
  <c r="I37" i="14" s="1"/>
  <c r="I45" i="14" s="1"/>
  <c r="L34" i="14"/>
  <c r="L36" i="14" s="1"/>
  <c r="L37" i="14" s="1"/>
  <c r="L5" i="28" s="1"/>
  <c r="E10" i="28"/>
  <c r="G9" i="20"/>
  <c r="H8" i="20"/>
  <c r="F12" i="20"/>
  <c r="F14" i="20" s="1"/>
  <c r="F15" i="20"/>
  <c r="G27" i="14"/>
  <c r="H27" i="14" s="1"/>
  <c r="I27" i="14" s="1"/>
  <c r="D34" i="14"/>
  <c r="D36" i="14" s="1"/>
  <c r="D37" i="14" s="1"/>
  <c r="D45" i="14" s="1"/>
  <c r="D49" i="14" s="1"/>
  <c r="H34" i="14"/>
  <c r="H36" i="14" s="1"/>
  <c r="H37" i="14" s="1"/>
  <c r="H45" i="14" s="1"/>
  <c r="J34" i="14"/>
  <c r="J36" i="14" s="1"/>
  <c r="J37" i="14" s="1"/>
  <c r="G34" i="14"/>
  <c r="G36" i="14" s="1"/>
  <c r="G37" i="14" s="1"/>
  <c r="G27" i="31"/>
  <c r="H27" i="31" s="1"/>
  <c r="I27" i="31" s="1"/>
  <c r="E37" i="22"/>
  <c r="E45" i="22" s="1"/>
  <c r="E49" i="22" s="1"/>
  <c r="I8" i="32"/>
  <c r="H13" i="32"/>
  <c r="G9" i="22"/>
  <c r="F12" i="22"/>
  <c r="E10" i="31"/>
  <c r="E34" i="31" s="1"/>
  <c r="E36" i="31" s="1"/>
  <c r="E37" i="31" s="1"/>
  <c r="G10" i="31"/>
  <c r="H10" i="31"/>
  <c r="H34" i="31" s="1"/>
  <c r="H36" i="31" s="1"/>
  <c r="H37" i="31" s="1"/>
  <c r="I10" i="31"/>
  <c r="I34" i="31" s="1"/>
  <c r="J10" i="31"/>
  <c r="D10" i="31"/>
  <c r="D34" i="31" s="1"/>
  <c r="D36" i="31" s="1"/>
  <c r="D37" i="31" s="1"/>
  <c r="M10" i="31"/>
  <c r="L10" i="31"/>
  <c r="F10" i="31"/>
  <c r="K10" i="31"/>
  <c r="C83" i="28"/>
  <c r="P54" i="30"/>
  <c r="P51" i="30"/>
  <c r="P49" i="30"/>
  <c r="P52" i="30"/>
  <c r="P55" i="30"/>
  <c r="P58" i="30"/>
  <c r="P50" i="30"/>
  <c r="P57" i="30"/>
  <c r="E45" i="14"/>
  <c r="E49" i="14" s="1"/>
  <c r="E5" i="28"/>
  <c r="F9" i="14"/>
  <c r="F34" i="14"/>
  <c r="F36" i="14" s="1"/>
  <c r="F37" i="14" s="1"/>
  <c r="H8" i="19"/>
  <c r="I8" i="19" s="1"/>
  <c r="I13" i="19" s="1"/>
  <c r="C64" i="28"/>
  <c r="F11" i="23"/>
  <c r="F12" i="23" s="1"/>
  <c r="F13" i="23" s="1"/>
  <c r="H10" i="19"/>
  <c r="I10" i="19" s="1"/>
  <c r="J10" i="19" s="1"/>
  <c r="K10" i="19" s="1"/>
  <c r="L10" i="19" s="1"/>
  <c r="M10" i="19" s="1"/>
  <c r="I64" i="28"/>
  <c r="H74" i="28"/>
  <c r="H83" i="28" s="1"/>
  <c r="F48" i="14"/>
  <c r="F26" i="28"/>
  <c r="G48" i="31"/>
  <c r="G29" i="28"/>
  <c r="E24" i="19"/>
  <c r="E6" i="28"/>
  <c r="G27" i="20"/>
  <c r="G31" i="28"/>
  <c r="L33" i="34"/>
  <c r="G41" i="14"/>
  <c r="G43" i="14" s="1"/>
  <c r="H40" i="14"/>
  <c r="I19" i="20"/>
  <c r="H20" i="20"/>
  <c r="H22" i="20" s="1"/>
  <c r="K11" i="32"/>
  <c r="J13" i="31"/>
  <c r="H43" i="31"/>
  <c r="I40" i="31"/>
  <c r="I41" i="31" s="1"/>
  <c r="I30" i="22"/>
  <c r="I32" i="22" s="1"/>
  <c r="J27" i="22"/>
  <c r="I21" i="22"/>
  <c r="I23" i="22" s="1"/>
  <c r="J18" i="22"/>
  <c r="G15" i="19"/>
  <c r="G14" i="19"/>
  <c r="L11" i="19"/>
  <c r="K13" i="19"/>
  <c r="H40" i="22" l="1"/>
  <c r="G41" i="22"/>
  <c r="G43" i="22" s="1"/>
  <c r="F32" i="28"/>
  <c r="F48" i="22"/>
  <c r="M38" i="36"/>
  <c r="M40" i="36"/>
  <c r="M15" i="28"/>
  <c r="M40" i="35"/>
  <c r="M41" i="35" s="1"/>
  <c r="F6" i="28"/>
  <c r="H47" i="36"/>
  <c r="H49" i="36" s="1"/>
  <c r="I46" i="36"/>
  <c r="K51" i="36"/>
  <c r="K12" i="28"/>
  <c r="G54" i="36"/>
  <c r="G55" i="36" s="1"/>
  <c r="G33" i="28"/>
  <c r="L43" i="36"/>
  <c r="K45" i="14"/>
  <c r="M45" i="14"/>
  <c r="M46" i="14" s="1"/>
  <c r="M47" i="14" s="1"/>
  <c r="F28" i="18"/>
  <c r="F29" i="18" s="1"/>
  <c r="F30" i="18" s="1"/>
  <c r="E14" i="28"/>
  <c r="E37" i="18"/>
  <c r="E41" i="18" s="1"/>
  <c r="G27" i="18"/>
  <c r="H7" i="18"/>
  <c r="G26" i="18"/>
  <c r="B14" i="34"/>
  <c r="D43" i="28"/>
  <c r="D49" i="28" s="1"/>
  <c r="C9" i="34"/>
  <c r="G19" i="19"/>
  <c r="F20" i="19"/>
  <c r="F22" i="19" s="1"/>
  <c r="F25" i="32"/>
  <c r="F26" i="32" s="1"/>
  <c r="G30" i="28"/>
  <c r="L45" i="14"/>
  <c r="E25" i="19"/>
  <c r="E26" i="19" s="1"/>
  <c r="E27" i="28"/>
  <c r="D9" i="34" s="1"/>
  <c r="G20" i="32"/>
  <c r="G22" i="32" s="1"/>
  <c r="H19" i="32"/>
  <c r="I5" i="28"/>
  <c r="F16" i="20"/>
  <c r="F24" i="20" s="1"/>
  <c r="F28" i="20" s="1"/>
  <c r="D5" i="28"/>
  <c r="E11" i="28"/>
  <c r="I8" i="20"/>
  <c r="H9" i="20"/>
  <c r="G15" i="20"/>
  <c r="G12" i="20"/>
  <c r="G14" i="20" s="1"/>
  <c r="J8" i="19"/>
  <c r="J13" i="19" s="1"/>
  <c r="J15" i="19" s="1"/>
  <c r="H5" i="28"/>
  <c r="G5" i="28"/>
  <c r="G45" i="14"/>
  <c r="J27" i="14"/>
  <c r="K27" i="14" s="1"/>
  <c r="L27" i="14" s="1"/>
  <c r="M27" i="14" s="1"/>
  <c r="J27" i="31"/>
  <c r="K27" i="31" s="1"/>
  <c r="L27" i="31" s="1"/>
  <c r="M27" i="31" s="1"/>
  <c r="J5" i="28"/>
  <c r="J45" i="14"/>
  <c r="J8" i="32"/>
  <c r="J13" i="32" s="1"/>
  <c r="J15" i="32" s="1"/>
  <c r="I13" i="32"/>
  <c r="H13" i="19"/>
  <c r="H14" i="19" s="1"/>
  <c r="H15" i="32"/>
  <c r="H14" i="32"/>
  <c r="F14" i="22"/>
  <c r="F36" i="22" s="1"/>
  <c r="F34" i="22"/>
  <c r="H9" i="22"/>
  <c r="G12" i="22"/>
  <c r="D8" i="28"/>
  <c r="D45" i="31"/>
  <c r="D49" i="31" s="1"/>
  <c r="G34" i="31"/>
  <c r="G36" i="31" s="1"/>
  <c r="G37" i="31" s="1"/>
  <c r="F9" i="31"/>
  <c r="F34" i="31"/>
  <c r="F36" i="31" s="1"/>
  <c r="F37" i="31" s="1"/>
  <c r="E45" i="31"/>
  <c r="E49" i="31" s="1"/>
  <c r="E8" i="28"/>
  <c r="F45" i="14"/>
  <c r="F49" i="14" s="1"/>
  <c r="F5" i="28"/>
  <c r="G11" i="23"/>
  <c r="G12" i="23" s="1"/>
  <c r="G13" i="23" s="1"/>
  <c r="G14" i="23" s="1"/>
  <c r="G15" i="23" s="1"/>
  <c r="F14" i="23"/>
  <c r="F15" i="23" s="1"/>
  <c r="H45" i="31"/>
  <c r="H8" i="28"/>
  <c r="G48" i="14"/>
  <c r="G26" i="28"/>
  <c r="H27" i="20"/>
  <c r="H31" i="28"/>
  <c r="G16" i="19"/>
  <c r="H48" i="31"/>
  <c r="H29" i="28"/>
  <c r="H41" i="14"/>
  <c r="H43" i="14" s="1"/>
  <c r="I40" i="14"/>
  <c r="J19" i="20"/>
  <c r="I20" i="20"/>
  <c r="I22" i="20" s="1"/>
  <c r="L11" i="32"/>
  <c r="K13" i="32"/>
  <c r="I43" i="31"/>
  <c r="J40" i="31"/>
  <c r="J41" i="31" s="1"/>
  <c r="J34" i="31"/>
  <c r="K13" i="31"/>
  <c r="I36" i="31"/>
  <c r="I37" i="31" s="1"/>
  <c r="J30" i="22"/>
  <c r="J32" i="22" s="1"/>
  <c r="J21" i="22"/>
  <c r="J23" i="22" s="1"/>
  <c r="K18" i="22"/>
  <c r="K15" i="19"/>
  <c r="K14" i="19"/>
  <c r="M11" i="19"/>
  <c r="M13" i="19" s="1"/>
  <c r="L13" i="19"/>
  <c r="I14" i="19"/>
  <c r="I15" i="19"/>
  <c r="I40" i="22" l="1"/>
  <c r="H41" i="22"/>
  <c r="H43" i="22" s="1"/>
  <c r="G32" i="28"/>
  <c r="G48" i="22"/>
  <c r="M43" i="35"/>
  <c r="M43" i="36"/>
  <c r="M51" i="36" s="1"/>
  <c r="M52" i="36" s="1"/>
  <c r="M53" i="36" s="1"/>
  <c r="I47" i="36"/>
  <c r="I49" i="36" s="1"/>
  <c r="J46" i="36"/>
  <c r="H54" i="36"/>
  <c r="H55" i="36" s="1"/>
  <c r="H33" i="28"/>
  <c r="L51" i="36"/>
  <c r="L12" i="28"/>
  <c r="G28" i="18"/>
  <c r="G29" i="18" s="1"/>
  <c r="G30" i="18" s="1"/>
  <c r="H26" i="18"/>
  <c r="H27" i="18"/>
  <c r="I7" i="18"/>
  <c r="F37" i="18"/>
  <c r="F41" i="18" s="1"/>
  <c r="F14" i="28"/>
  <c r="B18" i="34"/>
  <c r="B19" i="34" s="1"/>
  <c r="B22" i="34" s="1"/>
  <c r="E43" i="28"/>
  <c r="E49" i="28" s="1"/>
  <c r="D11" i="34"/>
  <c r="C11" i="34"/>
  <c r="B33" i="34"/>
  <c r="H20" i="32"/>
  <c r="H22" i="32" s="1"/>
  <c r="I19" i="32"/>
  <c r="G25" i="32"/>
  <c r="G26" i="32" s="1"/>
  <c r="H30" i="28"/>
  <c r="G20" i="19"/>
  <c r="G22" i="19" s="1"/>
  <c r="H19" i="19"/>
  <c r="F25" i="19"/>
  <c r="F26" i="19" s="1"/>
  <c r="F27" i="28"/>
  <c r="B45" i="35"/>
  <c r="B44" i="35"/>
  <c r="D21" i="28"/>
  <c r="F10" i="28"/>
  <c r="J14" i="19"/>
  <c r="J16" i="19" s="1"/>
  <c r="H15" i="19"/>
  <c r="H16" i="19" s="1"/>
  <c r="H6" i="28" s="1"/>
  <c r="G16" i="20"/>
  <c r="E21" i="28"/>
  <c r="H12" i="20"/>
  <c r="H14" i="20" s="1"/>
  <c r="H15" i="20"/>
  <c r="G49" i="14"/>
  <c r="H49" i="31"/>
  <c r="J8" i="20"/>
  <c r="I9" i="20"/>
  <c r="J14" i="32"/>
  <c r="J16" i="32" s="1"/>
  <c r="J24" i="32" s="1"/>
  <c r="H16" i="32"/>
  <c r="I15" i="32"/>
  <c r="I14" i="32"/>
  <c r="G14" i="22"/>
  <c r="G36" i="22" s="1"/>
  <c r="G34" i="22"/>
  <c r="H12" i="22"/>
  <c r="I9" i="22"/>
  <c r="F37" i="22"/>
  <c r="F45" i="31"/>
  <c r="F49" i="31" s="1"/>
  <c r="F8" i="28"/>
  <c r="G9" i="31"/>
  <c r="H9" i="31" s="1"/>
  <c r="G45" i="31"/>
  <c r="G49" i="31" s="1"/>
  <c r="G8" i="28"/>
  <c r="F22" i="23"/>
  <c r="F26" i="23" s="1"/>
  <c r="F13" i="28"/>
  <c r="H11" i="23"/>
  <c r="H12" i="23" s="1"/>
  <c r="H13" i="23" s="1"/>
  <c r="H14" i="23" s="1"/>
  <c r="H15" i="23" s="1"/>
  <c r="G13" i="28"/>
  <c r="G22" i="23"/>
  <c r="G26" i="23" s="1"/>
  <c r="I45" i="31"/>
  <c r="I8" i="28"/>
  <c r="I27" i="20"/>
  <c r="I31" i="28"/>
  <c r="I48" i="31"/>
  <c r="I29" i="28"/>
  <c r="H48" i="14"/>
  <c r="H49" i="14" s="1"/>
  <c r="H26" i="28"/>
  <c r="G24" i="19"/>
  <c r="G6" i="28"/>
  <c r="K16" i="19"/>
  <c r="J40" i="14"/>
  <c r="I41" i="14"/>
  <c r="I43" i="14" s="1"/>
  <c r="K19" i="20"/>
  <c r="J20" i="20"/>
  <c r="J22" i="20" s="1"/>
  <c r="K15" i="32"/>
  <c r="K14" i="32"/>
  <c r="M11" i="32"/>
  <c r="M13" i="32" s="1"/>
  <c r="L13" i="32"/>
  <c r="J36" i="31"/>
  <c r="J37" i="31" s="1"/>
  <c r="K40" i="31"/>
  <c r="K41" i="31" s="1"/>
  <c r="J43" i="31"/>
  <c r="L13" i="31"/>
  <c r="K34" i="31"/>
  <c r="L27" i="22"/>
  <c r="K30" i="22"/>
  <c r="K32" i="22" s="1"/>
  <c r="L18" i="22"/>
  <c r="K21" i="22"/>
  <c r="K23" i="22" s="1"/>
  <c r="M15" i="19"/>
  <c r="M14" i="19"/>
  <c r="L15" i="19"/>
  <c r="L14" i="19"/>
  <c r="I16" i="19"/>
  <c r="H48" i="22" l="1"/>
  <c r="H32" i="28"/>
  <c r="J40" i="22"/>
  <c r="I41" i="22"/>
  <c r="I43" i="22" s="1"/>
  <c r="M12" i="28"/>
  <c r="I54" i="36"/>
  <c r="I55" i="36" s="1"/>
  <c r="I33" i="28"/>
  <c r="J47" i="36"/>
  <c r="J49" i="36" s="1"/>
  <c r="K46" i="36"/>
  <c r="I26" i="18"/>
  <c r="I27" i="18"/>
  <c r="J7" i="18"/>
  <c r="H28" i="18"/>
  <c r="H29" i="18" s="1"/>
  <c r="H30" i="18" s="1"/>
  <c r="G14" i="28"/>
  <c r="G37" i="18"/>
  <c r="G41" i="18" s="1"/>
  <c r="E46" i="28"/>
  <c r="E50" i="28" s="1"/>
  <c r="D28" i="34"/>
  <c r="F43" i="28"/>
  <c r="F49" i="28" s="1"/>
  <c r="E9" i="34"/>
  <c r="E11" i="34" s="1"/>
  <c r="E18" i="34" s="1"/>
  <c r="D46" i="28"/>
  <c r="D50" i="28" s="1"/>
  <c r="C28" i="34"/>
  <c r="B25" i="34"/>
  <c r="B29" i="34"/>
  <c r="B30" i="34" s="1"/>
  <c r="B34" i="34" s="1"/>
  <c r="B38" i="34" s="1"/>
  <c r="I19" i="19"/>
  <c r="H20" i="19"/>
  <c r="H22" i="19" s="1"/>
  <c r="I20" i="32"/>
  <c r="I22" i="32" s="1"/>
  <c r="J19" i="32"/>
  <c r="L16" i="19"/>
  <c r="L6" i="28" s="1"/>
  <c r="G25" i="19"/>
  <c r="G26" i="19" s="1"/>
  <c r="G27" i="28"/>
  <c r="I30" i="28"/>
  <c r="H25" i="32"/>
  <c r="H24" i="19"/>
  <c r="I16" i="32"/>
  <c r="I24" i="32" s="1"/>
  <c r="I15" i="20"/>
  <c r="I12" i="20"/>
  <c r="I14" i="20" s="1"/>
  <c r="K8" i="20"/>
  <c r="J9" i="20"/>
  <c r="H16" i="20"/>
  <c r="G24" i="20"/>
  <c r="G28" i="20" s="1"/>
  <c r="G10" i="28"/>
  <c r="H24" i="32"/>
  <c r="H9" i="28"/>
  <c r="G37" i="22"/>
  <c r="G45" i="22" s="1"/>
  <c r="G49" i="22" s="1"/>
  <c r="J9" i="22"/>
  <c r="I12" i="22"/>
  <c r="H14" i="22"/>
  <c r="H36" i="22" s="1"/>
  <c r="H34" i="22"/>
  <c r="F45" i="22"/>
  <c r="F49" i="22" s="1"/>
  <c r="F11" i="28"/>
  <c r="F21" i="28" s="1"/>
  <c r="I9" i="31"/>
  <c r="J9" i="31" s="1"/>
  <c r="K9" i="31" s="1"/>
  <c r="L9" i="31" s="1"/>
  <c r="M9" i="31" s="1"/>
  <c r="J9" i="28"/>
  <c r="H13" i="28"/>
  <c r="H22" i="23"/>
  <c r="H26" i="23" s="1"/>
  <c r="I11" i="23"/>
  <c r="I12" i="23" s="1"/>
  <c r="I13" i="23" s="1"/>
  <c r="I14" i="23" s="1"/>
  <c r="I15" i="23" s="1"/>
  <c r="I49" i="31"/>
  <c r="J45" i="31"/>
  <c r="J8" i="28"/>
  <c r="J24" i="19"/>
  <c r="J6" i="28"/>
  <c r="J48" i="31"/>
  <c r="J49" i="31" s="1"/>
  <c r="J29" i="28"/>
  <c r="I24" i="19"/>
  <c r="I6" i="28"/>
  <c r="J27" i="20"/>
  <c r="J31" i="28"/>
  <c r="I48" i="14"/>
  <c r="I49" i="14" s="1"/>
  <c r="I26" i="28"/>
  <c r="K24" i="19"/>
  <c r="K6" i="28"/>
  <c r="M16" i="19"/>
  <c r="K40" i="14"/>
  <c r="J41" i="14"/>
  <c r="J43" i="14" s="1"/>
  <c r="L19" i="20"/>
  <c r="K20" i="20"/>
  <c r="K22" i="20" s="1"/>
  <c r="K16" i="32"/>
  <c r="K24" i="32" s="1"/>
  <c r="L15" i="32"/>
  <c r="L14" i="32"/>
  <c r="L16" i="32"/>
  <c r="L24" i="32" s="1"/>
  <c r="M15" i="32"/>
  <c r="M14" i="32"/>
  <c r="L40" i="31"/>
  <c r="L41" i="31" s="1"/>
  <c r="K43" i="31"/>
  <c r="K36" i="31"/>
  <c r="K37" i="31" s="1"/>
  <c r="L34" i="31"/>
  <c r="M13" i="31"/>
  <c r="M34" i="31" s="1"/>
  <c r="M27" i="22"/>
  <c r="M30" i="22" s="1"/>
  <c r="M32" i="22" s="1"/>
  <c r="L30" i="22"/>
  <c r="L32" i="22" s="1"/>
  <c r="M18" i="22"/>
  <c r="M21" i="22" s="1"/>
  <c r="M23" i="22" s="1"/>
  <c r="L21" i="22"/>
  <c r="L23" i="22" s="1"/>
  <c r="I32" i="28" l="1"/>
  <c r="I48" i="22"/>
  <c r="K40" i="22"/>
  <c r="J41" i="22"/>
  <c r="J43" i="22" s="1"/>
  <c r="L24" i="19"/>
  <c r="J54" i="36"/>
  <c r="J55" i="36" s="1"/>
  <c r="J33" i="28"/>
  <c r="K47" i="36"/>
  <c r="K49" i="36" s="1"/>
  <c r="L46" i="36"/>
  <c r="J27" i="18"/>
  <c r="K7" i="18"/>
  <c r="J26" i="18"/>
  <c r="H37" i="18"/>
  <c r="H41" i="18" s="1"/>
  <c r="H14" i="28"/>
  <c r="I28" i="18"/>
  <c r="I29" i="18" s="1"/>
  <c r="I30" i="18" s="1"/>
  <c r="H26" i="32"/>
  <c r="F46" i="28"/>
  <c r="F50" i="28" s="1"/>
  <c r="E28" i="34"/>
  <c r="G43" i="28"/>
  <c r="G49" i="28" s="1"/>
  <c r="F9" i="34"/>
  <c r="F11" i="34" s="1"/>
  <c r="F18" i="34" s="1"/>
  <c r="H27" i="28"/>
  <c r="H25" i="19"/>
  <c r="H26" i="19" s="1"/>
  <c r="I20" i="19"/>
  <c r="I22" i="19" s="1"/>
  <c r="J19" i="19"/>
  <c r="I25" i="32"/>
  <c r="I26" i="32" s="1"/>
  <c r="J30" i="28"/>
  <c r="J20" i="32"/>
  <c r="J22" i="32" s="1"/>
  <c r="K19" i="32"/>
  <c r="I9" i="28"/>
  <c r="I16" i="20"/>
  <c r="I24" i="20" s="1"/>
  <c r="I28" i="20" s="1"/>
  <c r="J12" i="20"/>
  <c r="J14" i="20" s="1"/>
  <c r="J15" i="20"/>
  <c r="L8" i="20"/>
  <c r="K9" i="20"/>
  <c r="H24" i="20"/>
  <c r="H28" i="20" s="1"/>
  <c r="H10" i="28"/>
  <c r="G11" i="28"/>
  <c r="G21" i="28" s="1"/>
  <c r="H37" i="22"/>
  <c r="H11" i="28" s="1"/>
  <c r="I14" i="22"/>
  <c r="I36" i="22" s="1"/>
  <c r="I34" i="22"/>
  <c r="K9" i="22"/>
  <c r="J12" i="22"/>
  <c r="I22" i="23"/>
  <c r="I26" i="23" s="1"/>
  <c r="I13" i="28"/>
  <c r="K7" i="23"/>
  <c r="J11" i="23"/>
  <c r="K45" i="31"/>
  <c r="K8" i="28"/>
  <c r="K48" i="31"/>
  <c r="K29" i="28"/>
  <c r="M24" i="19"/>
  <c r="M6" i="28"/>
  <c r="J48" i="14"/>
  <c r="J49" i="14" s="1"/>
  <c r="J26" i="28"/>
  <c r="K27" i="20"/>
  <c r="K31" i="28"/>
  <c r="L40" i="14"/>
  <c r="K41" i="14"/>
  <c r="K43" i="14" s="1"/>
  <c r="M19" i="20"/>
  <c r="M20" i="20" s="1"/>
  <c r="M22" i="20" s="1"/>
  <c r="L20" i="20"/>
  <c r="L22" i="20" s="1"/>
  <c r="M16" i="32"/>
  <c r="M24" i="32" s="1"/>
  <c r="M36" i="31"/>
  <c r="M37" i="31" s="1"/>
  <c r="L36" i="31"/>
  <c r="L37" i="31" s="1"/>
  <c r="L43" i="31"/>
  <c r="M40" i="31"/>
  <c r="J48" i="22" l="1"/>
  <c r="J32" i="28"/>
  <c r="K41" i="22"/>
  <c r="K43" i="22" s="1"/>
  <c r="L40" i="22"/>
  <c r="L47" i="36"/>
  <c r="L49" i="36" s="1"/>
  <c r="M46" i="36"/>
  <c r="M47" i="36" s="1"/>
  <c r="M49" i="36" s="1"/>
  <c r="J28" i="18"/>
  <c r="J29" i="18" s="1"/>
  <c r="J30" i="18" s="1"/>
  <c r="K54" i="36"/>
  <c r="K55" i="36" s="1"/>
  <c r="K33" i="28"/>
  <c r="I14" i="28"/>
  <c r="I37" i="18"/>
  <c r="I41" i="18" s="1"/>
  <c r="K26" i="18"/>
  <c r="K27" i="18"/>
  <c r="L7" i="18"/>
  <c r="G46" i="28"/>
  <c r="G50" i="28" s="1"/>
  <c r="F28" i="34"/>
  <c r="H43" i="28"/>
  <c r="H49" i="28" s="1"/>
  <c r="G9" i="34"/>
  <c r="G11" i="34" s="1"/>
  <c r="G18" i="34" s="1"/>
  <c r="L19" i="32"/>
  <c r="K20" i="32"/>
  <c r="K22" i="32" s="1"/>
  <c r="J25" i="32"/>
  <c r="J26" i="32" s="1"/>
  <c r="K30" i="28"/>
  <c r="I25" i="19"/>
  <c r="I26" i="19" s="1"/>
  <c r="I27" i="28"/>
  <c r="K19" i="19"/>
  <c r="J20" i="19"/>
  <c r="J22" i="19" s="1"/>
  <c r="J16" i="20"/>
  <c r="J10" i="28" s="1"/>
  <c r="I10" i="28"/>
  <c r="K15" i="20"/>
  <c r="K12" i="20"/>
  <c r="K14" i="20" s="1"/>
  <c r="K49" i="31"/>
  <c r="L9" i="20"/>
  <c r="M8" i="20"/>
  <c r="M9" i="20" s="1"/>
  <c r="H21" i="28"/>
  <c r="J24" i="20"/>
  <c r="J28" i="20" s="1"/>
  <c r="H45" i="22"/>
  <c r="H49" i="22" s="1"/>
  <c r="I37" i="22"/>
  <c r="J34" i="22"/>
  <c r="J14" i="22"/>
  <c r="J36" i="22" s="1"/>
  <c r="L9" i="22"/>
  <c r="K12" i="22"/>
  <c r="L7" i="23"/>
  <c r="K11" i="23"/>
  <c r="K12" i="23" s="1"/>
  <c r="K13" i="23" s="1"/>
  <c r="K14" i="23" s="1"/>
  <c r="K15" i="23" s="1"/>
  <c r="J12" i="23"/>
  <c r="J13" i="23" s="1"/>
  <c r="J14" i="23" s="1"/>
  <c r="J15" i="23" s="1"/>
  <c r="M45" i="31"/>
  <c r="M46" i="31" s="1"/>
  <c r="M8" i="28"/>
  <c r="L45" i="31"/>
  <c r="L8" i="28"/>
  <c r="L27" i="20"/>
  <c r="L31" i="28"/>
  <c r="K48" i="14"/>
  <c r="K49" i="14" s="1"/>
  <c r="K26" i="28"/>
  <c r="M27" i="20"/>
  <c r="M31" i="28"/>
  <c r="L48" i="31"/>
  <c r="L49" i="31" s="1"/>
  <c r="L29" i="28"/>
  <c r="L41" i="14"/>
  <c r="L43" i="14" s="1"/>
  <c r="M40" i="14"/>
  <c r="M41" i="14" s="1"/>
  <c r="M43" i="14" s="1"/>
  <c r="M41" i="31"/>
  <c r="M43" i="31" s="1"/>
  <c r="K48" i="22" l="1"/>
  <c r="K32" i="28"/>
  <c r="M40" i="22"/>
  <c r="M41" i="22" s="1"/>
  <c r="M43" i="22" s="1"/>
  <c r="L41" i="22"/>
  <c r="L43" i="22" s="1"/>
  <c r="J37" i="18"/>
  <c r="J41" i="18" s="1"/>
  <c r="J14" i="28"/>
  <c r="M54" i="36"/>
  <c r="M55" i="36" s="1"/>
  <c r="M33" i="28"/>
  <c r="L54" i="36"/>
  <c r="L55" i="36" s="1"/>
  <c r="L33" i="28"/>
  <c r="K28" i="18"/>
  <c r="K29" i="18" s="1"/>
  <c r="K30" i="18" s="1"/>
  <c r="M7" i="18"/>
  <c r="L26" i="18"/>
  <c r="L27" i="18"/>
  <c r="H46" i="28"/>
  <c r="H50" i="28" s="1"/>
  <c r="G28" i="34"/>
  <c r="I43" i="28"/>
  <c r="I49" i="28" s="1"/>
  <c r="H9" i="34"/>
  <c r="H11" i="34" s="1"/>
  <c r="H18" i="34" s="1"/>
  <c r="L19" i="19"/>
  <c r="K20" i="19"/>
  <c r="K22" i="19" s="1"/>
  <c r="K25" i="32"/>
  <c r="K26" i="32" s="1"/>
  <c r="L30" i="28"/>
  <c r="L20" i="32"/>
  <c r="L22" i="32" s="1"/>
  <c r="M19" i="32"/>
  <c r="M20" i="32" s="1"/>
  <c r="M22" i="32" s="1"/>
  <c r="M25" i="32" s="1"/>
  <c r="M26" i="32" s="1"/>
  <c r="J27" i="28"/>
  <c r="J25" i="19"/>
  <c r="J26" i="19" s="1"/>
  <c r="K16" i="20"/>
  <c r="K24" i="20" s="1"/>
  <c r="K28" i="20" s="1"/>
  <c r="L15" i="20"/>
  <c r="L12" i="20"/>
  <c r="L14" i="20" s="1"/>
  <c r="M15" i="20"/>
  <c r="M12" i="20"/>
  <c r="M14" i="20" s="1"/>
  <c r="J37" i="22"/>
  <c r="K34" i="22"/>
  <c r="K14" i="22"/>
  <c r="K36" i="22" s="1"/>
  <c r="I45" i="22"/>
  <c r="I49" i="22" s="1"/>
  <c r="I11" i="28"/>
  <c r="I21" i="28" s="1"/>
  <c r="M9" i="22"/>
  <c r="M12" i="22" s="1"/>
  <c r="L12" i="22"/>
  <c r="J13" i="28"/>
  <c r="J22" i="23"/>
  <c r="J26" i="23" s="1"/>
  <c r="K13" i="28"/>
  <c r="K22" i="23"/>
  <c r="K26" i="23" s="1"/>
  <c r="E92" i="28"/>
  <c r="C92" i="28" s="1"/>
  <c r="M7" i="23"/>
  <c r="M11" i="23" s="1"/>
  <c r="M12" i="23" s="1"/>
  <c r="M13" i="23" s="1"/>
  <c r="M14" i="23" s="1"/>
  <c r="M15" i="23" s="1"/>
  <c r="L11" i="23"/>
  <c r="L12" i="23" s="1"/>
  <c r="L13" i="23" s="1"/>
  <c r="L14" i="23" s="1"/>
  <c r="L15" i="23" s="1"/>
  <c r="M47" i="31"/>
  <c r="M48" i="31"/>
  <c r="M29" i="28"/>
  <c r="E90" i="28" s="1"/>
  <c r="C90" i="28" s="1"/>
  <c r="M48" i="14"/>
  <c r="M49" i="14" s="1"/>
  <c r="M26" i="28"/>
  <c r="L48" i="14"/>
  <c r="L49" i="14" s="1"/>
  <c r="L26" i="28"/>
  <c r="L48" i="22" l="1"/>
  <c r="L32" i="28"/>
  <c r="M32" i="28"/>
  <c r="M48" i="22"/>
  <c r="E93" i="28"/>
  <c r="C93" i="28" s="1"/>
  <c r="E97" i="28"/>
  <c r="C97" i="28" s="1"/>
  <c r="C56" i="36"/>
  <c r="L28" i="18"/>
  <c r="L29" i="18" s="1"/>
  <c r="L30" i="18" s="1"/>
  <c r="M27" i="18"/>
  <c r="M26" i="18"/>
  <c r="K37" i="18"/>
  <c r="K41" i="18" s="1"/>
  <c r="K14" i="28"/>
  <c r="I46" i="28"/>
  <c r="I50" i="28" s="1"/>
  <c r="H28" i="34"/>
  <c r="J43" i="28"/>
  <c r="J49" i="28" s="1"/>
  <c r="I9" i="34"/>
  <c r="I11" i="34" s="1"/>
  <c r="I18" i="34" s="1"/>
  <c r="L25" i="32"/>
  <c r="L26" i="32" s="1"/>
  <c r="B27" i="32" s="1"/>
  <c r="M30" i="28"/>
  <c r="E91" i="28" s="1"/>
  <c r="C91" i="28" s="1"/>
  <c r="K25" i="19"/>
  <c r="K26" i="19" s="1"/>
  <c r="K27" i="28"/>
  <c r="L20" i="19"/>
  <c r="L22" i="19" s="1"/>
  <c r="M19" i="19"/>
  <c r="M20" i="19" s="1"/>
  <c r="M22" i="19" s="1"/>
  <c r="M16" i="20"/>
  <c r="M10" i="28" s="1"/>
  <c r="K10" i="28"/>
  <c r="L16" i="20"/>
  <c r="L10" i="28" s="1"/>
  <c r="M14" i="22"/>
  <c r="M36" i="22" s="1"/>
  <c r="M34" i="22"/>
  <c r="K37" i="22"/>
  <c r="L14" i="22"/>
  <c r="L36" i="22" s="1"/>
  <c r="L34" i="22"/>
  <c r="J11" i="28"/>
  <c r="J21" i="28" s="1"/>
  <c r="J45" i="22"/>
  <c r="J49" i="22" s="1"/>
  <c r="E87" i="28"/>
  <c r="L22" i="23"/>
  <c r="L26" i="23" s="1"/>
  <c r="L13" i="28"/>
  <c r="C50" i="14"/>
  <c r="M49" i="31"/>
  <c r="C50" i="31" s="1"/>
  <c r="M22" i="23"/>
  <c r="M13" i="28"/>
  <c r="C51" i="14"/>
  <c r="M28" i="18" l="1"/>
  <c r="M29" i="18" s="1"/>
  <c r="M30" i="18" s="1"/>
  <c r="M14" i="28" s="1"/>
  <c r="L37" i="18"/>
  <c r="L41" i="18" s="1"/>
  <c r="L14" i="28"/>
  <c r="K43" i="28"/>
  <c r="K49" i="28" s="1"/>
  <c r="J9" i="34"/>
  <c r="J11" i="34" s="1"/>
  <c r="J18" i="34" s="1"/>
  <c r="J46" i="28"/>
  <c r="J50" i="28" s="1"/>
  <c r="I28" i="34"/>
  <c r="C87" i="28"/>
  <c r="B28" i="32"/>
  <c r="M27" i="28"/>
  <c r="M25" i="19"/>
  <c r="M26" i="19" s="1"/>
  <c r="L25" i="19"/>
  <c r="L26" i="19" s="1"/>
  <c r="L27" i="28"/>
  <c r="K9" i="34" s="1"/>
  <c r="K11" i="34" s="1"/>
  <c r="K18" i="34" s="1"/>
  <c r="M24" i="20"/>
  <c r="M25" i="20" s="1"/>
  <c r="L24" i="20"/>
  <c r="L28" i="20" s="1"/>
  <c r="M37" i="22"/>
  <c r="M45" i="22" s="1"/>
  <c r="L37" i="22"/>
  <c r="L11" i="28" s="1"/>
  <c r="K45" i="22"/>
  <c r="K49" i="22" s="1"/>
  <c r="K11" i="28"/>
  <c r="K21" i="28" s="1"/>
  <c r="C51" i="31"/>
  <c r="M23" i="23"/>
  <c r="M37" i="18" l="1"/>
  <c r="M38" i="18" s="1"/>
  <c r="M39" i="18" s="1"/>
  <c r="M41" i="18" s="1"/>
  <c r="B43" i="18" s="1"/>
  <c r="L21" i="28"/>
  <c r="L46" i="28" s="1"/>
  <c r="K46" i="28"/>
  <c r="K50" i="28" s="1"/>
  <c r="J28" i="34"/>
  <c r="M43" i="28"/>
  <c r="M49" i="28" s="1"/>
  <c r="L9" i="34"/>
  <c r="B28" i="19"/>
  <c r="B27" i="19"/>
  <c r="L43" i="28"/>
  <c r="L49" i="28" s="1"/>
  <c r="E88" i="28"/>
  <c r="M26" i="20"/>
  <c r="M11" i="28"/>
  <c r="M21" i="28" s="1"/>
  <c r="L45" i="22"/>
  <c r="L49" i="22" s="1"/>
  <c r="M46" i="22"/>
  <c r="M47" i="22" s="1"/>
  <c r="M24" i="23"/>
  <c r="K28" i="34" l="1"/>
  <c r="B42" i="18"/>
  <c r="L50" i="28"/>
  <c r="L11" i="34"/>
  <c r="L18" i="34" s="1"/>
  <c r="M9" i="34"/>
  <c r="M11" i="34" s="1"/>
  <c r="M46" i="28"/>
  <c r="L28" i="34"/>
  <c r="C88" i="28"/>
  <c r="E106" i="28"/>
  <c r="C7" i="33" s="1"/>
  <c r="C9" i="33" s="1"/>
  <c r="M47" i="28"/>
  <c r="M48" i="28"/>
  <c r="L36" i="34" s="1"/>
  <c r="M36" i="34" s="1"/>
  <c r="M28" i="20"/>
  <c r="B29" i="20" s="1"/>
  <c r="M49" i="22"/>
  <c r="C50" i="22" s="1"/>
  <c r="M26" i="23"/>
  <c r="C12" i="33" l="1"/>
  <c r="C13" i="33"/>
  <c r="K93" i="28" s="1"/>
  <c r="M28" i="34"/>
  <c r="H56" i="28"/>
  <c r="I56" i="28" s="1"/>
  <c r="L35" i="34"/>
  <c r="M35" i="34" s="1"/>
  <c r="B30" i="20"/>
  <c r="M50" i="28"/>
  <c r="C55" i="28" s="1"/>
  <c r="C51" i="22"/>
  <c r="C28" i="23"/>
  <c r="C27" i="23"/>
  <c r="D8" i="33" l="1"/>
  <c r="C14" i="33"/>
  <c r="C14" i="34" s="1"/>
  <c r="K95" i="28"/>
  <c r="C54" i="28" s="1"/>
  <c r="D15" i="34" l="1"/>
  <c r="M15" i="34" s="1"/>
  <c r="C16" i="34"/>
  <c r="C17" i="34" s="1"/>
  <c r="C23" i="34" s="1"/>
  <c r="C18" i="33"/>
  <c r="K92" i="28"/>
  <c r="K101" i="28" s="1"/>
  <c r="M93" i="28" l="1"/>
  <c r="M99" i="28"/>
  <c r="D16" i="34"/>
  <c r="D17" i="34" s="1"/>
  <c r="C18" i="34"/>
  <c r="C33" i="34"/>
  <c r="M33" i="34" s="1"/>
  <c r="M98" i="28"/>
  <c r="M14" i="34"/>
  <c r="M92" i="28"/>
  <c r="M95" i="28"/>
  <c r="D23" i="34" l="1"/>
  <c r="E17" i="34"/>
  <c r="M16" i="34"/>
  <c r="D18" i="34"/>
  <c r="D19" i="34" s="1"/>
  <c r="D22" i="34" s="1"/>
  <c r="D29" i="34" s="1"/>
  <c r="C19" i="34"/>
  <c r="C22" i="34" s="1"/>
  <c r="C29" i="34" s="1"/>
  <c r="E23" i="34" l="1"/>
  <c r="F17" i="34"/>
  <c r="E19" i="34"/>
  <c r="E22" i="34" s="1"/>
  <c r="K19" i="34"/>
  <c r="K22" i="34" s="1"/>
  <c r="D25" i="34"/>
  <c r="I19" i="34"/>
  <c r="I22" i="34" s="1"/>
  <c r="G19" i="34"/>
  <c r="G22" i="34" s="1"/>
  <c r="J19" i="34"/>
  <c r="J22" i="34" s="1"/>
  <c r="M18" i="34"/>
  <c r="F19" i="34"/>
  <c r="F22" i="34" s="1"/>
  <c r="L19" i="34"/>
  <c r="H19" i="34"/>
  <c r="H22" i="34" s="1"/>
  <c r="C25" i="34"/>
  <c r="C30" i="34"/>
  <c r="C34" i="34" s="1"/>
  <c r="D52" i="28"/>
  <c r="E52" i="28"/>
  <c r="D30" i="34"/>
  <c r="D34" i="34" s="1"/>
  <c r="D38" i="34" s="1"/>
  <c r="E51" i="28" s="1"/>
  <c r="L22" i="34" l="1"/>
  <c r="E25" i="34"/>
  <c r="E29" i="34"/>
  <c r="E30" i="34" s="1"/>
  <c r="E34" i="34" s="1"/>
  <c r="E38" i="34" s="1"/>
  <c r="F51" i="28" s="1"/>
  <c r="F25" i="34"/>
  <c r="G17" i="34"/>
  <c r="F23" i="34"/>
  <c r="F29" i="34" s="1"/>
  <c r="C38" i="34"/>
  <c r="F30" i="34" l="1"/>
  <c r="F34" i="34" s="1"/>
  <c r="F38" i="34" s="1"/>
  <c r="G51" i="28" s="1"/>
  <c r="G52" i="28"/>
  <c r="F52" i="28"/>
  <c r="M22" i="34"/>
  <c r="H17" i="34"/>
  <c r="G23" i="34"/>
  <c r="D51" i="28"/>
  <c r="G25" i="34" l="1"/>
  <c r="G29" i="34"/>
  <c r="H23" i="34"/>
  <c r="I17" i="34"/>
  <c r="I23" i="34" l="1"/>
  <c r="J17" i="34"/>
  <c r="H25" i="34"/>
  <c r="H29" i="34"/>
  <c r="H52" i="28"/>
  <c r="G30" i="34"/>
  <c r="G34" i="34" s="1"/>
  <c r="H30" i="34" l="1"/>
  <c r="H34" i="34" s="1"/>
  <c r="H38" i="34" s="1"/>
  <c r="I51" i="28" s="1"/>
  <c r="I52" i="28"/>
  <c r="G38" i="34"/>
  <c r="K17" i="34"/>
  <c r="J23" i="34"/>
  <c r="I29" i="34"/>
  <c r="I25" i="34"/>
  <c r="G9" i="14"/>
  <c r="H9" i="14" s="1"/>
  <c r="L17" i="34" l="1"/>
  <c r="K23" i="34"/>
  <c r="J52" i="28"/>
  <c r="I30" i="34"/>
  <c r="I34" i="34" s="1"/>
  <c r="I38" i="34" s="1"/>
  <c r="J51" i="28" s="1"/>
  <c r="H51" i="28"/>
  <c r="J25" i="34"/>
  <c r="J29" i="34"/>
  <c r="I9" i="14"/>
  <c r="J9" i="14" s="1"/>
  <c r="K52" i="28" l="1"/>
  <c r="J30" i="34"/>
  <c r="J34" i="34" s="1"/>
  <c r="J38" i="34" s="1"/>
  <c r="K25" i="34"/>
  <c r="K29" i="34"/>
  <c r="L23" i="34"/>
  <c r="L24" i="34"/>
  <c r="K9" i="14"/>
  <c r="L9" i="14" s="1"/>
  <c r="M9" i="14" s="1"/>
  <c r="K30" i="34" l="1"/>
  <c r="K34" i="34" s="1"/>
  <c r="L52" i="28"/>
  <c r="M24" i="34"/>
  <c r="L37" i="34"/>
  <c r="M37" i="34" s="1"/>
  <c r="L29" i="34"/>
  <c r="M29" i="34" s="1"/>
  <c r="M30" i="34" s="1"/>
  <c r="M23" i="34"/>
  <c r="L25" i="34"/>
  <c r="K51" i="28"/>
  <c r="M25" i="34" l="1"/>
  <c r="M52" i="28"/>
  <c r="L30" i="34"/>
  <c r="L34" i="34" s="1"/>
  <c r="L38" i="34" s="1"/>
  <c r="M51" i="28" s="1"/>
  <c r="K38" i="34"/>
  <c r="M34" i="34" l="1"/>
  <c r="M38" i="34" s="1"/>
  <c r="L51" i="28"/>
  <c r="C53" i="28" s="1"/>
  <c r="B39" i="34"/>
  <c r="B40" i="34"/>
  <c r="C56" i="28" s="1"/>
</calcChain>
</file>

<file path=xl/sharedStrings.xml><?xml version="1.0" encoding="utf-8"?>
<sst xmlns="http://schemas.openxmlformats.org/spreadsheetml/2006/main" count="1039" uniqueCount="383">
  <si>
    <t xml:space="preserve">Net Operating Income </t>
  </si>
  <si>
    <t>Total Net Operating Income</t>
  </si>
  <si>
    <t>Development Costs</t>
  </si>
  <si>
    <t>Total Development Costs</t>
  </si>
  <si>
    <t>Annual Cash Flow</t>
  </si>
  <si>
    <t>Net Operating Income</t>
  </si>
  <si>
    <t>Net Cash Flow</t>
  </si>
  <si>
    <t>Project Buildout by Development Units</t>
  </si>
  <si>
    <t xml:space="preserve">Commercial Infrastructure </t>
  </si>
  <si>
    <t xml:space="preserve">Other Infrastructure </t>
  </si>
  <si>
    <t xml:space="preserve">Total Infrastructure Costs </t>
  </si>
  <si>
    <t>Revenue Assumptions</t>
  </si>
  <si>
    <t>Inflation Factor</t>
  </si>
  <si>
    <t>Gross Lease Revenues</t>
  </si>
  <si>
    <t>Percent Built by Year</t>
  </si>
  <si>
    <t>Infrastructure Costs</t>
  </si>
  <si>
    <t>Assumptions</t>
  </si>
  <si>
    <t>Sale Revenues</t>
  </si>
  <si>
    <t>Leasing Revenues</t>
  </si>
  <si>
    <t>Room Revenues</t>
  </si>
  <si>
    <t>Other Revenues</t>
  </si>
  <si>
    <t>Total Revenues</t>
  </si>
  <si>
    <t>Monthly Fees</t>
  </si>
  <si>
    <t>Hourly Fees</t>
  </si>
  <si>
    <t>Expenses</t>
  </si>
  <si>
    <t>Parking Revenue</t>
  </si>
  <si>
    <t>Monthly Parking</t>
  </si>
  <si>
    <t>Hourly Parking</t>
  </si>
  <si>
    <t>Total Parking Revenue</t>
  </si>
  <si>
    <t>factors</t>
  </si>
  <si>
    <t>Monthly Parking Fee</t>
  </si>
  <si>
    <t>Allocation to Monthly Use</t>
  </si>
  <si>
    <t>Percent Occupancy by Monthly Contracts</t>
  </si>
  <si>
    <t>Number of Spaces</t>
  </si>
  <si>
    <t>Nonwork Days</t>
  </si>
  <si>
    <t>Daily Parking Hours</t>
  </si>
  <si>
    <t>Percent Utilization</t>
  </si>
  <si>
    <t>Work Days</t>
  </si>
  <si>
    <t>Hourly Parking Rate</t>
  </si>
  <si>
    <t>Operating Expenses (Percent of Gross Revenue)</t>
  </si>
  <si>
    <t>Net Present Value</t>
  </si>
  <si>
    <t>Structured Parking Spaces</t>
  </si>
  <si>
    <t>Surface Parking Spaces</t>
  </si>
  <si>
    <t>Total Costs of Sale</t>
  </si>
  <si>
    <t>Total Buildout</t>
  </si>
  <si>
    <t>Project Buildout by Area</t>
  </si>
  <si>
    <t>(units)</t>
  </si>
  <si>
    <t>(s.f.)</t>
  </si>
  <si>
    <t>(spaces)</t>
  </si>
  <si>
    <t>Total</t>
  </si>
  <si>
    <t>Year-by-Year Cumulative Absorption</t>
  </si>
  <si>
    <t>($ per unit)</t>
  </si>
  <si>
    <t>Subtotal</t>
  </si>
  <si>
    <t>Park/Landscaping</t>
  </si>
  <si>
    <t>Total Infrastructure Costs</t>
  </si>
  <si>
    <t>Percent of Total</t>
  </si>
  <si>
    <t>Other</t>
  </si>
  <si>
    <t>Total Costs</t>
  </si>
  <si>
    <t>Net Present Value of Costs</t>
  </si>
  <si>
    <t>Phase I</t>
  </si>
  <si>
    <t>Projected Unit Absorption</t>
  </si>
  <si>
    <t>Average Unit Size</t>
  </si>
  <si>
    <t>Net Rentable Area</t>
  </si>
  <si>
    <t>Monthly Rent per s.f.</t>
  </si>
  <si>
    <t>Occupancy Factor</t>
  </si>
  <si>
    <t>Annual Operating Expenses per s.f.</t>
  </si>
  <si>
    <t>Net Usable Area</t>
  </si>
  <si>
    <t>Sale Price per s.f.</t>
  </si>
  <si>
    <t>Builder Profit</t>
  </si>
  <si>
    <t>Cost of Sales</t>
  </si>
  <si>
    <t>GLA Absorbed</t>
  </si>
  <si>
    <t>Vacancy Factor</t>
  </si>
  <si>
    <t>Net Lease Revenue per s.f.</t>
  </si>
  <si>
    <t>Operations and Maintenance Expenser per s.f.</t>
  </si>
  <si>
    <t>Rooms Completed</t>
  </si>
  <si>
    <t>Average Daily Room Rate</t>
  </si>
  <si>
    <t>Team</t>
  </si>
  <si>
    <t>1. Summary Pro Forma</t>
  </si>
  <si>
    <t>2. Multiyear Development Program</t>
  </si>
  <si>
    <t>Rental Housing</t>
  </si>
  <si>
    <t>For-Sale Housing</t>
  </si>
  <si>
    <t>Office/Commercial</t>
  </si>
  <si>
    <t>Retail</t>
  </si>
  <si>
    <t>Hotel</t>
  </si>
  <si>
    <t>Structured Parking</t>
  </si>
  <si>
    <t>Surface Parking</t>
  </si>
  <si>
    <t>Affordable</t>
  </si>
  <si>
    <t>Market-rate</t>
  </si>
  <si>
    <t>Debt Service</t>
  </si>
  <si>
    <t>Loan to Value Ratio (LVR)</t>
  </si>
  <si>
    <t>3. Unit Development and Infrastructure Costs</t>
  </si>
  <si>
    <t>4. Equity and Financing Sources</t>
  </si>
  <si>
    <t>Amount</t>
  </si>
  <si>
    <t>Equity Sources (total)</t>
  </si>
  <si>
    <t>Financing Sources (total)</t>
  </si>
  <si>
    <t>Unit Cost</t>
  </si>
  <si>
    <t>Leveraged IRR Before Taxes</t>
  </si>
  <si>
    <t>Utilities</t>
  </si>
  <si>
    <t>Landscaping</t>
  </si>
  <si>
    <t>Other Hardscaping (not incl. surf. pkg.)</t>
  </si>
  <si>
    <t>Public</t>
  </si>
  <si>
    <t>Indirect costs</t>
  </si>
  <si>
    <t>Total Infrastructure</t>
  </si>
  <si>
    <t>Private</t>
  </si>
  <si>
    <t>Roads</t>
  </si>
  <si>
    <t>Year 0</t>
  </si>
  <si>
    <t xml:space="preserve">Total Asset Value </t>
  </si>
  <si>
    <t>Asset Value</t>
  </si>
  <si>
    <t>Costs of Sale</t>
  </si>
  <si>
    <t>Operations and Maintenance Expenses per s.f.</t>
  </si>
  <si>
    <t>Unleveraged IRR Before Taxes</t>
  </si>
  <si>
    <t>Current Site Value (start of Year 0)</t>
  </si>
  <si>
    <t>Projected Site Value (end of Year 10)</t>
  </si>
  <si>
    <t>Affordable Retail</t>
  </si>
  <si>
    <t>Retail (ALL)</t>
  </si>
  <si>
    <t>Market-rate Retail</t>
  </si>
  <si>
    <t>Land Acquisition</t>
  </si>
  <si>
    <t>Workforce</t>
  </si>
  <si>
    <t>Underground Parking</t>
  </si>
  <si>
    <t>Income from Sales Proceeds</t>
  </si>
  <si>
    <t>Total Income</t>
  </si>
  <si>
    <t>Demolition</t>
  </si>
  <si>
    <t>Remediation</t>
  </si>
  <si>
    <t>Development Fees</t>
  </si>
  <si>
    <t>Leveraged Net Cash Flow</t>
  </si>
  <si>
    <t>Acquisition Taxes and Fees</t>
  </si>
  <si>
    <t>Number of Units Sold</t>
  </si>
  <si>
    <t>Number of Units Built</t>
  </si>
  <si>
    <t>Built</t>
  </si>
  <si>
    <t>Effective Gross Income</t>
  </si>
  <si>
    <t>2019-2020</t>
  </si>
  <si>
    <t>Parcels</t>
  </si>
  <si>
    <t>SF (Area)</t>
  </si>
  <si>
    <t>Acres</t>
  </si>
  <si>
    <t>Max SF (5 FAR)</t>
  </si>
  <si>
    <t>A</t>
  </si>
  <si>
    <t>B</t>
  </si>
  <si>
    <t>C</t>
  </si>
  <si>
    <t>D</t>
  </si>
  <si>
    <t>E</t>
  </si>
  <si>
    <t>F</t>
  </si>
  <si>
    <t>G</t>
  </si>
  <si>
    <t>1/4 - 4 story retail / brewery</t>
  </si>
  <si>
    <t xml:space="preserve">Parking </t>
  </si>
  <si>
    <t>Retail + Residential</t>
  </si>
  <si>
    <t>Retail + 5-story Residential</t>
  </si>
  <si>
    <t>Sale</t>
  </si>
  <si>
    <t>Office, Boutique Hotel or Sale</t>
  </si>
  <si>
    <t>Phase 1</t>
  </si>
  <si>
    <t>ULI Urban Design Competition</t>
  </si>
  <si>
    <t>Development Schedule</t>
  </si>
  <si>
    <t>Phase 2</t>
  </si>
  <si>
    <t>Phase 3</t>
  </si>
  <si>
    <t>Product Type</t>
  </si>
  <si>
    <t>Total SF</t>
  </si>
  <si>
    <t>2019-20</t>
  </si>
  <si>
    <t>Market Rate Rental</t>
  </si>
  <si>
    <t>Affordable Rental</t>
  </si>
  <si>
    <t>Purchase - 3rd St. Parcel</t>
  </si>
  <si>
    <t>3rd St. Parcel - Rehab</t>
  </si>
  <si>
    <t>Dixie Terminal (18 Third Street)</t>
  </si>
  <si>
    <t>Value</t>
  </si>
  <si>
    <t>SF</t>
  </si>
  <si>
    <t>1/2 Parking lot on left</t>
  </si>
  <si>
    <t>Entire Block</t>
  </si>
  <si>
    <t>Implied Land Value</t>
  </si>
  <si>
    <t>Total - Residential Market Rate</t>
  </si>
  <si>
    <t>Total - Residential Affordable</t>
  </si>
  <si>
    <t>Total - Hotel</t>
  </si>
  <si>
    <t>Total - Retail</t>
  </si>
  <si>
    <t>Development Assumptions</t>
  </si>
  <si>
    <t>Other Assumptions</t>
  </si>
  <si>
    <t>Units</t>
  </si>
  <si>
    <t>Exit Cap Rate</t>
  </si>
  <si>
    <t>Cost of Sale</t>
  </si>
  <si>
    <t>Discount Rate</t>
  </si>
  <si>
    <t>Cumulative Units Leased</t>
  </si>
  <si>
    <t>Units Completed</t>
  </si>
  <si>
    <t>Development Costs PSF</t>
  </si>
  <si>
    <t>Total - Residential For Sale Market</t>
  </si>
  <si>
    <t>Total - Residential For Sale Affordable</t>
  </si>
  <si>
    <t>Gross SF</t>
  </si>
  <si>
    <t>Net SF</t>
  </si>
  <si>
    <t>Other Assmptions</t>
  </si>
  <si>
    <t>Operating Expenses PSF</t>
  </si>
  <si>
    <t>Expense Reimbursements</t>
  </si>
  <si>
    <t>Operating Expenses</t>
  </si>
  <si>
    <t>Operating Expenses % of Rev</t>
  </si>
  <si>
    <t>(Less) Total Development Costs</t>
  </si>
  <si>
    <t>Office</t>
  </si>
  <si>
    <t>Total - Office</t>
  </si>
  <si>
    <t>Totals</t>
  </si>
  <si>
    <t>Annual Operating Expeses</t>
  </si>
  <si>
    <t>Net Lease Revenue PSF</t>
  </si>
  <si>
    <t>Phase 1 Office</t>
  </si>
  <si>
    <t>Phase 2 Office</t>
  </si>
  <si>
    <t>Phase 3 Office</t>
  </si>
  <si>
    <t>Development Budget</t>
  </si>
  <si>
    <t>Land Acquisition Costs</t>
  </si>
  <si>
    <t>Air Rights Costs</t>
  </si>
  <si>
    <t>Construction Costs</t>
  </si>
  <si>
    <t>Loan Fee (1.00%)</t>
  </si>
  <si>
    <t>Financing</t>
  </si>
  <si>
    <t>65% LTC Financing</t>
  </si>
  <si>
    <t>Equity Financing</t>
  </si>
  <si>
    <t>Equity Contribution</t>
  </si>
  <si>
    <t>Total Financing</t>
  </si>
  <si>
    <t>Summary of Air Rights and Land Acquistion Costs</t>
  </si>
  <si>
    <t>A - Park</t>
  </si>
  <si>
    <t>A - Built</t>
  </si>
  <si>
    <t>Third Street Parcels</t>
  </si>
  <si>
    <t>Assessed</t>
  </si>
  <si>
    <t>PSF</t>
  </si>
  <si>
    <t>Year 1 Construction Cost Assumptions</t>
  </si>
  <si>
    <t>Property Type</t>
  </si>
  <si>
    <t>Rental &amp; For-Sale Housing</t>
  </si>
  <si>
    <t>Office Space</t>
  </si>
  <si>
    <t>Retail Space</t>
  </si>
  <si>
    <t>Lid Construction</t>
  </si>
  <si>
    <t>Hard</t>
  </si>
  <si>
    <t>Costs PSF</t>
  </si>
  <si>
    <t>Soft</t>
  </si>
  <si>
    <t>Hard Cost</t>
  </si>
  <si>
    <t>Costs PSF (1)</t>
  </si>
  <si>
    <t>Costs PSF (2)</t>
  </si>
  <si>
    <t>Contingency (3)</t>
  </si>
  <si>
    <t>(1) Source: RS Means Online Data</t>
  </si>
  <si>
    <t>(2) Soft Costs have been estimated as 20% of Hard Costs.</t>
  </si>
  <si>
    <t>(3) Hard Cost Contingency has been estimated as 4% of Hard Costs.</t>
  </si>
  <si>
    <t>Market Assumptions</t>
  </si>
  <si>
    <t>Assumption</t>
  </si>
  <si>
    <t>Input</t>
  </si>
  <si>
    <t>Source</t>
  </si>
  <si>
    <t>Apartment Rents PSF (Monthly)</t>
  </si>
  <si>
    <t>Average rents from CBRE</t>
  </si>
  <si>
    <t>Apartment Vacancy</t>
  </si>
  <si>
    <t>CBRE Reports for Cincinnati</t>
  </si>
  <si>
    <t>Affordable Rents PSF</t>
  </si>
  <si>
    <t>Based on 80% of AMR and average square footage</t>
  </si>
  <si>
    <t>Condo Sales Prices PSF</t>
  </si>
  <si>
    <t>Affordable Sales Price PSF</t>
  </si>
  <si>
    <t>Office Rents PSF (Class A)</t>
  </si>
  <si>
    <t>CBRE Report</t>
  </si>
  <si>
    <t>Office Vacancy</t>
  </si>
  <si>
    <t>Retail Rents PSF (Lifestyle)</t>
  </si>
  <si>
    <t>Cushman &amp; Wakefield Retail Snapshot Report Q2 2018</t>
  </si>
  <si>
    <t>Neighborhood &amp; Community PSF</t>
  </si>
  <si>
    <t>Power/Regional</t>
  </si>
  <si>
    <t>Retail Vacancy</t>
  </si>
  <si>
    <t>Hotel ADR</t>
  </si>
  <si>
    <t>www.hotelnewsnow.com</t>
  </si>
  <si>
    <t>Hotel Occupancy</t>
  </si>
  <si>
    <t>Hotel EBITDA Margin</t>
  </si>
  <si>
    <t>Parking Structure Monthly Rate</t>
  </si>
  <si>
    <t>From Cincinnati Parking data</t>
  </si>
  <si>
    <t>Hourly Parking Rates</t>
  </si>
  <si>
    <t>Bengals Parking Flat Rate</t>
  </si>
  <si>
    <t>Apartment Cap Rates</t>
  </si>
  <si>
    <t>CBRE Reports for Cincinnati (Class AA)</t>
  </si>
  <si>
    <t>Office CBD Cap Rates</t>
  </si>
  <si>
    <t>Retail Cap Rates</t>
  </si>
  <si>
    <t>Hotel Cap Rates</t>
  </si>
  <si>
    <t>Industrial Cap Rates</t>
  </si>
  <si>
    <t>Parking Cap Rates</t>
  </si>
  <si>
    <t>(1) Please note that these rent/sales price figures are current estimates, and that for purposes of calculating Net Operating Income, annual inflation of 2.00% was assumed.</t>
  </si>
  <si>
    <r>
      <t xml:space="preserve">Used </t>
    </r>
    <r>
      <rPr>
        <b/>
        <vertAlign val="superscript"/>
        <sz val="11"/>
        <color theme="1"/>
        <rFont val="Arial Narrow"/>
        <family val="2"/>
      </rPr>
      <t>(1)</t>
    </r>
  </si>
  <si>
    <t>Landscaping Costs PSF</t>
  </si>
  <si>
    <t>Sidewalk / Street Costs PSF</t>
  </si>
  <si>
    <t>Retaining Wall Cost PSF</t>
  </si>
  <si>
    <t>Lid Costs PSF</t>
  </si>
  <si>
    <t>Pedestrian Bridge Cost PSF</t>
  </si>
  <si>
    <t>Zillow</t>
  </si>
  <si>
    <t>Financing Analysis</t>
  </si>
  <si>
    <t>Phase II</t>
  </si>
  <si>
    <t>Phase III</t>
  </si>
  <si>
    <t>Debt &amp; Equity Funding</t>
  </si>
  <si>
    <t>Equity Funding</t>
  </si>
  <si>
    <t>Cumulative Debt Funding</t>
  </si>
  <si>
    <t>Debt Service Calculation</t>
  </si>
  <si>
    <t>Interest Expense</t>
  </si>
  <si>
    <t>Loan Repayment</t>
  </si>
  <si>
    <t>Total Debt Service</t>
  </si>
  <si>
    <t>Cash Flow After Debt Service</t>
  </si>
  <si>
    <t>(Less) Interest Expense</t>
  </si>
  <si>
    <t>Total CFADS</t>
  </si>
  <si>
    <t>Leveraged IRR Calculation</t>
  </si>
  <si>
    <t>Equity Outlays</t>
  </si>
  <si>
    <t>CFADS</t>
  </si>
  <si>
    <t>Asset Sale</t>
  </si>
  <si>
    <t>(Less) Cost of Sale</t>
  </si>
  <si>
    <t>(Less) Debt Repayment</t>
  </si>
  <si>
    <t>Leveraged Cash Flows</t>
  </si>
  <si>
    <t>Financing Assumptions</t>
  </si>
  <si>
    <t>Property Taxes</t>
  </si>
  <si>
    <t>Air Rights Acquisition</t>
  </si>
  <si>
    <t>Parking Deck</t>
  </si>
  <si>
    <t>Total - Parking</t>
  </si>
  <si>
    <t>Retail - Brewery/Restaurant (Lot B)</t>
  </si>
  <si>
    <t>Lid - (Lot A)</t>
  </si>
  <si>
    <t>Residential (Lot C)</t>
  </si>
  <si>
    <t>Parking (Lot C)</t>
  </si>
  <si>
    <t>Retail (Lot C)</t>
  </si>
  <si>
    <t>Office (Lot C)</t>
  </si>
  <si>
    <t>Hotel (Lot G)</t>
  </si>
  <si>
    <t>Residential (Lot E)</t>
  </si>
  <si>
    <t>Retail (Lot E)</t>
  </si>
  <si>
    <t>Retail (Lot D &amp; E)</t>
  </si>
  <si>
    <t>Retail (Restaurant/Retail) (Lot A)</t>
  </si>
  <si>
    <t>Office (Lot A)</t>
  </si>
  <si>
    <t>Parking Deck (Office) (Lot A)</t>
  </si>
  <si>
    <t>Retail (Lot G)</t>
  </si>
  <si>
    <t>Plaza Bldg (Parcel F)</t>
  </si>
  <si>
    <t>Plaza w/ Restrooms</t>
  </si>
  <si>
    <t>Rooms</t>
  </si>
  <si>
    <t>SF Per Parking Space</t>
  </si>
  <si>
    <t>Spaces</t>
  </si>
  <si>
    <t>Operating Expenses (% of Gross Revenue)</t>
  </si>
  <si>
    <t>N/A</t>
  </si>
  <si>
    <t>Structured Parking (New)</t>
  </si>
  <si>
    <t>Structured Parking (Existing)</t>
  </si>
  <si>
    <t>Lot</t>
  </si>
  <si>
    <t>Total - Air Rights</t>
  </si>
  <si>
    <t>Land Aquistion</t>
  </si>
  <si>
    <t>Phase</t>
  </si>
  <si>
    <t>65% LTC Senior Debt</t>
  </si>
  <si>
    <t>Air Rights Acquisition Costs</t>
  </si>
  <si>
    <t>Parking Garage (New)</t>
  </si>
  <si>
    <t>Convention Center Annex</t>
  </si>
  <si>
    <t>Convention Center Annex (Lot B)</t>
  </si>
  <si>
    <t>Equity Financing (15%)</t>
  </si>
  <si>
    <t>D (1)</t>
  </si>
  <si>
    <t>E (1)</t>
  </si>
  <si>
    <t>(1) Air Rights acquisition cost for Lots D &amp; E have been removed in lieu of shared parking revenue with City/County.  Twenty-five percent of revenue is allocated to City/County.</t>
  </si>
  <si>
    <t>Convention Center</t>
  </si>
  <si>
    <t>Total - Convention Center Annex</t>
  </si>
  <si>
    <t>Kiosk Rental Revenues</t>
  </si>
  <si>
    <t>Number of Kiosks</t>
  </si>
  <si>
    <t>Net Rental Revenue per Kiosk (per Day)</t>
  </si>
  <si>
    <t>Rental Days Per Year</t>
  </si>
  <si>
    <t>Leasing and Other Revenues</t>
  </si>
  <si>
    <t>Number of Soccer Fields</t>
  </si>
  <si>
    <t>Net Rental Revenue per Field (Per Day)</t>
  </si>
  <si>
    <t>Soccer Field Rental Revenues</t>
  </si>
  <si>
    <t>Convention Center Annex / Other</t>
  </si>
  <si>
    <t>Revenue Sharing with City / County</t>
  </si>
  <si>
    <t>Net Operating Income (Residual)</t>
  </si>
  <si>
    <t>Soccer Fields</t>
  </si>
  <si>
    <t>Ice Skating Rink</t>
  </si>
  <si>
    <t>Number of Ice Skaters (Per Day)</t>
  </si>
  <si>
    <t>$ per skater</t>
  </si>
  <si>
    <t>Site A Park Festival Revenues</t>
  </si>
  <si>
    <t>Days Per Year (3 Mos Per Year)</t>
  </si>
  <si>
    <t>Team 190505</t>
  </si>
  <si>
    <t>Residential (Lot D &amp; E)</t>
  </si>
  <si>
    <t>Block D</t>
  </si>
  <si>
    <t>Block E</t>
  </si>
  <si>
    <t>$ PSF Total Value</t>
  </si>
  <si>
    <t>Total Value (Land &amp; Air Rights)</t>
  </si>
  <si>
    <t>Per Tax Records for Market Comps</t>
  </si>
  <si>
    <t>TIF Bonds</t>
  </si>
  <si>
    <t>Project TIF Bonds</t>
  </si>
  <si>
    <t>Philanthropy Funding</t>
  </si>
  <si>
    <t>Philanthropy Private Funding</t>
  </si>
  <si>
    <t>TIF Bond PILOT Payments</t>
  </si>
  <si>
    <t>TIF Bond</t>
  </si>
  <si>
    <t>Bank Debt Interest Rate</t>
  </si>
  <si>
    <t>TIF Bond Interest Rate</t>
  </si>
  <si>
    <t>Senior Debt Funding</t>
  </si>
  <si>
    <t>Block A</t>
  </si>
  <si>
    <t>Lid Construction (4)</t>
  </si>
  <si>
    <t>(4) Per Parsons Report on lid construction ($120 psf), modified for inflation.</t>
  </si>
  <si>
    <t>`</t>
  </si>
  <si>
    <t>Cumulative TIF Bond Funding</t>
  </si>
  <si>
    <t>Other Amenities / Lid Construction</t>
  </si>
  <si>
    <t>Hotel (per room)</t>
  </si>
  <si>
    <t>Structured Parking (New) (per space)</t>
  </si>
  <si>
    <t>Structured Parking (Existing) (per space)</t>
  </si>
  <si>
    <t>Other (psf)</t>
  </si>
  <si>
    <t>Office/Commercial (psf)</t>
  </si>
  <si>
    <t>Retail (ALL) (psf)</t>
  </si>
  <si>
    <t>Rental Housing (unit)</t>
  </si>
  <si>
    <t>Team: 190505</t>
  </si>
  <si>
    <t>Public Subsidies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</si>
</sst>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-* #,##0_-;\-* #,##0_-;_-* &quot;-&quot;??_-;_-@_-"/>
    <numFmt numFmtId="166" formatCode="_-* #,##0_-;\-* #,##0_-;_-* &quot;-&quot;?_-;_-@_-"/>
    <numFmt numFmtId="167" formatCode="_-&quot;$&quot;* #,##0_-;\-&quot;$&quot;* #,##0_-;_-&quot;$&quot;* &quot;-&quot;??_-;_-@_-"/>
    <numFmt numFmtId="168" formatCode="0.0%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* #,##0_);_(* \(#,##0\);_(* &quot;-&quot;_);_(@_)"/>
    <numFmt numFmtId="174" formatCode="&quot;$&quot;#,##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_);_(* \(#,##0\);_(* &quot;-&quot;??_);_(@_)"/>
    <numFmt numFmtId="178" formatCode="General\ &quot;Units&quot;"/>
    <numFmt numFmtId="179" formatCode="General\ &quot;Rooms&quot;"/>
    <numFmt numFmtId="180" formatCode="#,##0\ &quot;SF&quot;"/>
    <numFmt numFmtId="181" formatCode="General\ &quot;Spaces&quot;"/>
    <numFmt numFmtId="182" formatCode="0.0\x"/>
  </numFmts>
  <fonts count="36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 Narrow"/>
      <family val="2"/>
    </font>
    <font>
      <u/>
      <sz val="10"/>
      <color theme="10"/>
      <name val="Arial"/>
      <family val="2"/>
    </font>
    <font>
      <b/>
      <i/>
      <u/>
      <sz val="10"/>
      <name val="Arial Narrow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12"/>
      <name val="Arial Narrow"/>
      <family val="2"/>
    </font>
    <font>
      <b/>
      <sz val="11"/>
      <name val="Arial"/>
      <family val="2"/>
    </font>
    <font>
      <sz val="11"/>
      <color indexed="9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sz val="11"/>
      <color theme="0"/>
      <name val="Arial Narrow"/>
      <family val="2"/>
    </font>
    <font>
      <b/>
      <i/>
      <u/>
      <sz val="11"/>
      <color theme="1"/>
      <name val="Arial Narrow"/>
      <family val="2"/>
    </font>
    <font>
      <sz val="10"/>
      <color rgb="FFC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9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9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5" fillId="0" borderId="4" xfId="0" applyFont="1" applyBorder="1"/>
    <xf numFmtId="0" fontId="4" fillId="0" borderId="4" xfId="0" applyFont="1" applyBorder="1"/>
    <xf numFmtId="9" fontId="4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6" fillId="0" borderId="0" xfId="0" applyFont="1"/>
    <xf numFmtId="0" fontId="4" fillId="0" borderId="1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9" fontId="4" fillId="0" borderId="5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9" fontId="4" fillId="0" borderId="7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9" fontId="4" fillId="0" borderId="3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5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 wrapText="1"/>
    </xf>
    <xf numFmtId="9" fontId="4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Fill="1" applyBorder="1"/>
    <xf numFmtId="0" fontId="4" fillId="0" borderId="2" xfId="0" applyFont="1" applyFill="1" applyBorder="1"/>
    <xf numFmtId="10" fontId="4" fillId="0" borderId="5" xfId="0" applyNumberFormat="1" applyFont="1" applyFill="1" applyBorder="1" applyAlignment="1">
      <alignment horizontal="right"/>
    </xf>
    <xf numFmtId="0" fontId="4" fillId="0" borderId="3" xfId="0" applyFont="1" applyFill="1" applyBorder="1"/>
    <xf numFmtId="0" fontId="4" fillId="0" borderId="1" xfId="0" applyFont="1" applyFill="1" applyBorder="1"/>
    <xf numFmtId="0" fontId="4" fillId="0" borderId="5" xfId="0" applyFont="1" applyFill="1" applyBorder="1"/>
    <xf numFmtId="0" fontId="5" fillId="0" borderId="6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4" fillId="0" borderId="3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9" fontId="4" fillId="0" borderId="5" xfId="0" applyNumberFormat="1" applyFont="1" applyFill="1" applyBorder="1" applyAlignment="1">
      <alignment horizontal="center"/>
    </xf>
    <xf numFmtId="9" fontId="4" fillId="0" borderId="2" xfId="0" applyNumberFormat="1" applyFont="1" applyFill="1" applyBorder="1" applyAlignment="1">
      <alignment horizontal="center"/>
    </xf>
    <xf numFmtId="0" fontId="5" fillId="0" borderId="5" xfId="0" applyFont="1" applyFill="1" applyBorder="1"/>
    <xf numFmtId="10" fontId="4" fillId="0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4" fillId="0" borderId="6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center"/>
    </xf>
    <xf numFmtId="10" fontId="4" fillId="0" borderId="7" xfId="0" applyNumberFormat="1" applyFont="1" applyFill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8" fillId="0" borderId="1" xfId="2" applyFont="1" applyBorder="1" applyAlignment="1">
      <alignment horizontal="center"/>
    </xf>
    <xf numFmtId="0" fontId="8" fillId="0" borderId="0" xfId="2" applyFont="1" applyAlignment="1">
      <alignment horizontal="center"/>
    </xf>
    <xf numFmtId="165" fontId="8" fillId="0" borderId="1" xfId="3" applyNumberFormat="1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Font="1" applyBorder="1" applyAlignment="1">
      <alignment horizontal="center"/>
    </xf>
    <xf numFmtId="43" fontId="9" fillId="0" borderId="0" xfId="2" applyNumberFormat="1" applyFont="1"/>
    <xf numFmtId="165" fontId="9" fillId="0" borderId="0" xfId="2" applyNumberFormat="1" applyFont="1"/>
    <xf numFmtId="43" fontId="9" fillId="0" borderId="1" xfId="2" applyNumberFormat="1" applyFont="1" applyBorder="1"/>
    <xf numFmtId="0" fontId="9" fillId="0" borderId="0" xfId="2" applyFont="1" applyAlignment="1">
      <alignment horizontal="left"/>
    </xf>
    <xf numFmtId="165" fontId="10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12" fillId="0" borderId="0" xfId="0" applyFont="1"/>
    <xf numFmtId="166" fontId="0" fillId="0" borderId="0" xfId="0" applyNumberFormat="1"/>
    <xf numFmtId="165" fontId="0" fillId="0" borderId="0" xfId="0" applyNumberFormat="1"/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9" fillId="0" borderId="0" xfId="2" applyNumberFormat="1" applyFont="1"/>
    <xf numFmtId="165" fontId="9" fillId="0" borderId="0" xfId="4" applyNumberFormat="1" applyFont="1"/>
    <xf numFmtId="0" fontId="0" fillId="0" borderId="1" xfId="0" applyBorder="1"/>
    <xf numFmtId="165" fontId="0" fillId="0" borderId="1" xfId="0" applyNumberFormat="1" applyBorder="1"/>
    <xf numFmtId="165" fontId="14" fillId="0" borderId="0" xfId="0" applyNumberFormat="1" applyFont="1"/>
    <xf numFmtId="9" fontId="4" fillId="0" borderId="0" xfId="6" applyFont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5" fontId="4" fillId="0" borderId="0" xfId="4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9" fontId="4" fillId="4" borderId="0" xfId="6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5" fillId="0" borderId="2" xfId="0" applyFont="1" applyBorder="1"/>
    <xf numFmtId="44" fontId="4" fillId="0" borderId="3" xfId="5" applyFont="1" applyFill="1" applyBorder="1" applyAlignment="1">
      <alignment horizontal="center"/>
    </xf>
    <xf numFmtId="44" fontId="4" fillId="0" borderId="3" xfId="0" applyNumberFormat="1" applyFont="1" applyFill="1" applyBorder="1" applyAlignment="1">
      <alignment horizontal="center"/>
    </xf>
    <xf numFmtId="165" fontId="4" fillId="0" borderId="3" xfId="4" applyNumberFormat="1" applyFont="1" applyFill="1" applyBorder="1" applyAlignment="1">
      <alignment horizontal="right"/>
    </xf>
    <xf numFmtId="9" fontId="4" fillId="0" borderId="5" xfId="6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9" fontId="4" fillId="0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4" fontId="4" fillId="0" borderId="30" xfId="5" applyFont="1" applyFill="1" applyBorder="1" applyAlignment="1">
      <alignment horizontal="center"/>
    </xf>
    <xf numFmtId="10" fontId="4" fillId="0" borderId="32" xfId="0" applyNumberFormat="1" applyFont="1" applyFill="1" applyBorder="1" applyAlignment="1">
      <alignment horizontal="center"/>
    </xf>
    <xf numFmtId="44" fontId="4" fillId="0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9" fontId="4" fillId="0" borderId="33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4" fontId="4" fillId="0" borderId="3" xfId="5" applyFont="1" applyFill="1" applyBorder="1" applyAlignment="1">
      <alignment horizontal="right"/>
    </xf>
    <xf numFmtId="9" fontId="4" fillId="0" borderId="31" xfId="0" applyNumberFormat="1" applyFont="1" applyFill="1" applyBorder="1" applyAlignment="1">
      <alignment horizontal="center"/>
    </xf>
    <xf numFmtId="165" fontId="4" fillId="0" borderId="2" xfId="4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right"/>
    </xf>
    <xf numFmtId="9" fontId="4" fillId="0" borderId="3" xfId="6" applyFont="1" applyFill="1" applyBorder="1" applyAlignment="1">
      <alignment horizontal="center"/>
    </xf>
    <xf numFmtId="9" fontId="4" fillId="4" borderId="3" xfId="6" applyFont="1" applyFill="1" applyBorder="1" applyAlignment="1">
      <alignment horizontal="center"/>
    </xf>
    <xf numFmtId="167" fontId="4" fillId="0" borderId="3" xfId="5" applyNumberFormat="1" applyFont="1" applyFill="1" applyBorder="1" applyAlignment="1">
      <alignment horizontal="right"/>
    </xf>
    <xf numFmtId="44" fontId="4" fillId="0" borderId="0" xfId="0" applyNumberFormat="1" applyFont="1"/>
    <xf numFmtId="0" fontId="4" fillId="0" borderId="1" xfId="0" applyFont="1" applyFill="1" applyBorder="1" applyAlignment="1">
      <alignment horizontal="right"/>
    </xf>
    <xf numFmtId="167" fontId="4" fillId="0" borderId="35" xfId="5" applyNumberFormat="1" applyFont="1" applyFill="1" applyBorder="1" applyAlignment="1">
      <alignment horizontal="right"/>
    </xf>
    <xf numFmtId="167" fontId="4" fillId="0" borderId="5" xfId="5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right"/>
    </xf>
    <xf numFmtId="167" fontId="4" fillId="0" borderId="5" xfId="0" applyNumberFormat="1" applyFont="1" applyFill="1" applyBorder="1" applyAlignment="1">
      <alignment horizontal="right"/>
    </xf>
    <xf numFmtId="167" fontId="4" fillId="0" borderId="3" xfId="0" applyNumberFormat="1" applyFont="1" applyFill="1" applyBorder="1" applyAlignment="1">
      <alignment horizontal="right"/>
    </xf>
    <xf numFmtId="167" fontId="4" fillId="0" borderId="7" xfId="0" applyNumberFormat="1" applyFont="1" applyFill="1" applyBorder="1" applyAlignment="1">
      <alignment horizontal="right"/>
    </xf>
    <xf numFmtId="165" fontId="4" fillId="0" borderId="7" xfId="4" applyNumberFormat="1" applyFont="1" applyFill="1" applyBorder="1" applyAlignment="1">
      <alignment horizontal="right"/>
    </xf>
    <xf numFmtId="167" fontId="4" fillId="0" borderId="4" xfId="0" applyNumberFormat="1" applyFont="1" applyFill="1" applyBorder="1" applyAlignment="1">
      <alignment horizontal="right"/>
    </xf>
    <xf numFmtId="44" fontId="4" fillId="0" borderId="5" xfId="5" applyFont="1" applyFill="1" applyBorder="1" applyAlignment="1">
      <alignment horizontal="center"/>
    </xf>
    <xf numFmtId="44" fontId="4" fillId="0" borderId="5" xfId="5" applyFont="1" applyFill="1" applyBorder="1" applyAlignment="1">
      <alignment horizontal="right"/>
    </xf>
    <xf numFmtId="167" fontId="4" fillId="0" borderId="3" xfId="5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7" fontId="4" fillId="0" borderId="5" xfId="5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167" fontId="5" fillId="0" borderId="2" xfId="5" applyNumberFormat="1" applyFont="1" applyFill="1" applyBorder="1" applyAlignment="1">
      <alignment horizontal="center"/>
    </xf>
    <xf numFmtId="10" fontId="5" fillId="0" borderId="5" xfId="0" applyNumberFormat="1" applyFont="1" applyFill="1" applyBorder="1" applyAlignment="1">
      <alignment horizontal="center"/>
    </xf>
    <xf numFmtId="10" fontId="5" fillId="0" borderId="5" xfId="0" applyNumberFormat="1" applyFont="1" applyFill="1" applyBorder="1" applyAlignment="1">
      <alignment horizontal="right"/>
    </xf>
    <xf numFmtId="6" fontId="5" fillId="0" borderId="30" xfId="0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>
      <alignment horizontal="right"/>
    </xf>
    <xf numFmtId="0" fontId="17" fillId="0" borderId="2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65" fontId="4" fillId="0" borderId="0" xfId="0" applyNumberFormat="1" applyFont="1"/>
    <xf numFmtId="9" fontId="4" fillId="0" borderId="3" xfId="6" applyFont="1" applyFill="1" applyBorder="1" applyAlignment="1">
      <alignment horizontal="right"/>
    </xf>
    <xf numFmtId="44" fontId="4" fillId="0" borderId="36" xfId="5" applyFont="1" applyFill="1" applyBorder="1" applyAlignment="1">
      <alignment horizontal="center"/>
    </xf>
    <xf numFmtId="169" fontId="4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37" xfId="0" applyFont="1" applyFill="1" applyBorder="1"/>
    <xf numFmtId="0" fontId="4" fillId="0" borderId="38" xfId="0" applyFont="1" applyFill="1" applyBorder="1"/>
    <xf numFmtId="2" fontId="4" fillId="0" borderId="39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169" fontId="4" fillId="0" borderId="35" xfId="0" applyNumberFormat="1" applyFont="1" applyFill="1" applyBorder="1" applyAlignment="1">
      <alignment horizontal="right"/>
    </xf>
    <xf numFmtId="169" fontId="4" fillId="0" borderId="42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/>
    </xf>
    <xf numFmtId="164" fontId="4" fillId="0" borderId="38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44" fontId="4" fillId="0" borderId="0" xfId="5" applyFont="1" applyFill="1" applyBorder="1" applyAlignment="1">
      <alignment horizontal="right"/>
    </xf>
    <xf numFmtId="167" fontId="4" fillId="0" borderId="0" xfId="5" applyNumberFormat="1" applyFont="1" applyFill="1" applyBorder="1" applyAlignment="1">
      <alignment horizontal="right"/>
    </xf>
    <xf numFmtId="167" fontId="4" fillId="0" borderId="26" xfId="5" applyNumberFormat="1" applyFont="1" applyFill="1" applyBorder="1" applyAlignment="1">
      <alignment horizontal="right"/>
    </xf>
    <xf numFmtId="165" fontId="4" fillId="0" borderId="41" xfId="0" applyNumberFormat="1" applyFont="1" applyFill="1" applyBorder="1" applyAlignment="1">
      <alignment horizontal="right"/>
    </xf>
    <xf numFmtId="165" fontId="4" fillId="0" borderId="40" xfId="0" applyNumberFormat="1" applyFont="1" applyFill="1" applyBorder="1" applyAlignment="1">
      <alignment horizontal="right"/>
    </xf>
    <xf numFmtId="165" fontId="4" fillId="0" borderId="28" xfId="0" applyNumberFormat="1" applyFont="1" applyFill="1" applyBorder="1" applyAlignment="1">
      <alignment horizontal="right"/>
    </xf>
    <xf numFmtId="165" fontId="4" fillId="0" borderId="39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7" fontId="4" fillId="0" borderId="10" xfId="5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7" fontId="4" fillId="0" borderId="17" xfId="5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center"/>
    </xf>
    <xf numFmtId="9" fontId="4" fillId="0" borderId="39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167" fontId="4" fillId="0" borderId="37" xfId="5" applyNumberFormat="1" applyFont="1" applyFill="1" applyBorder="1" applyAlignment="1">
      <alignment horizontal="right"/>
    </xf>
    <xf numFmtId="167" fontId="4" fillId="0" borderId="38" xfId="5" applyNumberFormat="1" applyFont="1" applyFill="1" applyBorder="1" applyAlignment="1">
      <alignment horizontal="right"/>
    </xf>
    <xf numFmtId="167" fontId="4" fillId="0" borderId="37" xfId="5" applyNumberFormat="1" applyFont="1" applyFill="1" applyBorder="1" applyAlignment="1">
      <alignment horizontal="right" wrapText="1"/>
    </xf>
    <xf numFmtId="167" fontId="4" fillId="0" borderId="27" xfId="5" applyNumberFormat="1" applyFont="1" applyFill="1" applyBorder="1" applyAlignment="1">
      <alignment horizontal="right"/>
    </xf>
    <xf numFmtId="167" fontId="4" fillId="0" borderId="1" xfId="5" applyNumberFormat="1" applyFont="1" applyFill="1" applyBorder="1" applyAlignment="1">
      <alignment horizontal="right"/>
    </xf>
    <xf numFmtId="167" fontId="4" fillId="0" borderId="18" xfId="5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9" fontId="4" fillId="0" borderId="39" xfId="6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right"/>
    </xf>
    <xf numFmtId="44" fontId="4" fillId="0" borderId="38" xfId="5" applyFont="1" applyFill="1" applyBorder="1" applyAlignment="1">
      <alignment horizontal="right"/>
    </xf>
    <xf numFmtId="167" fontId="4" fillId="0" borderId="2" xfId="5" applyNumberFormat="1" applyFont="1" applyFill="1" applyBorder="1" applyAlignment="1">
      <alignment horizontal="right"/>
    </xf>
    <xf numFmtId="167" fontId="4" fillId="0" borderId="28" xfId="5" applyNumberFormat="1" applyFont="1" applyFill="1" applyBorder="1" applyAlignment="1">
      <alignment horizontal="right"/>
    </xf>
    <xf numFmtId="167" fontId="4" fillId="0" borderId="27" xfId="0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/>
    </xf>
    <xf numFmtId="9" fontId="4" fillId="0" borderId="39" xfId="0" applyNumberFormat="1" applyFont="1" applyFill="1" applyBorder="1" applyAlignment="1">
      <alignment horizontal="center"/>
    </xf>
    <xf numFmtId="9" fontId="4" fillId="0" borderId="35" xfId="0" applyNumberFormat="1" applyFont="1" applyFill="1" applyBorder="1" applyAlignment="1">
      <alignment horizontal="center"/>
    </xf>
    <xf numFmtId="167" fontId="5" fillId="0" borderId="31" xfId="5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165" fontId="4" fillId="0" borderId="8" xfId="4" applyNumberFormat="1" applyFont="1" applyFill="1" applyBorder="1" applyAlignment="1">
      <alignment horizontal="center"/>
    </xf>
    <xf numFmtId="165" fontId="4" fillId="0" borderId="6" xfId="4" applyNumberFormat="1" applyFont="1" applyFill="1" applyBorder="1" applyAlignment="1">
      <alignment horizontal="center"/>
    </xf>
    <xf numFmtId="165" fontId="4" fillId="0" borderId="9" xfId="4" applyNumberFormat="1" applyFont="1" applyFill="1" applyBorder="1" applyAlignment="1">
      <alignment horizontal="center"/>
    </xf>
    <xf numFmtId="165" fontId="4" fillId="3" borderId="8" xfId="4" applyNumberFormat="1" applyFont="1" applyFill="1" applyBorder="1" applyAlignment="1">
      <alignment horizontal="center"/>
    </xf>
    <xf numFmtId="165" fontId="4" fillId="3" borderId="6" xfId="4" applyNumberFormat="1" applyFont="1" applyFill="1" applyBorder="1" applyAlignment="1">
      <alignment horizontal="center"/>
    </xf>
    <xf numFmtId="165" fontId="4" fillId="3" borderId="9" xfId="4" applyNumberFormat="1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9" fontId="4" fillId="0" borderId="2" xfId="6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 wrapText="1"/>
    </xf>
    <xf numFmtId="9" fontId="4" fillId="0" borderId="5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right" wrapText="1"/>
    </xf>
    <xf numFmtId="167" fontId="4" fillId="0" borderId="2" xfId="5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67" fontId="4" fillId="0" borderId="1" xfId="5" applyNumberFormat="1" applyFont="1" applyFill="1" applyBorder="1" applyAlignment="1">
      <alignment horizontal="center"/>
    </xf>
    <xf numFmtId="44" fontId="4" fillId="0" borderId="0" xfId="5" applyFont="1" applyFill="1" applyBorder="1" applyAlignment="1">
      <alignment horizontal="center"/>
    </xf>
    <xf numFmtId="44" fontId="4" fillId="0" borderId="7" xfId="5" applyFont="1" applyFill="1" applyBorder="1" applyAlignment="1">
      <alignment horizontal="right"/>
    </xf>
    <xf numFmtId="44" fontId="4" fillId="0" borderId="3" xfId="5" applyNumberFormat="1" applyFont="1" applyFill="1" applyBorder="1" applyAlignment="1">
      <alignment horizontal="center" wrapText="1"/>
    </xf>
    <xf numFmtId="167" fontId="4" fillId="0" borderId="7" xfId="0" applyNumberFormat="1" applyFont="1" applyFill="1" applyBorder="1" applyAlignment="1">
      <alignment horizontal="center"/>
    </xf>
    <xf numFmtId="44" fontId="4" fillId="4" borderId="0" xfId="5" applyFont="1" applyFill="1" applyAlignment="1">
      <alignment horizontal="center"/>
    </xf>
    <xf numFmtId="0" fontId="0" fillId="0" borderId="51" xfId="0" applyBorder="1"/>
    <xf numFmtId="0" fontId="0" fillId="0" borderId="0" xfId="0" applyBorder="1"/>
    <xf numFmtId="0" fontId="2" fillId="0" borderId="51" xfId="0" applyFont="1" applyBorder="1"/>
    <xf numFmtId="0" fontId="2" fillId="0" borderId="49" xfId="0" applyFont="1" applyBorder="1"/>
    <xf numFmtId="0" fontId="2" fillId="0" borderId="53" xfId="0" applyFont="1" applyBorder="1"/>
    <xf numFmtId="0" fontId="0" fillId="0" borderId="54" xfId="0" applyBorder="1"/>
    <xf numFmtId="167" fontId="0" fillId="0" borderId="52" xfId="5" applyNumberFormat="1" applyFont="1" applyBorder="1"/>
    <xf numFmtId="167" fontId="0" fillId="0" borderId="55" xfId="5" applyNumberFormat="1" applyFont="1" applyBorder="1"/>
    <xf numFmtId="167" fontId="0" fillId="0" borderId="0" xfId="5" applyNumberFormat="1" applyFont="1"/>
    <xf numFmtId="0" fontId="0" fillId="0" borderId="46" xfId="0" applyBorder="1"/>
    <xf numFmtId="0" fontId="0" fillId="0" borderId="47" xfId="0" applyBorder="1"/>
    <xf numFmtId="0" fontId="12" fillId="0" borderId="51" xfId="0" applyFont="1" applyBorder="1"/>
    <xf numFmtId="0" fontId="7" fillId="0" borderId="53" xfId="0" applyFont="1" applyBorder="1"/>
    <xf numFmtId="165" fontId="0" fillId="0" borderId="0" xfId="0" applyNumberFormat="1" applyBorder="1"/>
    <xf numFmtId="168" fontId="0" fillId="0" borderId="0" xfId="6" applyNumberFormat="1" applyFont="1"/>
    <xf numFmtId="9" fontId="0" fillId="0" borderId="0" xfId="6" applyNumberFormat="1" applyFont="1"/>
    <xf numFmtId="0" fontId="22" fillId="0" borderId="0" xfId="1" applyFont="1" applyAlignment="1">
      <alignment vertical="center"/>
    </xf>
    <xf numFmtId="0" fontId="22" fillId="0" borderId="10" xfId="1" applyFont="1" applyBorder="1"/>
    <xf numFmtId="0" fontId="22" fillId="0" borderId="4" xfId="1" applyFont="1" applyFill="1" applyBorder="1"/>
    <xf numFmtId="0" fontId="22" fillId="0" borderId="0" xfId="1" applyFont="1"/>
    <xf numFmtId="0" fontId="22" fillId="0" borderId="1" xfId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2" xfId="1" applyFont="1" applyBorder="1"/>
    <xf numFmtId="0" fontId="23" fillId="0" borderId="2" xfId="1" applyFont="1" applyBorder="1" applyAlignment="1">
      <alignment horizontal="center"/>
    </xf>
    <xf numFmtId="0" fontId="22" fillId="0" borderId="13" xfId="1" applyFont="1" applyBorder="1"/>
    <xf numFmtId="0" fontId="22" fillId="0" borderId="2" xfId="1" applyFont="1" applyBorder="1"/>
    <xf numFmtId="0" fontId="22" fillId="0" borderId="3" xfId="1" applyFont="1" applyBorder="1" applyAlignment="1">
      <alignment horizontal="right"/>
    </xf>
    <xf numFmtId="0" fontId="22" fillId="0" borderId="3" xfId="1" applyFont="1" applyBorder="1" applyAlignment="1">
      <alignment horizontal="center"/>
    </xf>
    <xf numFmtId="0" fontId="22" fillId="0" borderId="14" xfId="1" applyFont="1" applyFill="1" applyBorder="1"/>
    <xf numFmtId="0" fontId="22" fillId="0" borderId="3" xfId="1" applyFont="1" applyFill="1" applyBorder="1"/>
    <xf numFmtId="0" fontId="22" fillId="0" borderId="22" xfId="1" applyFont="1" applyBorder="1" applyAlignment="1">
      <alignment horizontal="right" vertical="center"/>
    </xf>
    <xf numFmtId="0" fontId="22" fillId="0" borderId="12" xfId="1" applyFont="1" applyFill="1" applyBorder="1"/>
    <xf numFmtId="0" fontId="22" fillId="0" borderId="1" xfId="1" applyFont="1" applyFill="1" applyBorder="1"/>
    <xf numFmtId="0" fontId="23" fillId="0" borderId="0" xfId="1" applyFont="1" applyBorder="1" applyAlignment="1">
      <alignment horizontal="left"/>
    </xf>
    <xf numFmtId="0" fontId="22" fillId="0" borderId="0" xfId="1" applyFont="1" applyBorder="1" applyAlignment="1">
      <alignment horizontal="center"/>
    </xf>
    <xf numFmtId="0" fontId="22" fillId="0" borderId="15" xfId="1" applyFont="1" applyFill="1" applyBorder="1"/>
    <xf numFmtId="0" fontId="22" fillId="0" borderId="0" xfId="1" applyFont="1" applyFill="1" applyBorder="1"/>
    <xf numFmtId="0" fontId="22" fillId="0" borderId="0" xfId="1" applyFont="1" applyFill="1" applyBorder="1" applyAlignment="1"/>
    <xf numFmtId="0" fontId="22" fillId="2" borderId="6" xfId="1" applyFont="1" applyFill="1" applyBorder="1"/>
    <xf numFmtId="0" fontId="22" fillId="0" borderId="13" xfId="1" applyFont="1" applyFill="1" applyBorder="1"/>
    <xf numFmtId="0" fontId="22" fillId="0" borderId="2" xfId="1" applyFont="1" applyFill="1" applyBorder="1"/>
    <xf numFmtId="0" fontId="22" fillId="0" borderId="3" xfId="1" applyFont="1" applyFill="1" applyBorder="1" applyAlignment="1"/>
    <xf numFmtId="0" fontId="22" fillId="0" borderId="2" xfId="1" applyFont="1" applyFill="1" applyBorder="1" applyAlignment="1"/>
    <xf numFmtId="0" fontId="22" fillId="2" borderId="0" xfId="1" applyFont="1" applyFill="1"/>
    <xf numFmtId="0" fontId="23" fillId="0" borderId="4" xfId="1" applyFont="1" applyBorder="1"/>
    <xf numFmtId="0" fontId="23" fillId="0" borderId="4" xfId="1" applyFont="1" applyBorder="1" applyAlignment="1">
      <alignment horizontal="center"/>
    </xf>
    <xf numFmtId="0" fontId="22" fillId="0" borderId="11" xfId="1" applyFont="1" applyFill="1" applyBorder="1"/>
    <xf numFmtId="9" fontId="22" fillId="0" borderId="3" xfId="1" applyNumberFormat="1" applyFont="1" applyBorder="1" applyAlignment="1">
      <alignment horizontal="center"/>
    </xf>
    <xf numFmtId="0" fontId="23" fillId="0" borderId="1" xfId="1" applyFont="1" applyBorder="1" applyAlignment="1">
      <alignment horizontal="left"/>
    </xf>
    <xf numFmtId="0" fontId="23" fillId="0" borderId="1" xfId="1" applyFont="1" applyBorder="1" applyAlignment="1">
      <alignment horizontal="right"/>
    </xf>
    <xf numFmtId="0" fontId="23" fillId="0" borderId="6" xfId="1" applyFont="1" applyBorder="1"/>
    <xf numFmtId="0" fontId="23" fillId="0" borderId="1" xfId="1" applyFont="1" applyBorder="1"/>
    <xf numFmtId="0" fontId="22" fillId="0" borderId="10" xfId="1" applyFont="1" applyFill="1" applyBorder="1" applyAlignment="1"/>
    <xf numFmtId="0" fontId="22" fillId="0" borderId="0" xfId="1" applyFont="1" applyAlignment="1">
      <alignment horizontal="center"/>
    </xf>
    <xf numFmtId="0" fontId="23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left" vertical="center"/>
    </xf>
    <xf numFmtId="0" fontId="22" fillId="0" borderId="2" xfId="1" applyFont="1" applyBorder="1" applyAlignment="1">
      <alignment horizontal="center"/>
    </xf>
    <xf numFmtId="0" fontId="22" fillId="0" borderId="19" xfId="1" applyFont="1" applyFill="1" applyBorder="1"/>
    <xf numFmtId="0" fontId="22" fillId="0" borderId="7" xfId="1" applyFont="1" applyFill="1" applyBorder="1"/>
    <xf numFmtId="0" fontId="22" fillId="0" borderId="5" xfId="1" applyFont="1" applyBorder="1" applyAlignment="1">
      <alignment horizontal="center"/>
    </xf>
    <xf numFmtId="0" fontId="22" fillId="0" borderId="20" xfId="1" applyFont="1" applyFill="1" applyBorder="1"/>
    <xf numFmtId="0" fontId="22" fillId="0" borderId="5" xfId="1" applyFont="1" applyFill="1" applyBorder="1"/>
    <xf numFmtId="0" fontId="22" fillId="0" borderId="0" xfId="1" applyFont="1" applyBorder="1" applyAlignment="1">
      <alignment vertical="center"/>
    </xf>
    <xf numFmtId="0" fontId="22" fillId="0" borderId="0" xfId="1" applyFont="1" applyAlignment="1">
      <alignment wrapText="1"/>
    </xf>
    <xf numFmtId="0" fontId="22" fillId="0" borderId="2" xfId="1" applyFont="1" applyBorder="1" applyAlignment="1">
      <alignment horizontal="right"/>
    </xf>
    <xf numFmtId="0" fontId="22" fillId="0" borderId="4" xfId="1" applyFont="1" applyBorder="1"/>
    <xf numFmtId="0" fontId="20" fillId="0" borderId="4" xfId="1" applyFont="1" applyBorder="1" applyAlignment="1">
      <alignment horizontal="right"/>
    </xf>
    <xf numFmtId="0" fontId="22" fillId="0" borderId="3" xfId="1" applyFont="1" applyFill="1" applyBorder="1" applyAlignment="1">
      <alignment horizontal="right"/>
    </xf>
    <xf numFmtId="0" fontId="20" fillId="0" borderId="3" xfId="1" applyFont="1" applyFill="1" applyBorder="1" applyAlignment="1"/>
    <xf numFmtId="0" fontId="20" fillId="0" borderId="3" xfId="1" applyFont="1" applyBorder="1" applyAlignment="1"/>
    <xf numFmtId="0" fontId="22" fillId="0" borderId="3" xfId="1" applyFont="1" applyBorder="1" applyAlignment="1">
      <alignment horizontal="right" vertical="center"/>
    </xf>
    <xf numFmtId="3" fontId="20" fillId="0" borderId="2" xfId="1" applyNumberFormat="1" applyFont="1" applyBorder="1" applyAlignment="1">
      <alignment horizontal="right"/>
    </xf>
    <xf numFmtId="0" fontId="20" fillId="0" borderId="2" xfId="1" applyFont="1" applyBorder="1" applyAlignment="1">
      <alignment horizontal="right"/>
    </xf>
    <xf numFmtId="0" fontId="22" fillId="0" borderId="3" xfId="1" applyFont="1" applyBorder="1"/>
    <xf numFmtId="0" fontId="22" fillId="0" borderId="5" xfId="1" applyFont="1" applyBorder="1" applyAlignment="1">
      <alignment horizontal="right"/>
    </xf>
    <xf numFmtId="0" fontId="22" fillId="0" borderId="0" xfId="1" applyFont="1" applyBorder="1"/>
    <xf numFmtId="0" fontId="22" fillId="0" borderId="0" xfId="1" applyFont="1" applyFill="1" applyAlignment="1">
      <alignment horizontal="center"/>
    </xf>
    <xf numFmtId="0" fontId="22" fillId="0" borderId="0" xfId="1" applyFont="1" applyFill="1"/>
    <xf numFmtId="0" fontId="22" fillId="0" borderId="46" xfId="1" applyFont="1" applyBorder="1"/>
    <xf numFmtId="0" fontId="22" fillId="0" borderId="47" xfId="1" applyFont="1" applyBorder="1" applyAlignment="1">
      <alignment horizontal="center"/>
    </xf>
    <xf numFmtId="0" fontId="22" fillId="0" borderId="47" xfId="1" applyFont="1" applyBorder="1"/>
    <xf numFmtId="0" fontId="22" fillId="0" borderId="48" xfId="1" applyFont="1" applyBorder="1"/>
    <xf numFmtId="0" fontId="22" fillId="0" borderId="51" xfId="1" applyFont="1" applyBorder="1"/>
    <xf numFmtId="0" fontId="22" fillId="0" borderId="52" xfId="1" applyFont="1" applyBorder="1"/>
    <xf numFmtId="0" fontId="22" fillId="0" borderId="53" xfId="1" applyFont="1" applyBorder="1"/>
    <xf numFmtId="0" fontId="22" fillId="0" borderId="54" xfId="1" applyFont="1" applyBorder="1" applyAlignment="1">
      <alignment horizontal="center"/>
    </xf>
    <xf numFmtId="0" fontId="22" fillId="0" borderId="54" xfId="1" applyFont="1" applyBorder="1"/>
    <xf numFmtId="0" fontId="22" fillId="0" borderId="55" xfId="1" applyFont="1" applyBorder="1"/>
    <xf numFmtId="0" fontId="18" fillId="3" borderId="0" xfId="1" applyFont="1" applyFill="1" applyAlignment="1">
      <alignment vertical="center"/>
    </xf>
    <xf numFmtId="0" fontId="19" fillId="3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0" fontId="22" fillId="0" borderId="47" xfId="1" applyFont="1" applyFill="1" applyBorder="1" applyAlignment="1">
      <alignment horizontal="center"/>
    </xf>
    <xf numFmtId="0" fontId="22" fillId="0" borderId="47" xfId="1" applyFont="1" applyFill="1" applyBorder="1"/>
    <xf numFmtId="0" fontId="22" fillId="0" borderId="54" xfId="1" applyFont="1" applyFill="1" applyBorder="1" applyAlignment="1">
      <alignment horizontal="center"/>
    </xf>
    <xf numFmtId="0" fontId="22" fillId="0" borderId="54" xfId="1" applyFont="1" applyFill="1" applyBorder="1"/>
    <xf numFmtId="0" fontId="22" fillId="0" borderId="0" xfId="1" applyFont="1" applyFill="1" applyBorder="1" applyAlignment="1">
      <alignment horizontal="center"/>
    </xf>
    <xf numFmtId="0" fontId="22" fillId="0" borderId="48" xfId="1" applyFont="1" applyBorder="1" applyAlignment="1">
      <alignment horizontal="center"/>
    </xf>
    <xf numFmtId="0" fontId="22" fillId="0" borderId="55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44" fontId="22" fillId="0" borderId="47" xfId="5" applyFont="1" applyFill="1" applyBorder="1"/>
    <xf numFmtId="44" fontId="22" fillId="0" borderId="47" xfId="5" applyFont="1" applyBorder="1"/>
    <xf numFmtId="44" fontId="22" fillId="0" borderId="0" xfId="1" applyNumberFormat="1" applyFont="1" applyBorder="1"/>
    <xf numFmtId="44" fontId="22" fillId="0" borderId="0" xfId="5" applyFont="1" applyFill="1" applyBorder="1"/>
    <xf numFmtId="44" fontId="22" fillId="0" borderId="0" xfId="5" applyFont="1" applyBorder="1"/>
    <xf numFmtId="44" fontId="22" fillId="0" borderId="52" xfId="5" applyFont="1" applyBorder="1"/>
    <xf numFmtId="44" fontId="22" fillId="0" borderId="54" xfId="5" applyFont="1" applyFill="1" applyBorder="1"/>
    <xf numFmtId="44" fontId="22" fillId="0" borderId="54" xfId="5" applyFont="1" applyBorder="1"/>
    <xf numFmtId="44" fontId="22" fillId="0" borderId="55" xfId="5" applyFont="1" applyBorder="1"/>
    <xf numFmtId="167" fontId="22" fillId="0" borderId="0" xfId="5" applyNumberFormat="1" applyFont="1" applyBorder="1"/>
    <xf numFmtId="167" fontId="22" fillId="0" borderId="1" xfId="5" applyNumberFormat="1" applyFont="1" applyBorder="1"/>
    <xf numFmtId="0" fontId="29" fillId="5" borderId="56" xfId="1" applyFont="1" applyFill="1" applyBorder="1" applyAlignment="1">
      <alignment horizontal="left"/>
    </xf>
    <xf numFmtId="0" fontId="30" fillId="6" borderId="46" xfId="1" applyFont="1" applyFill="1" applyBorder="1" applyAlignment="1"/>
    <xf numFmtId="0" fontId="30" fillId="6" borderId="47" xfId="1" applyFont="1" applyFill="1" applyBorder="1" applyAlignment="1"/>
    <xf numFmtId="0" fontId="31" fillId="6" borderId="47" xfId="1" applyFont="1" applyFill="1" applyBorder="1" applyAlignment="1">
      <alignment horizontal="center"/>
    </xf>
    <xf numFmtId="0" fontId="30" fillId="0" borderId="46" xfId="1" applyFont="1" applyBorder="1" applyAlignment="1"/>
    <xf numFmtId="0" fontId="30" fillId="0" borderId="47" xfId="1" applyFont="1" applyBorder="1" applyAlignment="1"/>
    <xf numFmtId="0" fontId="30" fillId="0" borderId="48" xfId="1" applyFont="1" applyBorder="1" applyAlignment="1"/>
    <xf numFmtId="0" fontId="31" fillId="6" borderId="53" xfId="1" applyFont="1" applyFill="1" applyBorder="1" applyAlignment="1"/>
    <xf numFmtId="0" fontId="30" fillId="6" borderId="54" xfId="1" applyFont="1" applyFill="1" applyBorder="1" applyAlignment="1"/>
    <xf numFmtId="0" fontId="31" fillId="6" borderId="54" xfId="1" applyFont="1" applyFill="1" applyBorder="1" applyAlignment="1">
      <alignment horizontal="center"/>
    </xf>
    <xf numFmtId="170" fontId="31" fillId="0" borderId="53" xfId="1" applyNumberFormat="1" applyFont="1" applyBorder="1" applyAlignment="1">
      <alignment horizontal="left"/>
    </xf>
    <xf numFmtId="170" fontId="30" fillId="0" borderId="54" xfId="1" applyNumberFormat="1" applyFont="1" applyBorder="1" applyAlignment="1">
      <alignment horizontal="center"/>
    </xf>
    <xf numFmtId="170" fontId="30" fillId="0" borderId="55" xfId="1" applyNumberFormat="1" applyFont="1" applyBorder="1" applyAlignment="1">
      <alignment horizontal="center"/>
    </xf>
    <xf numFmtId="170" fontId="30" fillId="0" borderId="47" xfId="1" applyNumberFormat="1" applyFont="1" applyFill="1" applyBorder="1" applyAlignment="1"/>
    <xf numFmtId="0" fontId="30" fillId="6" borderId="53" xfId="1" applyFont="1" applyFill="1" applyBorder="1" applyAlignment="1"/>
    <xf numFmtId="0" fontId="30" fillId="0" borderId="54" xfId="1" applyFont="1" applyFill="1" applyBorder="1" applyAlignment="1"/>
    <xf numFmtId="0" fontId="30" fillId="6" borderId="56" xfId="1" applyFont="1" applyFill="1" applyBorder="1" applyAlignment="1"/>
    <xf numFmtId="0" fontId="30" fillId="6" borderId="57" xfId="1" applyFont="1" applyFill="1" applyBorder="1" applyAlignment="1"/>
    <xf numFmtId="10" fontId="30" fillId="0" borderId="57" xfId="1" applyNumberFormat="1" applyFont="1" applyFill="1" applyBorder="1" applyAlignment="1">
      <alignment horizontal="right"/>
    </xf>
    <xf numFmtId="0" fontId="30" fillId="0" borderId="56" xfId="1" applyFont="1" applyFill="1" applyBorder="1" applyAlignment="1"/>
    <xf numFmtId="0" fontId="30" fillId="0" borderId="57" xfId="1" applyFont="1" applyFill="1" applyBorder="1" applyAlignment="1"/>
    <xf numFmtId="0" fontId="30" fillId="0" borderId="58" xfId="1" applyFont="1" applyFill="1" applyBorder="1" applyAlignment="1"/>
    <xf numFmtId="0" fontId="30" fillId="0" borderId="46" xfId="1" applyFont="1" applyFill="1" applyBorder="1" applyAlignment="1"/>
    <xf numFmtId="0" fontId="30" fillId="0" borderId="47" xfId="1" applyFont="1" applyFill="1" applyBorder="1" applyAlignment="1"/>
    <xf numFmtId="0" fontId="30" fillId="0" borderId="48" xfId="1" applyFont="1" applyFill="1" applyBorder="1" applyAlignment="1"/>
    <xf numFmtId="0" fontId="30" fillId="6" borderId="51" xfId="1" applyFont="1" applyFill="1" applyBorder="1" applyAlignment="1"/>
    <xf numFmtId="0" fontId="30" fillId="6" borderId="0" xfId="1" applyFont="1" applyFill="1" applyBorder="1" applyAlignment="1"/>
    <xf numFmtId="171" fontId="30" fillId="0" borderId="0" xfId="1" applyNumberFormat="1" applyFont="1" applyFill="1" applyBorder="1" applyAlignment="1"/>
    <xf numFmtId="10" fontId="30" fillId="0" borderId="54" xfId="6" applyNumberFormat="1" applyFont="1" applyFill="1" applyBorder="1" applyAlignment="1"/>
    <xf numFmtId="0" fontId="30" fillId="0" borderId="51" xfId="1" applyFont="1" applyBorder="1" applyAlignment="1"/>
    <xf numFmtId="0" fontId="30" fillId="0" borderId="0" xfId="1" applyFont="1" applyBorder="1" applyAlignment="1"/>
    <xf numFmtId="10" fontId="30" fillId="0" borderId="0" xfId="1" applyNumberFormat="1" applyFont="1" applyFill="1" applyBorder="1" applyAlignment="1"/>
    <xf numFmtId="0" fontId="30" fillId="0" borderId="53" xfId="1" applyFont="1" applyBorder="1" applyAlignment="1"/>
    <xf numFmtId="0" fontId="30" fillId="0" borderId="54" xfId="1" applyFont="1" applyBorder="1" applyAlignment="1"/>
    <xf numFmtId="169" fontId="30" fillId="0" borderId="48" xfId="1" applyNumberFormat="1" applyFont="1" applyFill="1" applyBorder="1" applyAlignment="1"/>
    <xf numFmtId="0" fontId="30" fillId="0" borderId="0" xfId="1" applyFont="1" applyFill="1" applyBorder="1" applyAlignment="1"/>
    <xf numFmtId="0" fontId="30" fillId="0" borderId="52" xfId="1" applyFont="1" applyFill="1" applyBorder="1" applyAlignment="1"/>
    <xf numFmtId="169" fontId="30" fillId="0" borderId="52" xfId="1" applyNumberFormat="1" applyFont="1" applyFill="1" applyBorder="1" applyAlignment="1"/>
    <xf numFmtId="169" fontId="30" fillId="0" borderId="55" xfId="1" applyNumberFormat="1" applyFont="1" applyFill="1" applyBorder="1" applyAlignment="1"/>
    <xf numFmtId="10" fontId="30" fillId="0" borderId="52" xfId="1" applyNumberFormat="1" applyFont="1" applyFill="1" applyBorder="1" applyAlignment="1"/>
    <xf numFmtId="0" fontId="30" fillId="0" borderId="51" xfId="1" applyFont="1" applyFill="1" applyBorder="1" applyAlignment="1">
      <alignment horizontal="left" vertical="center"/>
    </xf>
    <xf numFmtId="0" fontId="30" fillId="0" borderId="0" xfId="1" applyFont="1" applyFill="1" applyBorder="1" applyAlignment="1">
      <alignment horizontal="left" vertical="center"/>
    </xf>
    <xf numFmtId="0" fontId="30" fillId="0" borderId="52" xfId="1" applyFont="1" applyFill="1" applyBorder="1" applyAlignment="1">
      <alignment horizontal="left" vertical="center"/>
    </xf>
    <xf numFmtId="0" fontId="30" fillId="0" borderId="53" xfId="1" applyFont="1" applyFill="1" applyBorder="1" applyAlignment="1"/>
    <xf numFmtId="0" fontId="30" fillId="0" borderId="55" xfId="1" applyFont="1" applyFill="1" applyBorder="1" applyAlignment="1"/>
    <xf numFmtId="0" fontId="30" fillId="0" borderId="10" xfId="1" applyFont="1" applyBorder="1" applyAlignment="1"/>
    <xf numFmtId="0" fontId="30" fillId="6" borderId="10" xfId="1" applyFont="1" applyFill="1" applyBorder="1" applyAlignment="1">
      <alignment horizontal="left" vertical="top" wrapText="1"/>
    </xf>
    <xf numFmtId="10" fontId="30" fillId="0" borderId="10" xfId="1" applyNumberFormat="1" applyFont="1" applyFill="1" applyBorder="1" applyAlignment="1"/>
    <xf numFmtId="0" fontId="30" fillId="6" borderId="47" xfId="1" applyFont="1" applyFill="1" applyBorder="1" applyAlignment="1">
      <alignment horizontal="left" vertical="top" wrapText="1"/>
    </xf>
    <xf numFmtId="167" fontId="4" fillId="0" borderId="0" xfId="5" applyNumberFormat="1" applyFont="1" applyAlignment="1">
      <alignment horizontal="center"/>
    </xf>
    <xf numFmtId="0" fontId="30" fillId="0" borderId="46" xfId="1" applyFont="1" applyFill="1" applyBorder="1" applyAlignment="1">
      <alignment horizontal="left" vertical="top" wrapText="1"/>
    </xf>
    <xf numFmtId="0" fontId="30" fillId="0" borderId="47" xfId="1" applyFont="1" applyFill="1" applyBorder="1" applyAlignment="1">
      <alignment horizontal="left" vertical="top" wrapText="1"/>
    </xf>
    <xf numFmtId="0" fontId="30" fillId="0" borderId="48" xfId="1" applyFont="1" applyFill="1" applyBorder="1" applyAlignment="1">
      <alignment horizontal="left" vertical="top" wrapText="1"/>
    </xf>
    <xf numFmtId="0" fontId="30" fillId="0" borderId="51" xfId="1" applyFont="1" applyFill="1" applyBorder="1" applyAlignment="1">
      <alignment horizontal="left" vertical="top" wrapText="1"/>
    </xf>
    <xf numFmtId="0" fontId="30" fillId="0" borderId="0" xfId="1" applyFont="1" applyFill="1" applyBorder="1" applyAlignment="1">
      <alignment horizontal="left" vertical="top" wrapText="1"/>
    </xf>
    <xf numFmtId="0" fontId="30" fillId="0" borderId="52" xfId="1" applyFont="1" applyFill="1" applyBorder="1" applyAlignment="1">
      <alignment horizontal="left" vertical="top" wrapText="1"/>
    </xf>
    <xf numFmtId="0" fontId="30" fillId="0" borderId="53" xfId="1" applyFont="1" applyFill="1" applyBorder="1" applyAlignment="1">
      <alignment horizontal="left" vertical="top" wrapText="1"/>
    </xf>
    <xf numFmtId="0" fontId="30" fillId="0" borderId="54" xfId="1" applyFont="1" applyFill="1" applyBorder="1" applyAlignment="1">
      <alignment horizontal="left" vertical="top" wrapText="1"/>
    </xf>
    <xf numFmtId="0" fontId="30" fillId="0" borderId="55" xfId="1" applyFont="1" applyFill="1" applyBorder="1" applyAlignment="1">
      <alignment horizontal="left" vertical="top" wrapText="1"/>
    </xf>
    <xf numFmtId="0" fontId="30" fillId="0" borderId="46" xfId="1" applyFont="1" applyFill="1" applyBorder="1" applyAlignment="1">
      <alignment vertical="top" wrapText="1"/>
    </xf>
    <xf numFmtId="0" fontId="30" fillId="0" borderId="47" xfId="1" applyFont="1" applyFill="1" applyBorder="1" applyAlignment="1">
      <alignment vertical="top" wrapText="1"/>
    </xf>
    <xf numFmtId="0" fontId="30" fillId="0" borderId="48" xfId="1" applyFont="1" applyFill="1" applyBorder="1" applyAlignment="1">
      <alignment vertical="top" wrapText="1"/>
    </xf>
    <xf numFmtId="167" fontId="4" fillId="0" borderId="7" xfId="5" applyNumberFormat="1" applyFont="1" applyFill="1" applyBorder="1" applyAlignment="1">
      <alignment horizontal="right"/>
    </xf>
    <xf numFmtId="167" fontId="4" fillId="4" borderId="7" xfId="5" applyNumberFormat="1" applyFont="1" applyFill="1" applyBorder="1" applyAlignment="1">
      <alignment horizontal="right"/>
    </xf>
    <xf numFmtId="0" fontId="4" fillId="4" borderId="39" xfId="0" applyFont="1" applyFill="1" applyBorder="1" applyAlignment="1">
      <alignment horizontal="center"/>
    </xf>
    <xf numFmtId="167" fontId="4" fillId="4" borderId="37" xfId="5" applyNumberFormat="1" applyFont="1" applyFill="1" applyBorder="1" applyAlignment="1">
      <alignment horizontal="right"/>
    </xf>
    <xf numFmtId="167" fontId="4" fillId="4" borderId="0" xfId="5" applyNumberFormat="1" applyFont="1" applyFill="1" applyBorder="1" applyAlignment="1">
      <alignment horizontal="right"/>
    </xf>
    <xf numFmtId="167" fontId="4" fillId="4" borderId="38" xfId="5" applyNumberFormat="1" applyFont="1" applyFill="1" applyBorder="1" applyAlignment="1">
      <alignment horizontal="right"/>
    </xf>
    <xf numFmtId="167" fontId="22" fillId="0" borderId="14" xfId="5" applyNumberFormat="1" applyFont="1" applyFill="1" applyBorder="1"/>
    <xf numFmtId="0" fontId="22" fillId="0" borderId="4" xfId="1" applyFont="1" applyBorder="1" applyAlignment="1"/>
    <xf numFmtId="0" fontId="22" fillId="0" borderId="5" xfId="1" applyFont="1" applyFill="1" applyBorder="1" applyAlignment="1"/>
    <xf numFmtId="0" fontId="22" fillId="0" borderId="4" xfId="1" applyFont="1" applyFill="1" applyBorder="1" applyAlignment="1"/>
    <xf numFmtId="0" fontId="23" fillId="0" borderId="5" xfId="1" applyFont="1" applyBorder="1" applyAlignment="1">
      <alignment horizontal="center"/>
    </xf>
    <xf numFmtId="0" fontId="22" fillId="0" borderId="2" xfId="1" applyFont="1" applyBorder="1" applyAlignment="1"/>
    <xf numFmtId="165" fontId="22" fillId="0" borderId="14" xfId="4" applyNumberFormat="1" applyFont="1" applyFill="1" applyBorder="1"/>
    <xf numFmtId="165" fontId="22" fillId="0" borderId="3" xfId="4" applyNumberFormat="1" applyFont="1" applyFill="1" applyBorder="1"/>
    <xf numFmtId="165" fontId="22" fillId="0" borderId="3" xfId="4" applyNumberFormat="1" applyFont="1" applyBorder="1" applyAlignment="1"/>
    <xf numFmtId="167" fontId="22" fillId="0" borderId="12" xfId="1" applyNumberFormat="1" applyFont="1" applyFill="1" applyBorder="1"/>
    <xf numFmtId="0" fontId="23" fillId="0" borderId="0" xfId="1" applyFont="1" applyBorder="1" applyAlignment="1">
      <alignment horizontal="center"/>
    </xf>
    <xf numFmtId="0" fontId="23" fillId="0" borderId="15" xfId="1" applyFont="1" applyBorder="1" applyAlignment="1">
      <alignment horizontal="center"/>
    </xf>
    <xf numFmtId="167" fontId="22" fillId="0" borderId="13" xfId="5" applyNumberFormat="1" applyFont="1" applyFill="1" applyBorder="1"/>
    <xf numFmtId="165" fontId="22" fillId="0" borderId="13" xfId="4" applyNumberFormat="1" applyFont="1" applyFill="1" applyBorder="1"/>
    <xf numFmtId="165" fontId="22" fillId="0" borderId="2" xfId="4" applyNumberFormat="1" applyFont="1" applyFill="1" applyBorder="1"/>
    <xf numFmtId="165" fontId="22" fillId="0" borderId="2" xfId="4" applyNumberFormat="1" applyFont="1" applyBorder="1" applyAlignment="1"/>
    <xf numFmtId="165" fontId="22" fillId="0" borderId="20" xfId="4" applyNumberFormat="1" applyFont="1" applyFill="1" applyBorder="1"/>
    <xf numFmtId="167" fontId="22" fillId="0" borderId="14" xfId="1" applyNumberFormat="1" applyFont="1" applyFill="1" applyBorder="1"/>
    <xf numFmtId="165" fontId="22" fillId="0" borderId="3" xfId="4" applyNumberFormat="1" applyFont="1" applyFill="1" applyBorder="1" applyAlignment="1"/>
    <xf numFmtId="0" fontId="22" fillId="0" borderId="7" xfId="1" applyFont="1" applyFill="1" applyBorder="1" applyAlignment="1"/>
    <xf numFmtId="173" fontId="30" fillId="6" borderId="20" xfId="1" applyNumberFormat="1" applyFont="1" applyFill="1" applyBorder="1" applyAlignment="1">
      <alignment horizontal="center"/>
    </xf>
    <xf numFmtId="173" fontId="30" fillId="6" borderId="5" xfId="1" applyNumberFormat="1" applyFont="1" applyFill="1" applyBorder="1" applyAlignment="1">
      <alignment horizontal="center"/>
    </xf>
    <xf numFmtId="173" fontId="30" fillId="6" borderId="21" xfId="1" applyNumberFormat="1" applyFont="1" applyFill="1" applyBorder="1" applyAlignment="1">
      <alignment horizontal="center"/>
    </xf>
    <xf numFmtId="176" fontId="22" fillId="0" borderId="12" xfId="1" applyNumberFormat="1" applyFont="1" applyFill="1" applyBorder="1"/>
    <xf numFmtId="177" fontId="22" fillId="0" borderId="7" xfId="4" applyNumberFormat="1" applyFont="1" applyFill="1" applyBorder="1" applyAlignment="1"/>
    <xf numFmtId="165" fontId="22" fillId="0" borderId="19" xfId="4" applyNumberFormat="1" applyFont="1" applyFill="1" applyBorder="1"/>
    <xf numFmtId="165" fontId="22" fillId="0" borderId="7" xfId="4" applyNumberFormat="1" applyFont="1" applyFill="1" applyBorder="1"/>
    <xf numFmtId="165" fontId="22" fillId="0" borderId="5" xfId="4" applyNumberFormat="1" applyFont="1" applyFill="1" applyBorder="1"/>
    <xf numFmtId="165" fontId="22" fillId="0" borderId="5" xfId="4" applyNumberFormat="1" applyFont="1" applyBorder="1" applyAlignment="1"/>
    <xf numFmtId="0" fontId="0" fillId="0" borderId="1" xfId="0" applyBorder="1" applyAlignment="1">
      <alignment horizontal="center"/>
    </xf>
    <xf numFmtId="0" fontId="13" fillId="0" borderId="17" xfId="0" applyFont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26" xfId="0" applyBorder="1"/>
    <xf numFmtId="0" fontId="2" fillId="0" borderId="37" xfId="0" applyFont="1" applyBorder="1"/>
    <xf numFmtId="0" fontId="0" fillId="0" borderId="0" xfId="0" applyBorder="1" applyAlignment="1">
      <alignment horizontal="center"/>
    </xf>
    <xf numFmtId="0" fontId="0" fillId="0" borderId="38" xfId="0" applyBorder="1"/>
    <xf numFmtId="0" fontId="2" fillId="0" borderId="0" xfId="0" applyFont="1" applyBorder="1" applyAlignment="1">
      <alignment horizontal="center"/>
    </xf>
    <xf numFmtId="165" fontId="0" fillId="0" borderId="0" xfId="4" applyNumberFormat="1" applyFont="1" applyBorder="1"/>
    <xf numFmtId="166" fontId="0" fillId="0" borderId="0" xfId="0" applyNumberFormat="1" applyBorder="1"/>
    <xf numFmtId="0" fontId="0" fillId="0" borderId="37" xfId="0" applyBorder="1"/>
    <xf numFmtId="165" fontId="2" fillId="0" borderId="0" xfId="4" applyNumberFormat="1" applyFont="1" applyBorder="1"/>
    <xf numFmtId="0" fontId="0" fillId="0" borderId="27" xfId="0" applyBorder="1"/>
    <xf numFmtId="0" fontId="0" fillId="0" borderId="18" xfId="0" applyBorder="1"/>
    <xf numFmtId="0" fontId="0" fillId="0" borderId="17" xfId="0" applyBorder="1"/>
    <xf numFmtId="0" fontId="13" fillId="0" borderId="37" xfId="0" applyFont="1" applyBorder="1"/>
    <xf numFmtId="178" fontId="22" fillId="0" borderId="3" xfId="1" applyNumberFormat="1" applyFont="1" applyBorder="1" applyAlignment="1">
      <alignment horizontal="center"/>
    </xf>
    <xf numFmtId="180" fontId="22" fillId="0" borderId="3" xfId="4" applyNumberFormat="1" applyFont="1" applyBorder="1" applyAlignment="1">
      <alignment horizontal="center"/>
    </xf>
    <xf numFmtId="180" fontId="22" fillId="0" borderId="3" xfId="1" applyNumberFormat="1" applyFont="1" applyBorder="1" applyAlignment="1">
      <alignment horizontal="center"/>
    </xf>
    <xf numFmtId="180" fontId="22" fillId="0" borderId="21" xfId="1" applyNumberFormat="1" applyFont="1" applyBorder="1" applyAlignment="1">
      <alignment horizontal="center"/>
    </xf>
    <xf numFmtId="180" fontId="23" fillId="0" borderId="1" xfId="1" applyNumberFormat="1" applyFont="1" applyBorder="1" applyAlignment="1">
      <alignment horizontal="center"/>
    </xf>
    <xf numFmtId="165" fontId="23" fillId="0" borderId="12" xfId="4" applyNumberFormat="1" applyFont="1" applyFill="1" applyBorder="1"/>
    <xf numFmtId="165" fontId="22" fillId="0" borderId="3" xfId="1" applyNumberFormat="1" applyFont="1" applyBorder="1" applyAlignment="1"/>
    <xf numFmtId="165" fontId="4" fillId="0" borderId="2" xfId="4" applyNumberFormat="1" applyFont="1" applyFill="1" applyBorder="1" applyAlignment="1">
      <alignment horizontal="right"/>
    </xf>
    <xf numFmtId="167" fontId="22" fillId="0" borderId="55" xfId="5" applyNumberFormat="1" applyFont="1" applyFill="1" applyBorder="1"/>
    <xf numFmtId="1" fontId="4" fillId="0" borderId="8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>
      <alignment horizontal="right"/>
    </xf>
    <xf numFmtId="0" fontId="4" fillId="0" borderId="51" xfId="0" applyFont="1" applyBorder="1"/>
    <xf numFmtId="0" fontId="4" fillId="0" borderId="53" xfId="0" applyFont="1" applyBorder="1"/>
    <xf numFmtId="0" fontId="4" fillId="0" borderId="54" xfId="0" applyFont="1" applyBorder="1" applyAlignment="1">
      <alignment horizontal="center"/>
    </xf>
    <xf numFmtId="0" fontId="4" fillId="0" borderId="56" xfId="0" applyFont="1" applyBorder="1"/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165" fontId="4" fillId="0" borderId="52" xfId="4" applyNumberFormat="1" applyFont="1" applyBorder="1" applyAlignment="1">
      <alignment horizontal="center"/>
    </xf>
    <xf numFmtId="165" fontId="4" fillId="0" borderId="52" xfId="4" applyNumberFormat="1" applyFont="1" applyBorder="1" applyAlignment="1"/>
    <xf numFmtId="165" fontId="4" fillId="0" borderId="55" xfId="4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 applyAlignment="1">
      <alignment horizontal="center"/>
    </xf>
    <xf numFmtId="9" fontId="4" fillId="0" borderId="52" xfId="6" applyFont="1" applyBorder="1" applyAlignment="1">
      <alignment horizontal="right"/>
    </xf>
    <xf numFmtId="9" fontId="4" fillId="0" borderId="55" xfId="6" applyFont="1" applyBorder="1" applyAlignment="1">
      <alignment horizontal="right"/>
    </xf>
    <xf numFmtId="43" fontId="4" fillId="0" borderId="0" xfId="4" applyFont="1" applyBorder="1" applyAlignment="1">
      <alignment horizontal="center"/>
    </xf>
    <xf numFmtId="165" fontId="4" fillId="0" borderId="48" xfId="4" applyNumberFormat="1" applyFont="1" applyBorder="1" applyAlignment="1">
      <alignment horizontal="center"/>
    </xf>
    <xf numFmtId="43" fontId="4" fillId="0" borderId="54" xfId="4" applyFont="1" applyBorder="1" applyAlignment="1">
      <alignment horizontal="center"/>
    </xf>
    <xf numFmtId="165" fontId="4" fillId="0" borderId="3" xfId="0" applyNumberFormat="1" applyFont="1" applyBorder="1"/>
    <xf numFmtId="44" fontId="4" fillId="0" borderId="3" xfId="5" applyFont="1" applyBorder="1"/>
    <xf numFmtId="167" fontId="4" fillId="0" borderId="3" xfId="5" applyNumberFormat="1" applyFont="1" applyBorder="1"/>
    <xf numFmtId="44" fontId="4" fillId="0" borderId="3" xfId="5" applyNumberFormat="1" applyFont="1" applyBorder="1"/>
    <xf numFmtId="2" fontId="4" fillId="0" borderId="3" xfId="0" applyNumberFormat="1" applyFont="1" applyBorder="1"/>
    <xf numFmtId="0" fontId="4" fillId="0" borderId="5" xfId="0" applyFont="1" applyBorder="1"/>
    <xf numFmtId="167" fontId="4" fillId="0" borderId="5" xfId="5" applyNumberFormat="1" applyFont="1" applyBorder="1"/>
    <xf numFmtId="173" fontId="4" fillId="0" borderId="5" xfId="4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" fontId="4" fillId="0" borderId="25" xfId="0" applyNumberFormat="1" applyFont="1" applyFill="1" applyBorder="1" applyAlignment="1">
      <alignment horizontal="right"/>
    </xf>
    <xf numFmtId="181" fontId="22" fillId="0" borderId="3" xfId="4" applyNumberFormat="1" applyFont="1" applyBorder="1" applyAlignment="1">
      <alignment horizontal="center"/>
    </xf>
    <xf numFmtId="44" fontId="4" fillId="0" borderId="3" xfId="0" applyNumberFormat="1" applyFont="1" applyBorder="1" applyAlignment="1">
      <alignment horizontal="center"/>
    </xf>
    <xf numFmtId="167" fontId="4" fillId="0" borderId="1" xfId="5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5" fontId="4" fillId="0" borderId="3" xfId="4" applyNumberFormat="1" applyFont="1" applyBorder="1"/>
    <xf numFmtId="167" fontId="4" fillId="0" borderId="5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167" fontId="4" fillId="0" borderId="41" xfId="5" applyNumberFormat="1" applyFont="1" applyFill="1" applyBorder="1" applyAlignment="1">
      <alignment horizontal="right"/>
    </xf>
    <xf numFmtId="165" fontId="4" fillId="0" borderId="0" xfId="4" applyNumberFormat="1" applyFont="1" applyBorder="1" applyAlignment="1">
      <alignment horizontal="center"/>
    </xf>
    <xf numFmtId="173" fontId="4" fillId="0" borderId="3" xfId="4" applyNumberFormat="1" applyFont="1" applyBorder="1"/>
    <xf numFmtId="176" fontId="4" fillId="0" borderId="5" xfId="0" applyNumberFormat="1" applyFont="1" applyBorder="1" applyAlignment="1">
      <alignment horizontal="center"/>
    </xf>
    <xf numFmtId="177" fontId="4" fillId="0" borderId="3" xfId="4" applyNumberFormat="1" applyFont="1" applyBorder="1"/>
    <xf numFmtId="176" fontId="4" fillId="0" borderId="2" xfId="0" applyNumberFormat="1" applyFont="1" applyBorder="1" applyAlignment="1">
      <alignment horizontal="center"/>
    </xf>
    <xf numFmtId="176" fontId="4" fillId="0" borderId="5" xfId="5" applyNumberFormat="1" applyFont="1" applyFill="1" applyBorder="1" applyAlignment="1">
      <alignment horizontal="center" wrapText="1"/>
    </xf>
    <xf numFmtId="165" fontId="22" fillId="0" borderId="0" xfId="4" applyNumberFormat="1" applyFont="1" applyBorder="1"/>
    <xf numFmtId="167" fontId="23" fillId="0" borderId="0" xfId="5" applyNumberFormat="1" applyFont="1" applyBorder="1"/>
    <xf numFmtId="44" fontId="0" fillId="0" borderId="0" xfId="0" applyNumberFormat="1"/>
    <xf numFmtId="0" fontId="22" fillId="0" borderId="37" xfId="1" applyFont="1" applyFill="1" applyBorder="1"/>
    <xf numFmtId="0" fontId="30" fillId="0" borderId="47" xfId="1" applyFont="1" applyFill="1" applyBorder="1" applyAlignment="1">
      <alignment horizontal="left" vertical="center" wrapText="1"/>
    </xf>
    <xf numFmtId="0" fontId="30" fillId="0" borderId="48" xfId="1" applyFont="1" applyFill="1" applyBorder="1" applyAlignment="1">
      <alignment horizontal="left" vertical="center" wrapText="1"/>
    </xf>
    <xf numFmtId="0" fontId="30" fillId="0" borderId="51" xfId="1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horizontal="left" vertical="center" wrapText="1"/>
    </xf>
    <xf numFmtId="0" fontId="30" fillId="0" borderId="52" xfId="1" applyFont="1" applyFill="1" applyBorder="1" applyAlignment="1">
      <alignment horizontal="left" vertical="center" wrapText="1"/>
    </xf>
    <xf numFmtId="0" fontId="30" fillId="0" borderId="53" xfId="1" applyFont="1" applyFill="1" applyBorder="1" applyAlignment="1">
      <alignment horizontal="left" vertical="center" wrapText="1"/>
    </xf>
    <xf numFmtId="0" fontId="30" fillId="0" borderId="54" xfId="1" applyFont="1" applyFill="1" applyBorder="1" applyAlignment="1">
      <alignment horizontal="left" vertical="center" wrapText="1"/>
    </xf>
    <xf numFmtId="0" fontId="30" fillId="0" borderId="55" xfId="1" applyFont="1" applyFill="1" applyBorder="1" applyAlignment="1">
      <alignment horizontal="left" vertical="center" wrapText="1"/>
    </xf>
    <xf numFmtId="0" fontId="30" fillId="6" borderId="0" xfId="1" applyFont="1" applyFill="1"/>
    <xf numFmtId="0" fontId="31" fillId="6" borderId="56" xfId="1" applyFont="1" applyFill="1" applyBorder="1" applyAlignment="1">
      <alignment horizontal="left" vertical="center"/>
    </xf>
    <xf numFmtId="0" fontId="31" fillId="6" borderId="58" xfId="1" applyFont="1" applyFill="1" applyBorder="1" applyAlignment="1">
      <alignment horizontal="center" vertical="center"/>
    </xf>
    <xf numFmtId="0" fontId="29" fillId="5" borderId="46" xfId="1" applyFont="1" applyFill="1" applyBorder="1" applyAlignment="1">
      <alignment horizontal="centerContinuous"/>
    </xf>
    <xf numFmtId="0" fontId="33" fillId="5" borderId="47" xfId="1" applyFont="1" applyFill="1" applyBorder="1" applyAlignment="1">
      <alignment horizontal="centerContinuous"/>
    </xf>
    <xf numFmtId="0" fontId="33" fillId="5" borderId="48" xfId="1" applyFont="1" applyFill="1" applyBorder="1" applyAlignment="1">
      <alignment horizontal="centerContinuous"/>
    </xf>
    <xf numFmtId="0" fontId="29" fillId="5" borderId="53" xfId="1" applyFont="1" applyFill="1" applyBorder="1" applyAlignment="1">
      <alignment horizontal="centerContinuous"/>
    </xf>
    <xf numFmtId="164" fontId="33" fillId="5" borderId="54" xfId="1" applyNumberFormat="1" applyFont="1" applyFill="1" applyBorder="1" applyAlignment="1">
      <alignment horizontal="centerContinuous"/>
    </xf>
    <xf numFmtId="0" fontId="33" fillId="5" borderId="54" xfId="1" applyFont="1" applyFill="1" applyBorder="1" applyAlignment="1">
      <alignment horizontal="centerContinuous"/>
    </xf>
    <xf numFmtId="0" fontId="33" fillId="5" borderId="55" xfId="1" applyFont="1" applyFill="1" applyBorder="1" applyAlignment="1">
      <alignment horizontal="centerContinuous"/>
    </xf>
    <xf numFmtId="0" fontId="30" fillId="6" borderId="46" xfId="1" applyFont="1" applyFill="1" applyBorder="1"/>
    <xf numFmtId="0" fontId="31" fillId="6" borderId="56" xfId="1" applyFont="1" applyFill="1" applyBorder="1" applyAlignment="1">
      <alignment horizontal="center"/>
    </xf>
    <xf numFmtId="0" fontId="31" fillId="6" borderId="56" xfId="1" applyFont="1" applyFill="1" applyBorder="1" applyAlignment="1">
      <alignment horizontal="centerContinuous"/>
    </xf>
    <xf numFmtId="0" fontId="30" fillId="6" borderId="57" xfId="1" applyFont="1" applyFill="1" applyBorder="1" applyAlignment="1">
      <alignment horizontal="centerContinuous"/>
    </xf>
    <xf numFmtId="0" fontId="30" fillId="6" borderId="58" xfId="1" applyFont="1" applyFill="1" applyBorder="1" applyAlignment="1">
      <alignment horizontal="centerContinuous"/>
    </xf>
    <xf numFmtId="0" fontId="31" fillId="6" borderId="57" xfId="1" applyFont="1" applyFill="1" applyBorder="1" applyAlignment="1">
      <alignment horizontal="centerContinuous"/>
    </xf>
    <xf numFmtId="0" fontId="30" fillId="6" borderId="59" xfId="1" applyFont="1" applyFill="1" applyBorder="1"/>
    <xf numFmtId="0" fontId="30" fillId="6" borderId="51" xfId="1" applyFont="1" applyFill="1" applyBorder="1"/>
    <xf numFmtId="0" fontId="31" fillId="6" borderId="53" xfId="1" applyFont="1" applyFill="1" applyBorder="1" applyAlignment="1">
      <alignment horizontal="center"/>
    </xf>
    <xf numFmtId="0" fontId="31" fillId="6" borderId="55" xfId="1" applyFont="1" applyFill="1" applyBorder="1" applyAlignment="1">
      <alignment horizontal="center"/>
    </xf>
    <xf numFmtId="0" fontId="30" fillId="6" borderId="60" xfId="1" applyFont="1" applyFill="1" applyBorder="1"/>
    <xf numFmtId="0" fontId="30" fillId="6" borderId="53" xfId="1" applyFont="1" applyFill="1" applyBorder="1"/>
    <xf numFmtId="0" fontId="31" fillId="6" borderId="61" xfId="1" applyFont="1" applyFill="1" applyBorder="1" applyAlignment="1">
      <alignment horizontal="center"/>
    </xf>
    <xf numFmtId="172" fontId="30" fillId="6" borderId="51" xfId="1" applyNumberFormat="1" applyFont="1" applyFill="1" applyBorder="1"/>
    <xf numFmtId="172" fontId="30" fillId="6" borderId="0" xfId="1" applyNumberFormat="1" applyFont="1" applyFill="1" applyBorder="1"/>
    <xf numFmtId="172" fontId="30" fillId="6" borderId="52" xfId="1" applyNumberFormat="1" applyFont="1" applyFill="1" applyBorder="1"/>
    <xf numFmtId="172" fontId="30" fillId="6" borderId="60" xfId="1" applyNumberFormat="1" applyFont="1" applyFill="1" applyBorder="1"/>
    <xf numFmtId="173" fontId="30" fillId="6" borderId="51" xfId="1" applyNumberFormat="1" applyFont="1" applyFill="1" applyBorder="1"/>
    <xf numFmtId="173" fontId="30" fillId="6" borderId="0" xfId="1" applyNumberFormat="1" applyFont="1" applyFill="1" applyBorder="1"/>
    <xf numFmtId="173" fontId="30" fillId="6" borderId="52" xfId="1" applyNumberFormat="1" applyFont="1" applyFill="1" applyBorder="1"/>
    <xf numFmtId="173" fontId="30" fillId="6" borderId="60" xfId="1" applyNumberFormat="1" applyFont="1" applyFill="1" applyBorder="1"/>
    <xf numFmtId="0" fontId="30" fillId="6" borderId="49" xfId="1" applyFont="1" applyFill="1" applyBorder="1"/>
    <xf numFmtId="173" fontId="30" fillId="6" borderId="49" xfId="1" applyNumberFormat="1" applyFont="1" applyFill="1" applyBorder="1"/>
    <xf numFmtId="173" fontId="30" fillId="6" borderId="1" xfId="1" applyNumberFormat="1" applyFont="1" applyFill="1" applyBorder="1"/>
    <xf numFmtId="173" fontId="30" fillId="6" borderId="50" xfId="1" applyNumberFormat="1" applyFont="1" applyFill="1" applyBorder="1"/>
    <xf numFmtId="173" fontId="30" fillId="6" borderId="62" xfId="1" applyNumberFormat="1" applyFont="1" applyFill="1" applyBorder="1"/>
    <xf numFmtId="0" fontId="31" fillId="6" borderId="53" xfId="1" applyFont="1" applyFill="1" applyBorder="1"/>
    <xf numFmtId="172" fontId="31" fillId="6" borderId="56" xfId="1" applyNumberFormat="1" applyFont="1" applyFill="1" applyBorder="1"/>
    <xf numFmtId="172" fontId="31" fillId="6" borderId="53" xfId="1" applyNumberFormat="1" applyFont="1" applyFill="1" applyBorder="1"/>
    <xf numFmtId="172" fontId="31" fillId="6" borderId="54" xfId="1" applyNumberFormat="1" applyFont="1" applyFill="1" applyBorder="1"/>
    <xf numFmtId="172" fontId="31" fillId="6" borderId="55" xfId="1" applyNumberFormat="1" applyFont="1" applyFill="1" applyBorder="1"/>
    <xf numFmtId="172" fontId="31" fillId="6" borderId="61" xfId="1" applyNumberFormat="1" applyFont="1" applyFill="1" applyBorder="1"/>
    <xf numFmtId="164" fontId="30" fillId="6" borderId="46" xfId="1" applyNumberFormat="1" applyFont="1" applyFill="1" applyBorder="1"/>
    <xf numFmtId="164" fontId="30" fillId="6" borderId="47" xfId="1" applyNumberFormat="1" applyFont="1" applyFill="1" applyBorder="1"/>
    <xf numFmtId="164" fontId="30" fillId="6" borderId="48" xfId="1" applyNumberFormat="1" applyFont="1" applyFill="1" applyBorder="1"/>
    <xf numFmtId="164" fontId="30" fillId="6" borderId="59" xfId="1" applyNumberFormat="1" applyFont="1" applyFill="1" applyBorder="1"/>
    <xf numFmtId="0" fontId="34" fillId="6" borderId="51" xfId="1" applyFont="1" applyFill="1" applyBorder="1"/>
    <xf numFmtId="164" fontId="30" fillId="6" borderId="51" xfId="1" applyNumberFormat="1" applyFont="1" applyFill="1" applyBorder="1"/>
    <xf numFmtId="164" fontId="30" fillId="6" borderId="0" xfId="1" applyNumberFormat="1" applyFont="1" applyFill="1" applyBorder="1"/>
    <xf numFmtId="164" fontId="30" fillId="6" borderId="52" xfId="1" applyNumberFormat="1" applyFont="1" applyFill="1" applyBorder="1"/>
    <xf numFmtId="164" fontId="30" fillId="6" borderId="60" xfId="1" applyNumberFormat="1" applyFont="1" applyFill="1" applyBorder="1"/>
    <xf numFmtId="164" fontId="30" fillId="6" borderId="0" xfId="1" applyNumberFormat="1" applyFont="1" applyFill="1"/>
    <xf numFmtId="169" fontId="30" fillId="6" borderId="0" xfId="1" applyNumberFormat="1" applyFont="1" applyFill="1"/>
    <xf numFmtId="173" fontId="30" fillId="6" borderId="53" xfId="1" applyNumberFormat="1" applyFont="1" applyFill="1" applyBorder="1"/>
    <xf numFmtId="173" fontId="30" fillId="6" borderId="54" xfId="1" applyNumberFormat="1" applyFont="1" applyFill="1" applyBorder="1"/>
    <xf numFmtId="173" fontId="30" fillId="6" borderId="55" xfId="1" applyNumberFormat="1" applyFont="1" applyFill="1" applyBorder="1"/>
    <xf numFmtId="164" fontId="30" fillId="6" borderId="61" xfId="1" applyNumberFormat="1" applyFont="1" applyFill="1" applyBorder="1"/>
    <xf numFmtId="0" fontId="30" fillId="6" borderId="0" xfId="1" applyFont="1" applyFill="1" applyBorder="1"/>
    <xf numFmtId="0" fontId="31" fillId="6" borderId="0" xfId="1" applyFont="1" applyFill="1" applyBorder="1"/>
    <xf numFmtId="172" fontId="31" fillId="6" borderId="51" xfId="1" applyNumberFormat="1" applyFont="1" applyFill="1" applyBorder="1"/>
    <xf numFmtId="172" fontId="31" fillId="6" borderId="0" xfId="1" applyNumberFormat="1" applyFont="1" applyFill="1" applyBorder="1"/>
    <xf numFmtId="172" fontId="31" fillId="6" borderId="60" xfId="1" applyNumberFormat="1" applyFont="1" applyFill="1" applyBorder="1"/>
    <xf numFmtId="0" fontId="31" fillId="6" borderId="46" xfId="1" applyFont="1" applyFill="1" applyBorder="1"/>
    <xf numFmtId="172" fontId="31" fillId="6" borderId="46" xfId="1" applyNumberFormat="1" applyFont="1" applyFill="1" applyBorder="1"/>
    <xf numFmtId="172" fontId="31" fillId="6" borderId="47" xfId="1" applyNumberFormat="1" applyFont="1" applyFill="1" applyBorder="1"/>
    <xf numFmtId="172" fontId="31" fillId="6" borderId="48" xfId="1" applyNumberFormat="1" applyFont="1" applyFill="1" applyBorder="1"/>
    <xf numFmtId="172" fontId="31" fillId="6" borderId="59" xfId="1" applyNumberFormat="1" applyFont="1" applyFill="1" applyBorder="1"/>
    <xf numFmtId="0" fontId="31" fillId="6" borderId="51" xfId="1" applyFont="1" applyFill="1" applyBorder="1"/>
    <xf numFmtId="0" fontId="31" fillId="6" borderId="56" xfId="1" applyFont="1" applyFill="1" applyBorder="1"/>
    <xf numFmtId="10" fontId="31" fillId="6" borderId="45" xfId="1" applyNumberFormat="1" applyFont="1" applyFill="1" applyBorder="1" applyAlignment="1">
      <alignment horizontal="center"/>
    </xf>
    <xf numFmtId="173" fontId="30" fillId="6" borderId="56" xfId="1" applyNumberFormat="1" applyFont="1" applyFill="1" applyBorder="1"/>
    <xf numFmtId="173" fontId="30" fillId="6" borderId="57" xfId="1" applyNumberFormat="1" applyFont="1" applyFill="1" applyBorder="1"/>
    <xf numFmtId="173" fontId="30" fillId="6" borderId="58" xfId="1" applyNumberFormat="1" applyFont="1" applyFill="1" applyBorder="1"/>
    <xf numFmtId="172" fontId="31" fillId="6" borderId="45" xfId="1" applyNumberFormat="1" applyFont="1" applyFill="1" applyBorder="1"/>
    <xf numFmtId="164" fontId="29" fillId="5" borderId="58" xfId="1" applyNumberFormat="1" applyFont="1" applyFill="1" applyBorder="1" applyAlignment="1">
      <alignment horizontal="left"/>
    </xf>
    <xf numFmtId="10" fontId="30" fillId="6" borderId="48" xfId="1" applyNumberFormat="1" applyFont="1" applyFill="1" applyBorder="1" applyAlignment="1">
      <alignment horizontal="centerContinuous"/>
    </xf>
    <xf numFmtId="174" fontId="30" fillId="6" borderId="0" xfId="1" applyNumberFormat="1" applyFont="1" applyFill="1" applyBorder="1"/>
    <xf numFmtId="10" fontId="30" fillId="6" borderId="55" xfId="1" applyNumberFormat="1" applyFont="1" applyFill="1" applyBorder="1" applyAlignment="1">
      <alignment horizontal="centerContinuous"/>
    </xf>
    <xf numFmtId="10" fontId="30" fillId="6" borderId="0" xfId="1" applyNumberFormat="1" applyFont="1" applyFill="1" applyBorder="1"/>
    <xf numFmtId="168" fontId="30" fillId="6" borderId="0" xfId="1" applyNumberFormat="1" applyFont="1" applyFill="1"/>
    <xf numFmtId="172" fontId="30" fillId="6" borderId="46" xfId="1" applyNumberFormat="1" applyFont="1" applyFill="1" applyBorder="1"/>
    <xf numFmtId="172" fontId="30" fillId="6" borderId="47" xfId="1" applyNumberFormat="1" applyFont="1" applyFill="1" applyBorder="1"/>
    <xf numFmtId="172" fontId="30" fillId="6" borderId="48" xfId="1" applyNumberFormat="1" applyFont="1" applyFill="1" applyBorder="1"/>
    <xf numFmtId="172" fontId="30" fillId="6" borderId="59" xfId="1" applyNumberFormat="1" applyFont="1" applyFill="1" applyBorder="1"/>
    <xf numFmtId="173" fontId="30" fillId="6" borderId="61" xfId="1" applyNumberFormat="1" applyFont="1" applyFill="1" applyBorder="1"/>
    <xf numFmtId="177" fontId="22" fillId="0" borderId="12" xfId="4" applyNumberFormat="1" applyFont="1" applyFill="1" applyBorder="1"/>
    <xf numFmtId="173" fontId="22" fillId="0" borderId="12" xfId="4" applyNumberFormat="1" applyFont="1" applyFill="1" applyBorder="1"/>
    <xf numFmtId="167" fontId="4" fillId="0" borderId="5" xfId="5" applyNumberFormat="1" applyFont="1" applyFill="1" applyBorder="1"/>
    <xf numFmtId="167" fontId="4" fillId="0" borderId="1" xfId="5" applyNumberFormat="1" applyFont="1" applyFill="1" applyBorder="1"/>
    <xf numFmtId="167" fontId="4" fillId="0" borderId="3" xfId="5" applyNumberFormat="1" applyFont="1" applyFill="1" applyBorder="1"/>
    <xf numFmtId="0" fontId="22" fillId="0" borderId="10" xfId="1" applyFont="1" applyFill="1" applyBorder="1"/>
    <xf numFmtId="0" fontId="23" fillId="0" borderId="0" xfId="1" applyFont="1" applyFill="1" applyBorder="1"/>
    <xf numFmtId="167" fontId="22" fillId="0" borderId="0" xfId="5" applyNumberFormat="1" applyFont="1" applyFill="1" applyBorder="1"/>
    <xf numFmtId="0" fontId="22" fillId="0" borderId="46" xfId="1" applyFont="1" applyFill="1" applyBorder="1"/>
    <xf numFmtId="0" fontId="22" fillId="0" borderId="53" xfId="1" applyFont="1" applyFill="1" applyBorder="1"/>
    <xf numFmtId="167" fontId="0" fillId="0" borderId="0" xfId="0" applyNumberFormat="1"/>
    <xf numFmtId="0" fontId="30" fillId="0" borderId="46" xfId="1" applyFont="1" applyFill="1" applyBorder="1" applyAlignment="1">
      <alignment horizontal="left" vertical="center"/>
    </xf>
    <xf numFmtId="0" fontId="30" fillId="0" borderId="46" xfId="1" applyFont="1" applyFill="1" applyBorder="1" applyAlignment="1">
      <alignment horizontal="left" vertical="top"/>
    </xf>
    <xf numFmtId="43" fontId="10" fillId="0" borderId="0" xfId="3" applyNumberFormat="1" applyFont="1"/>
    <xf numFmtId="165" fontId="4" fillId="0" borderId="0" xfId="4" applyNumberFormat="1" applyFont="1"/>
    <xf numFmtId="169" fontId="30" fillId="0" borderId="58" xfId="1" applyNumberFormat="1" applyFont="1" applyFill="1" applyBorder="1" applyAlignment="1">
      <alignment horizontal="right"/>
    </xf>
    <xf numFmtId="170" fontId="30" fillId="0" borderId="58" xfId="1" applyNumberFormat="1" applyFont="1" applyFill="1" applyBorder="1" applyAlignment="1"/>
    <xf numFmtId="10" fontId="30" fillId="0" borderId="54" xfId="1" applyNumberFormat="1" applyFont="1" applyFill="1" applyBorder="1" applyAlignment="1"/>
    <xf numFmtId="172" fontId="35" fillId="0" borderId="37" xfId="5" applyNumberFormat="1" applyFont="1" applyFill="1" applyBorder="1" applyAlignment="1">
      <alignment horizontal="right" wrapText="1"/>
    </xf>
    <xf numFmtId="172" fontId="35" fillId="0" borderId="0" xfId="5" applyNumberFormat="1" applyFont="1" applyFill="1" applyBorder="1" applyAlignment="1">
      <alignment horizontal="right" wrapText="1"/>
    </xf>
    <xf numFmtId="172" fontId="35" fillId="0" borderId="38" xfId="5" applyNumberFormat="1" applyFont="1" applyFill="1" applyBorder="1" applyAlignment="1">
      <alignment horizontal="right" wrapText="1"/>
    </xf>
    <xf numFmtId="172" fontId="4" fillId="0" borderId="27" xfId="5" applyNumberFormat="1" applyFont="1" applyFill="1" applyBorder="1" applyAlignment="1">
      <alignment horizontal="right"/>
    </xf>
    <xf numFmtId="172" fontId="4" fillId="0" borderId="1" xfId="5" applyNumberFormat="1" applyFont="1" applyFill="1" applyBorder="1" applyAlignment="1">
      <alignment horizontal="right"/>
    </xf>
    <xf numFmtId="172" fontId="4" fillId="0" borderId="18" xfId="5" applyNumberFormat="1" applyFont="1" applyFill="1" applyBorder="1" applyAlignment="1">
      <alignment horizontal="right"/>
    </xf>
    <xf numFmtId="175" fontId="4" fillId="0" borderId="38" xfId="5" applyNumberFormat="1" applyFont="1" applyFill="1" applyBorder="1" applyAlignment="1">
      <alignment horizontal="right"/>
    </xf>
    <xf numFmtId="172" fontId="4" fillId="0" borderId="27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44" fontId="4" fillId="0" borderId="32" xfId="5" applyFont="1" applyFill="1" applyBorder="1" applyAlignment="1">
      <alignment horizontal="center"/>
    </xf>
    <xf numFmtId="9" fontId="5" fillId="0" borderId="32" xfId="6" applyNumberFormat="1" applyFont="1" applyFill="1" applyBorder="1" applyAlignment="1">
      <alignment horizontal="center"/>
    </xf>
    <xf numFmtId="173" fontId="30" fillId="0" borderId="51" xfId="1" applyNumberFormat="1" applyFont="1" applyFill="1" applyBorder="1"/>
    <xf numFmtId="172" fontId="30" fillId="0" borderId="51" xfId="1" applyNumberFormat="1" applyFont="1" applyFill="1" applyBorder="1"/>
    <xf numFmtId="167" fontId="4" fillId="0" borderId="0" xfId="0" applyNumberFormat="1" applyFont="1" applyBorder="1" applyAlignment="1">
      <alignment horizontal="center"/>
    </xf>
    <xf numFmtId="0" fontId="22" fillId="0" borderId="7" xfId="1" applyFont="1" applyFill="1" applyBorder="1" applyAlignment="1">
      <alignment horizontal="right"/>
    </xf>
    <xf numFmtId="0" fontId="23" fillId="3" borderId="8" xfId="1" applyFont="1" applyFill="1" applyBorder="1"/>
    <xf numFmtId="0" fontId="23" fillId="3" borderId="6" xfId="1" applyFont="1" applyFill="1" applyBorder="1"/>
    <xf numFmtId="0" fontId="23" fillId="3" borderId="6" xfId="1" applyFont="1" applyFill="1" applyBorder="1" applyAlignment="1">
      <alignment horizontal="center"/>
    </xf>
    <xf numFmtId="0" fontId="22" fillId="3" borderId="6" xfId="1" applyFont="1" applyFill="1" applyBorder="1"/>
    <xf numFmtId="0" fontId="22" fillId="3" borderId="6" xfId="1" applyFont="1" applyFill="1" applyBorder="1" applyAlignment="1"/>
    <xf numFmtId="0" fontId="22" fillId="3" borderId="9" xfId="1" applyFont="1" applyFill="1" applyBorder="1" applyAlignment="1"/>
    <xf numFmtId="0" fontId="23" fillId="3" borderId="8" xfId="1" applyFont="1" applyFill="1" applyBorder="1" applyAlignment="1">
      <alignment horizontal="left"/>
    </xf>
    <xf numFmtId="0" fontId="23" fillId="3" borderId="6" xfId="1" applyFont="1" applyFill="1" applyBorder="1" applyAlignment="1">
      <alignment horizontal="left"/>
    </xf>
    <xf numFmtId="0" fontId="22" fillId="3" borderId="6" xfId="1" applyFont="1" applyFill="1" applyBorder="1" applyAlignment="1">
      <alignment horizontal="center"/>
    </xf>
    <xf numFmtId="0" fontId="22" fillId="3" borderId="16" xfId="1" applyFont="1" applyFill="1" applyBorder="1"/>
    <xf numFmtId="0" fontId="23" fillId="3" borderId="0" xfId="1" applyFont="1" applyFill="1" applyBorder="1" applyAlignment="1">
      <alignment horizontal="left"/>
    </xf>
    <xf numFmtId="0" fontId="22" fillId="3" borderId="0" xfId="1" applyFont="1" applyFill="1" applyBorder="1" applyAlignment="1">
      <alignment horizontal="center"/>
    </xf>
    <xf numFmtId="0" fontId="22" fillId="3" borderId="15" xfId="1" applyFont="1" applyFill="1" applyBorder="1"/>
    <xf numFmtId="0" fontId="22" fillId="3" borderId="0" xfId="1" applyFont="1" applyFill="1" applyBorder="1"/>
    <xf numFmtId="0" fontId="22" fillId="3" borderId="2" xfId="1" applyFont="1" applyFill="1" applyBorder="1" applyAlignment="1"/>
    <xf numFmtId="0" fontId="22" fillId="0" borderId="19" xfId="1" applyFont="1" applyBorder="1" applyAlignment="1">
      <alignment horizontal="right"/>
    </xf>
    <xf numFmtId="0" fontId="22" fillId="0" borderId="65" xfId="1" applyFont="1" applyFill="1" applyBorder="1"/>
    <xf numFmtId="0" fontId="22" fillId="0" borderId="64" xfId="1" applyFont="1" applyBorder="1" applyAlignment="1">
      <alignment horizontal="center"/>
    </xf>
    <xf numFmtId="165" fontId="22" fillId="0" borderId="24" xfId="4" applyNumberFormat="1" applyFont="1" applyFill="1" applyBorder="1"/>
    <xf numFmtId="165" fontId="22" fillId="0" borderId="64" xfId="4" applyNumberFormat="1" applyFont="1" applyFill="1" applyBorder="1"/>
    <xf numFmtId="165" fontId="22" fillId="0" borderId="65" xfId="4" applyNumberFormat="1" applyFont="1" applyFill="1" applyBorder="1"/>
    <xf numFmtId="0" fontId="21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/>
    <xf numFmtId="0" fontId="22" fillId="3" borderId="26" xfId="1" applyFont="1" applyFill="1" applyBorder="1" applyAlignment="1">
      <alignment vertical="center"/>
    </xf>
    <xf numFmtId="0" fontId="23" fillId="3" borderId="17" xfId="1" applyFont="1" applyFill="1" applyBorder="1" applyAlignment="1">
      <alignment horizontal="right" vertical="center"/>
    </xf>
    <xf numFmtId="0" fontId="22" fillId="0" borderId="15" xfId="1" applyFont="1" applyBorder="1"/>
    <xf numFmtId="0" fontId="23" fillId="0" borderId="13" xfId="1" applyFont="1" applyBorder="1"/>
    <xf numFmtId="165" fontId="4" fillId="0" borderId="9" xfId="4" applyNumberFormat="1" applyFont="1" applyFill="1" applyBorder="1" applyAlignment="1">
      <alignment horizontal="right"/>
    </xf>
    <xf numFmtId="179" fontId="22" fillId="0" borderId="3" xfId="1" applyNumberFormat="1" applyFont="1" applyFill="1" applyBorder="1" applyAlignment="1">
      <alignment horizontal="center"/>
    </xf>
    <xf numFmtId="165" fontId="22" fillId="0" borderId="0" xfId="4" applyNumberFormat="1" applyFont="1"/>
    <xf numFmtId="165" fontId="22" fillId="0" borderId="0" xfId="1" applyNumberFormat="1" applyFont="1"/>
    <xf numFmtId="165" fontId="22" fillId="0" borderId="1" xfId="4" applyNumberFormat="1" applyFont="1" applyBorder="1"/>
    <xf numFmtId="44" fontId="22" fillId="0" borderId="0" xfId="5" applyFont="1"/>
    <xf numFmtId="167" fontId="22" fillId="0" borderId="0" xfId="5" applyNumberFormat="1" applyFont="1"/>
    <xf numFmtId="167" fontId="0" fillId="0" borderId="50" xfId="5" applyNumberFormat="1" applyFont="1" applyFill="1" applyBorder="1"/>
    <xf numFmtId="10" fontId="30" fillId="6" borderId="52" xfId="1" applyNumberFormat="1" applyFont="1" applyFill="1" applyBorder="1" applyAlignment="1">
      <alignment horizontal="centerContinuous"/>
    </xf>
    <xf numFmtId="44" fontId="22" fillId="0" borderId="48" xfId="5" applyFont="1" applyFill="1" applyBorder="1"/>
    <xf numFmtId="44" fontId="22" fillId="0" borderId="52" xfId="5" applyFont="1" applyFill="1" applyBorder="1"/>
    <xf numFmtId="0" fontId="22" fillId="0" borderId="46" xfId="7" applyFont="1" applyFill="1" applyBorder="1" applyAlignment="1">
      <alignment horizontal="left" vertical="top"/>
    </xf>
    <xf numFmtId="173" fontId="30" fillId="0" borderId="0" xfId="1" applyNumberFormat="1" applyFont="1" applyFill="1" applyBorder="1"/>
    <xf numFmtId="44" fontId="4" fillId="0" borderId="7" xfId="0" applyNumberFormat="1" applyFont="1" applyFill="1" applyBorder="1" applyAlignment="1">
      <alignment horizontal="center"/>
    </xf>
    <xf numFmtId="167" fontId="4" fillId="0" borderId="3" xfId="0" applyNumberFormat="1" applyFont="1" applyFill="1" applyBorder="1"/>
    <xf numFmtId="167" fontId="4" fillId="0" borderId="1" xfId="0" applyNumberFormat="1" applyFont="1" applyFill="1" applyBorder="1"/>
    <xf numFmtId="0" fontId="22" fillId="0" borderId="51" xfId="1" applyFont="1" applyFill="1" applyBorder="1"/>
    <xf numFmtId="44" fontId="4" fillId="0" borderId="0" xfId="5" applyNumberFormat="1" applyFont="1" applyFill="1"/>
    <xf numFmtId="9" fontId="4" fillId="0" borderId="5" xfId="0" applyNumberFormat="1" applyFont="1" applyFill="1" applyBorder="1" applyAlignment="1">
      <alignment horizontal="right"/>
    </xf>
    <xf numFmtId="9" fontId="4" fillId="0" borderId="0" xfId="6" applyFont="1" applyFill="1" applyAlignment="1">
      <alignment horizontal="center"/>
    </xf>
    <xf numFmtId="168" fontId="4" fillId="0" borderId="40" xfId="6" applyNumberFormat="1" applyFont="1" applyFill="1" applyBorder="1" applyAlignment="1">
      <alignment horizontal="right"/>
    </xf>
    <xf numFmtId="168" fontId="4" fillId="0" borderId="39" xfId="6" applyNumberFormat="1" applyFont="1" applyFill="1" applyBorder="1" applyAlignment="1">
      <alignment horizontal="right"/>
    </xf>
    <xf numFmtId="168" fontId="4" fillId="0" borderId="3" xfId="6" applyNumberFormat="1" applyFont="1" applyFill="1" applyBorder="1" applyAlignment="1">
      <alignment horizontal="right"/>
    </xf>
    <xf numFmtId="9" fontId="4" fillId="0" borderId="0" xfId="6" applyFont="1" applyFill="1"/>
    <xf numFmtId="44" fontId="4" fillId="0" borderId="39" xfId="5" applyFont="1" applyFill="1" applyBorder="1" applyAlignment="1">
      <alignment horizontal="center"/>
    </xf>
    <xf numFmtId="176" fontId="4" fillId="0" borderId="28" xfId="5" applyNumberFormat="1" applyFont="1" applyFill="1" applyBorder="1" applyAlignment="1">
      <alignment horizontal="right"/>
    </xf>
    <xf numFmtId="176" fontId="4" fillId="0" borderId="2" xfId="5" applyNumberFormat="1" applyFont="1" applyFill="1" applyBorder="1" applyAlignment="1">
      <alignment horizontal="right"/>
    </xf>
    <xf numFmtId="176" fontId="4" fillId="0" borderId="41" xfId="5" applyNumberFormat="1" applyFont="1" applyFill="1" applyBorder="1" applyAlignment="1">
      <alignment horizontal="right"/>
    </xf>
    <xf numFmtId="176" fontId="4" fillId="0" borderId="43" xfId="0" applyNumberFormat="1" applyFont="1" applyFill="1" applyBorder="1" applyAlignment="1">
      <alignment horizontal="right"/>
    </xf>
    <xf numFmtId="176" fontId="4" fillId="0" borderId="7" xfId="0" applyNumberFormat="1" applyFont="1" applyFill="1" applyBorder="1" applyAlignment="1">
      <alignment horizontal="right"/>
    </xf>
    <xf numFmtId="176" fontId="4" fillId="0" borderId="44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 horizontal="right"/>
    </xf>
    <xf numFmtId="176" fontId="4" fillId="0" borderId="37" xfId="5" applyNumberFormat="1" applyFont="1" applyFill="1" applyBorder="1" applyAlignment="1">
      <alignment horizontal="right"/>
    </xf>
    <xf numFmtId="176" fontId="4" fillId="0" borderId="0" xfId="5" applyNumberFormat="1" applyFont="1" applyFill="1" applyBorder="1" applyAlignment="1">
      <alignment horizontal="right"/>
    </xf>
    <xf numFmtId="176" fontId="4" fillId="0" borderId="38" xfId="5" applyNumberFormat="1" applyFont="1" applyFill="1" applyBorder="1" applyAlignment="1">
      <alignment horizontal="right"/>
    </xf>
    <xf numFmtId="176" fontId="4" fillId="0" borderId="27" xfId="5" applyNumberFormat="1" applyFont="1" applyFill="1" applyBorder="1" applyAlignment="1">
      <alignment horizontal="right"/>
    </xf>
    <xf numFmtId="176" fontId="35" fillId="0" borderId="0" xfId="5" applyNumberFormat="1" applyFont="1" applyFill="1" applyBorder="1" applyAlignment="1">
      <alignment horizontal="right"/>
    </xf>
    <xf numFmtId="176" fontId="35" fillId="0" borderId="38" xfId="5" applyNumberFormat="1" applyFont="1" applyFill="1" applyBorder="1" applyAlignment="1">
      <alignment horizontal="right"/>
    </xf>
    <xf numFmtId="176" fontId="35" fillId="0" borderId="37" xfId="5" applyNumberFormat="1" applyFont="1" applyFill="1" applyBorder="1" applyAlignment="1">
      <alignment horizontal="right"/>
    </xf>
    <xf numFmtId="176" fontId="35" fillId="0" borderId="1" xfId="5" applyNumberFormat="1" applyFont="1" applyFill="1" applyBorder="1" applyAlignment="1">
      <alignment horizontal="right"/>
    </xf>
    <xf numFmtId="176" fontId="35" fillId="0" borderId="18" xfId="5" applyNumberFormat="1" applyFont="1" applyFill="1" applyBorder="1" applyAlignment="1">
      <alignment horizontal="right"/>
    </xf>
    <xf numFmtId="176" fontId="35" fillId="0" borderId="27" xfId="5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center"/>
    </xf>
    <xf numFmtId="44" fontId="4" fillId="0" borderId="3" xfId="5" applyNumberFormat="1" applyFont="1" applyFill="1" applyBorder="1" applyAlignment="1">
      <alignment horizontal="center"/>
    </xf>
    <xf numFmtId="165" fontId="0" fillId="0" borderId="0" xfId="4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166" fontId="2" fillId="0" borderId="0" xfId="0" applyNumberFormat="1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0" fontId="0" fillId="0" borderId="10" xfId="0" applyFill="1" applyBorder="1"/>
    <xf numFmtId="0" fontId="2" fillId="0" borderId="0" xfId="0" applyFont="1" applyFill="1" applyBorder="1"/>
    <xf numFmtId="0" fontId="22" fillId="0" borderId="5" xfId="1" applyFont="1" applyFill="1" applyBorder="1" applyAlignment="1">
      <alignment horizontal="right"/>
    </xf>
    <xf numFmtId="0" fontId="22" fillId="0" borderId="3" xfId="1" applyFont="1" applyFill="1" applyBorder="1" applyAlignment="1">
      <alignment horizontal="center"/>
    </xf>
    <xf numFmtId="6" fontId="22" fillId="0" borderId="63" xfId="1" applyNumberFormat="1" applyFont="1" applyFill="1" applyBorder="1" applyAlignment="1">
      <alignment horizontal="center"/>
    </xf>
    <xf numFmtId="10" fontId="22" fillId="0" borderId="29" xfId="6" applyNumberFormat="1" applyFont="1" applyFill="1" applyBorder="1" applyAlignment="1">
      <alignment horizontal="center"/>
    </xf>
    <xf numFmtId="10" fontId="22" fillId="0" borderId="29" xfId="1" applyNumberFormat="1" applyFont="1" applyFill="1" applyBorder="1" applyAlignment="1">
      <alignment horizontal="center"/>
    </xf>
    <xf numFmtId="167" fontId="22" fillId="0" borderId="48" xfId="5" applyNumberFormat="1" applyFont="1" applyFill="1" applyBorder="1"/>
    <xf numFmtId="10" fontId="22" fillId="0" borderId="36" xfId="1" applyNumberFormat="1" applyFont="1" applyFill="1" applyBorder="1" applyAlignment="1">
      <alignment horizontal="center"/>
    </xf>
    <xf numFmtId="182" fontId="22" fillId="0" borderId="0" xfId="4" applyNumberFormat="1" applyFont="1" applyFill="1" applyBorder="1"/>
    <xf numFmtId="0" fontId="28" fillId="3" borderId="0" xfId="1" applyFont="1" applyFill="1" applyAlignment="1">
      <alignment vertical="center"/>
    </xf>
    <xf numFmtId="0" fontId="30" fillId="0" borderId="51" xfId="1" applyFont="1" applyFill="1" applyBorder="1"/>
    <xf numFmtId="172" fontId="30" fillId="0" borderId="0" xfId="1" applyNumberFormat="1" applyFont="1" applyFill="1" applyBorder="1"/>
    <xf numFmtId="0" fontId="23" fillId="9" borderId="56" xfId="1" applyFont="1" applyFill="1" applyBorder="1" applyAlignment="1">
      <alignment horizontal="center"/>
    </xf>
    <xf numFmtId="0" fontId="23" fillId="9" borderId="57" xfId="1" applyFont="1" applyFill="1" applyBorder="1" applyAlignment="1">
      <alignment horizontal="center"/>
    </xf>
    <xf numFmtId="0" fontId="23" fillId="9" borderId="58" xfId="1" applyFont="1" applyFill="1" applyBorder="1" applyAlignment="1">
      <alignment horizontal="center"/>
    </xf>
    <xf numFmtId="0" fontId="30" fillId="3" borderId="56" xfId="1" applyFont="1" applyFill="1" applyBorder="1" applyAlignment="1">
      <alignment horizontal="center"/>
    </xf>
    <xf numFmtId="0" fontId="30" fillId="3" borderId="57" xfId="1" applyFont="1" applyFill="1" applyBorder="1" applyAlignment="1">
      <alignment horizontal="center"/>
    </xf>
    <xf numFmtId="0" fontId="30" fillId="3" borderId="58" xfId="1" applyFont="1" applyFill="1" applyBorder="1" applyAlignment="1">
      <alignment horizontal="center"/>
    </xf>
    <xf numFmtId="0" fontId="30" fillId="6" borderId="0" xfId="1" applyFont="1" applyFill="1" applyBorder="1" applyAlignment="1">
      <alignment horizontal="left" vertical="top" wrapText="1"/>
    </xf>
    <xf numFmtId="167" fontId="22" fillId="0" borderId="3" xfId="5" applyNumberFormat="1" applyFont="1" applyFill="1" applyBorder="1" applyAlignment="1">
      <alignment horizontal="center"/>
    </xf>
    <xf numFmtId="0" fontId="22" fillId="0" borderId="0" xfId="1" quotePrefix="1" applyFont="1" applyFill="1" applyAlignment="1">
      <alignment horizontal="left" wrapText="1"/>
    </xf>
    <xf numFmtId="0" fontId="23" fillId="7" borderId="56" xfId="1" applyFont="1" applyFill="1" applyBorder="1" applyAlignment="1">
      <alignment horizontal="center"/>
    </xf>
    <xf numFmtId="0" fontId="23" fillId="7" borderId="57" xfId="1" applyFont="1" applyFill="1" applyBorder="1" applyAlignment="1">
      <alignment horizontal="center"/>
    </xf>
    <xf numFmtId="0" fontId="23" fillId="7" borderId="58" xfId="1" applyFont="1" applyFill="1" applyBorder="1" applyAlignment="1">
      <alignment horizontal="center"/>
    </xf>
    <xf numFmtId="0" fontId="23" fillId="8" borderId="56" xfId="1" applyFont="1" applyFill="1" applyBorder="1" applyAlignment="1">
      <alignment horizontal="center"/>
    </xf>
    <xf numFmtId="0" fontId="23" fillId="8" borderId="57" xfId="1" applyFont="1" applyFill="1" applyBorder="1" applyAlignment="1">
      <alignment horizontal="center"/>
    </xf>
    <xf numFmtId="0" fontId="23" fillId="8" borderId="58" xfId="1" applyFont="1" applyFill="1" applyBorder="1" applyAlignment="1">
      <alignment horizontal="center"/>
    </xf>
    <xf numFmtId="0" fontId="31" fillId="8" borderId="56" xfId="1" applyFont="1" applyFill="1" applyBorder="1" applyAlignment="1">
      <alignment horizontal="center"/>
    </xf>
    <xf numFmtId="0" fontId="31" fillId="8" borderId="57" xfId="1" applyFont="1" applyFill="1" applyBorder="1" applyAlignment="1">
      <alignment horizontal="center"/>
    </xf>
    <xf numFmtId="0" fontId="31" fillId="8" borderId="58" xfId="1" applyFont="1" applyFill="1" applyBorder="1" applyAlignment="1">
      <alignment horizontal="center"/>
    </xf>
    <xf numFmtId="0" fontId="22" fillId="3" borderId="56" xfId="1" applyFont="1" applyFill="1" applyBorder="1" applyAlignment="1">
      <alignment horizontal="center"/>
    </xf>
    <xf numFmtId="0" fontId="22" fillId="3" borderId="57" xfId="1" applyFont="1" applyFill="1" applyBorder="1" applyAlignment="1">
      <alignment horizontal="center"/>
    </xf>
    <xf numFmtId="0" fontId="22" fillId="3" borderId="58" xfId="1" applyFont="1" applyFill="1" applyBorder="1" applyAlignment="1">
      <alignment horizontal="center"/>
    </xf>
    <xf numFmtId="0" fontId="23" fillId="3" borderId="56" xfId="1" applyFont="1" applyFill="1" applyBorder="1" applyAlignment="1">
      <alignment horizontal="center"/>
    </xf>
    <xf numFmtId="0" fontId="23" fillId="3" borderId="57" xfId="1" applyFont="1" applyFill="1" applyBorder="1" applyAlignment="1">
      <alignment horizontal="center"/>
    </xf>
    <xf numFmtId="0" fontId="23" fillId="3" borderId="58" xfId="1" applyFont="1" applyFill="1" applyBorder="1" applyAlignment="1">
      <alignment horizontal="center"/>
    </xf>
    <xf numFmtId="0" fontId="22" fillId="0" borderId="3" xfId="1" applyFont="1" applyBorder="1" applyAlignment="1">
      <alignment horizontal="right"/>
    </xf>
    <xf numFmtId="0" fontId="22" fillId="0" borderId="19" xfId="1" applyFont="1" applyBorder="1" applyAlignment="1">
      <alignment horizontal="right"/>
    </xf>
    <xf numFmtId="0" fontId="22" fillId="0" borderId="7" xfId="1" applyFont="1" applyBorder="1" applyAlignment="1">
      <alignment horizontal="right"/>
    </xf>
    <xf numFmtId="0" fontId="22" fillId="0" borderId="22" xfId="1" applyFont="1" applyBorder="1" applyAlignment="1">
      <alignment horizontal="right" vertical="center"/>
    </xf>
    <xf numFmtId="0" fontId="22" fillId="0" borderId="24" xfId="1" applyFont="1" applyBorder="1" applyAlignment="1">
      <alignment horizontal="right" vertical="center"/>
    </xf>
    <xf numFmtId="0" fontId="22" fillId="0" borderId="23" xfId="1" applyFont="1" applyBorder="1" applyAlignment="1">
      <alignment horizontal="right" vertical="center"/>
    </xf>
    <xf numFmtId="0" fontId="23" fillId="0" borderId="5" xfId="1" applyFont="1" applyBorder="1" applyAlignment="1">
      <alignment horizontal="left"/>
    </xf>
    <xf numFmtId="0" fontId="22" fillId="0" borderId="5" xfId="1" applyFont="1" applyFill="1" applyBorder="1" applyAlignment="1"/>
    <xf numFmtId="0" fontId="22" fillId="0" borderId="13" xfId="1" applyFont="1" applyBorder="1" applyAlignment="1">
      <alignment horizontal="right"/>
    </xf>
    <xf numFmtId="0" fontId="22" fillId="0" borderId="2" xfId="1" applyFont="1" applyBorder="1" applyAlignment="1">
      <alignment horizontal="right"/>
    </xf>
    <xf numFmtId="0" fontId="22" fillId="0" borderId="3" xfId="1" applyFont="1" applyFill="1" applyBorder="1" applyAlignment="1">
      <alignment horizontal="right"/>
    </xf>
    <xf numFmtId="0" fontId="23" fillId="0" borderId="1" xfId="1" applyFont="1" applyBorder="1" applyAlignment="1">
      <alignment horizontal="left"/>
    </xf>
    <xf numFmtId="0" fontId="22" fillId="0" borderId="0" xfId="1" applyFont="1" applyFill="1" applyBorder="1" applyAlignment="1"/>
    <xf numFmtId="0" fontId="28" fillId="3" borderId="0" xfId="1" applyFont="1" applyFill="1" applyAlignment="1">
      <alignment vertical="center"/>
    </xf>
    <xf numFmtId="0" fontId="27" fillId="3" borderId="0" xfId="1" applyFont="1" applyFill="1" applyAlignment="1">
      <alignment vertical="center"/>
    </xf>
    <xf numFmtId="0" fontId="22" fillId="4" borderId="3" xfId="1" applyFont="1" applyFill="1" applyBorder="1" applyAlignment="1">
      <alignment horizontal="right"/>
    </xf>
    <xf numFmtId="0" fontId="22" fillId="0" borderId="5" xfId="1" applyFont="1" applyFill="1" applyBorder="1" applyAlignment="1">
      <alignment horizontal="right"/>
    </xf>
    <xf numFmtId="0" fontId="23" fillId="0" borderId="2" xfId="1" applyFont="1" applyBorder="1" applyAlignment="1">
      <alignment horizontal="left" wrapText="1"/>
    </xf>
    <xf numFmtId="0" fontId="23" fillId="0" borderId="1" xfId="1" applyFont="1" applyBorder="1" applyAlignment="1">
      <alignment horizontal="center" wrapText="1"/>
    </xf>
    <xf numFmtId="0" fontId="20" fillId="0" borderId="1" xfId="1" applyFont="1" applyBorder="1" applyAlignment="1">
      <alignment horizontal="center" wrapText="1"/>
    </xf>
    <xf numFmtId="0" fontId="24" fillId="0" borderId="1" xfId="1" applyFont="1" applyBorder="1" applyAlignment="1">
      <alignment horizontal="center" wrapText="1"/>
    </xf>
    <xf numFmtId="0" fontId="20" fillId="0" borderId="1" xfId="1" applyFont="1" applyBorder="1" applyAlignment="1">
      <alignment wrapText="1"/>
    </xf>
    <xf numFmtId="0" fontId="23" fillId="0" borderId="6" xfId="1" applyFont="1" applyBorder="1" applyAlignment="1">
      <alignment horizontal="right"/>
    </xf>
    <xf numFmtId="0" fontId="28" fillId="3" borderId="0" xfId="1" applyFont="1" applyFill="1" applyBorder="1" applyAlignment="1">
      <alignment horizontal="left" vertical="center"/>
    </xf>
    <xf numFmtId="167" fontId="22" fillId="0" borderId="2" xfId="5" applyNumberFormat="1" applyFont="1" applyBorder="1" applyAlignment="1">
      <alignment horizontal="right"/>
    </xf>
    <xf numFmtId="168" fontId="22" fillId="0" borderId="3" xfId="6" applyNumberFormat="1" applyFont="1" applyBorder="1" applyAlignment="1">
      <alignment horizontal="right"/>
    </xf>
    <xf numFmtId="167" fontId="22" fillId="0" borderId="3" xfId="5" applyNumberFormat="1" applyFont="1" applyFill="1" applyBorder="1" applyAlignment="1">
      <alignment horizontal="right"/>
    </xf>
    <xf numFmtId="167" fontId="20" fillId="0" borderId="3" xfId="5" applyNumberFormat="1" applyFont="1" applyFill="1" applyBorder="1" applyAlignment="1"/>
    <xf numFmtId="165" fontId="22" fillId="0" borderId="3" xfId="1" applyNumberFormat="1" applyFont="1" applyFill="1" applyBorder="1" applyAlignment="1">
      <alignment horizontal="right"/>
    </xf>
    <xf numFmtId="0" fontId="20" fillId="0" borderId="3" xfId="1" applyFont="1" applyBorder="1" applyAlignment="1"/>
    <xf numFmtId="167" fontId="22" fillId="0" borderId="4" xfId="5" applyNumberFormat="1" applyFont="1" applyFill="1" applyBorder="1" applyAlignment="1">
      <alignment horizontal="right"/>
    </xf>
    <xf numFmtId="167" fontId="20" fillId="0" borderId="4" xfId="5" applyNumberFormat="1" applyFont="1" applyFill="1" applyBorder="1" applyAlignment="1"/>
    <xf numFmtId="167" fontId="22" fillId="0" borderId="4" xfId="1" applyNumberFormat="1" applyFont="1" applyFill="1" applyBorder="1" applyAlignment="1">
      <alignment horizontal="right"/>
    </xf>
    <xf numFmtId="0" fontId="20" fillId="0" borderId="4" xfId="1" applyFont="1" applyBorder="1" applyAlignment="1"/>
    <xf numFmtId="0" fontId="23" fillId="0" borderId="4" xfId="1" applyFont="1" applyBorder="1" applyAlignment="1">
      <alignment vertical="center"/>
    </xf>
    <xf numFmtId="0" fontId="22" fillId="0" borderId="3" xfId="1" applyFont="1" applyBorder="1" applyAlignment="1">
      <alignment horizontal="right" vertical="center"/>
    </xf>
    <xf numFmtId="44" fontId="22" fillId="0" borderId="3" xfId="5" applyFont="1" applyFill="1" applyBorder="1" applyAlignment="1">
      <alignment horizontal="right"/>
    </xf>
    <xf numFmtId="44" fontId="20" fillId="0" borderId="3" xfId="5" applyFont="1" applyFill="1" applyBorder="1" applyAlignment="1"/>
    <xf numFmtId="0" fontId="22" fillId="0" borderId="1" xfId="1" applyFont="1" applyBorder="1" applyAlignment="1">
      <alignment horizontal="right" vertical="center"/>
    </xf>
    <xf numFmtId="0" fontId="20" fillId="0" borderId="1" xfId="1" applyFont="1" applyBorder="1" applyAlignment="1"/>
    <xf numFmtId="167" fontId="22" fillId="0" borderId="1" xfId="5" applyNumberFormat="1" applyFont="1" applyBorder="1" applyAlignment="1">
      <alignment horizontal="right"/>
    </xf>
    <xf numFmtId="168" fontId="22" fillId="0" borderId="5" xfId="6" applyNumberFormat="1" applyFont="1" applyBorder="1" applyAlignment="1">
      <alignment horizontal="right"/>
    </xf>
    <xf numFmtId="167" fontId="22" fillId="0" borderId="3" xfId="5" applyNumberFormat="1" applyFont="1" applyBorder="1" applyAlignment="1">
      <alignment horizontal="right"/>
    </xf>
    <xf numFmtId="0" fontId="23" fillId="0" borderId="4" xfId="1" applyFont="1" applyBorder="1" applyAlignment="1"/>
    <xf numFmtId="0" fontId="20" fillId="0" borderId="4" xfId="1" applyFont="1" applyBorder="1" applyAlignment="1">
      <alignment horizontal="right"/>
    </xf>
    <xf numFmtId="44" fontId="22" fillId="0" borderId="1" xfId="5" applyFont="1" applyFill="1" applyBorder="1" applyAlignment="1">
      <alignment horizontal="right"/>
    </xf>
    <xf numFmtId="44" fontId="20" fillId="0" borderId="1" xfId="5" applyFont="1" applyFill="1" applyBorder="1" applyAlignment="1"/>
    <xf numFmtId="165" fontId="22" fillId="0" borderId="5" xfId="1" applyNumberFormat="1" applyFont="1" applyFill="1" applyBorder="1" applyAlignment="1">
      <alignment horizontal="right"/>
    </xf>
    <xf numFmtId="0" fontId="20" fillId="0" borderId="5" xfId="1" applyFont="1" applyBorder="1" applyAlignment="1"/>
    <xf numFmtId="0" fontId="20" fillId="0" borderId="3" xfId="1" applyFont="1" applyBorder="1" applyAlignment="1">
      <alignment horizontal="right"/>
    </xf>
    <xf numFmtId="0" fontId="26" fillId="0" borderId="6" xfId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167" fontId="22" fillId="0" borderId="6" xfId="1" applyNumberFormat="1" applyFont="1" applyBorder="1" applyAlignment="1">
      <alignment horizontal="right"/>
    </xf>
    <xf numFmtId="0" fontId="22" fillId="0" borderId="6" xfId="1" applyFont="1" applyBorder="1" applyAlignment="1">
      <alignment horizontal="right"/>
    </xf>
    <xf numFmtId="0" fontId="23" fillId="0" borderId="6" xfId="1" applyFont="1" applyBorder="1" applyAlignment="1">
      <alignment horizontal="left"/>
    </xf>
    <xf numFmtId="0" fontId="20" fillId="0" borderId="6" xfId="1" applyFont="1" applyBorder="1" applyAlignment="1"/>
    <xf numFmtId="167" fontId="22" fillId="0" borderId="6" xfId="5" applyNumberFormat="1" applyFont="1" applyBorder="1" applyAlignment="1">
      <alignment horizontal="right"/>
    </xf>
    <xf numFmtId="9" fontId="22" fillId="0" borderId="6" xfId="1" applyNumberFormat="1" applyFont="1" applyBorder="1" applyAlignment="1">
      <alignment horizontal="right"/>
    </xf>
    <xf numFmtId="167" fontId="22" fillId="0" borderId="3" xfId="5" applyNumberFormat="1" applyFont="1" applyFill="1" applyBorder="1" applyAlignment="1"/>
    <xf numFmtId="167" fontId="22" fillId="0" borderId="0" xfId="5" applyNumberFormat="1" applyFont="1" applyBorder="1" applyAlignment="1"/>
    <xf numFmtId="0" fontId="20" fillId="0" borderId="3" xfId="1" applyFont="1" applyFill="1" applyBorder="1" applyAlignment="1">
      <alignment horizontal="right"/>
    </xf>
    <xf numFmtId="165" fontId="22" fillId="0" borderId="3" xfId="4" applyNumberFormat="1" applyFont="1" applyFill="1" applyBorder="1" applyAlignment="1">
      <alignment horizontal="right"/>
    </xf>
    <xf numFmtId="0" fontId="22" fillId="0" borderId="3" xfId="1" applyFont="1" applyFill="1" applyBorder="1" applyAlignment="1"/>
    <xf numFmtId="0" fontId="20" fillId="0" borderId="3" xfId="1" applyFont="1" applyFill="1" applyBorder="1" applyAlignment="1"/>
    <xf numFmtId="0" fontId="22" fillId="0" borderId="4" xfId="1" applyFont="1" applyBorder="1" applyAlignment="1">
      <alignment horizontal="right"/>
    </xf>
    <xf numFmtId="0" fontId="23" fillId="0" borderId="6" xfId="1" applyFont="1" applyFill="1" applyBorder="1" applyAlignment="1">
      <alignment horizontal="center"/>
    </xf>
    <xf numFmtId="0" fontId="22" fillId="0" borderId="2" xfId="1" applyFont="1" applyFill="1" applyBorder="1" applyAlignment="1"/>
    <xf numFmtId="0" fontId="20" fillId="0" borderId="2" xfId="1" applyFont="1" applyBorder="1" applyAlignment="1"/>
    <xf numFmtId="0" fontId="25" fillId="0" borderId="6" xfId="1" applyFont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56" xfId="0" applyFont="1" applyFill="1" applyBorder="1" applyAlignment="1">
      <alignment horizontal="center"/>
    </xf>
    <xf numFmtId="0" fontId="4" fillId="3" borderId="57" xfId="0" applyFont="1" applyFill="1" applyBorder="1" applyAlignment="1">
      <alignment horizontal="center"/>
    </xf>
    <xf numFmtId="0" fontId="4" fillId="3" borderId="5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7" fontId="0" fillId="0" borderId="55" xfId="5" applyNumberFormat="1" applyFont="1" applyFill="1" applyBorder="1"/>
    <xf numFmtId="167" fontId="0" fillId="0" borderId="48" xfId="5" applyNumberFormat="1" applyFont="1" applyFill="1" applyBorder="1"/>
    <xf numFmtId="0" fontId="0" fillId="0" borderId="52" xfId="0" applyFill="1" applyBorder="1"/>
    <xf numFmtId="167" fontId="0" fillId="0" borderId="52" xfId="5" applyNumberFormat="1" applyFont="1" applyFill="1" applyBorder="1"/>
  </cellXfs>
  <cellStyles count="8">
    <cellStyle name="Comma" xfId="4" builtinId="3"/>
    <cellStyle name="Comma 2" xfId="3" xr:uid="{F664BCB5-CF22-CA4D-99CF-3EAA63DBFC70}"/>
    <cellStyle name="Currency" xfId="5" builtinId="4"/>
    <cellStyle name="Hyperlink" xfId="7" builtinId="8"/>
    <cellStyle name="Normal" xfId="0" builtinId="0"/>
    <cellStyle name="Normal 2" xfId="1" xr:uid="{00000000-0005-0000-0000-000001000000}"/>
    <cellStyle name="Normal 3" xfId="2" xr:uid="{22F4806E-5EEC-8647-865B-2F244C7B7958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telnewsnow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9"/>
  <sheetViews>
    <sheetView tabSelected="1" showWhiteSpace="0" view="pageBreakPreview" topLeftCell="A43" zoomScale="130" zoomScaleNormal="100" zoomScaleSheetLayoutView="130" workbookViewId="0">
      <selection activeCell="I106" sqref="I106"/>
    </sheetView>
  </sheetViews>
  <sheetFormatPr baseColWidth="10" defaultColWidth="9.1640625" defaultRowHeight="14.25" customHeight="1" x14ac:dyDescent="0.15"/>
  <cols>
    <col min="1" max="1" width="9" style="271" customWidth="1"/>
    <col min="2" max="2" width="18.5" style="271" customWidth="1"/>
    <col min="3" max="3" width="11.83203125" style="306" customWidth="1"/>
    <col min="4" max="5" width="12.83203125" style="271" customWidth="1"/>
    <col min="6" max="7" width="13" style="271" customWidth="1"/>
    <col min="8" max="8" width="12.83203125" style="271" customWidth="1"/>
    <col min="9" max="9" width="14" style="271" customWidth="1"/>
    <col min="10" max="10" width="13.33203125" style="271" customWidth="1"/>
    <col min="11" max="12" width="12.83203125" style="271" customWidth="1"/>
    <col min="13" max="13" width="12.6640625" style="271" customWidth="1"/>
    <col min="14" max="14" width="12.83203125" style="271" customWidth="1"/>
    <col min="15" max="16384" width="9.1640625" style="271"/>
  </cols>
  <sheetData>
    <row r="1" spans="1:14" s="268" customFormat="1" ht="12" customHeight="1" thickBot="1" x14ac:dyDescent="0.2">
      <c r="A1" s="754" t="s">
        <v>77</v>
      </c>
      <c r="B1" s="341"/>
      <c r="C1" s="342"/>
      <c r="D1" s="343"/>
      <c r="E1" s="343"/>
      <c r="F1" s="343"/>
      <c r="G1" s="343"/>
      <c r="H1" s="343"/>
      <c r="I1" s="343"/>
      <c r="J1" s="343"/>
      <c r="K1" s="343"/>
      <c r="L1" s="686" t="s">
        <v>352</v>
      </c>
      <c r="M1" s="685"/>
      <c r="N1" s="683"/>
    </row>
    <row r="2" spans="1:14" ht="13" customHeight="1" thickBot="1" x14ac:dyDescent="0.2">
      <c r="A2" s="269"/>
      <c r="B2" s="269"/>
      <c r="C2" s="351" t="s">
        <v>105</v>
      </c>
      <c r="D2" s="766" t="s">
        <v>59</v>
      </c>
      <c r="E2" s="767"/>
      <c r="F2" s="768"/>
      <c r="G2" s="772" t="s">
        <v>151</v>
      </c>
      <c r="H2" s="773"/>
      <c r="I2" s="774"/>
      <c r="J2" s="757" t="s">
        <v>152</v>
      </c>
      <c r="K2" s="758"/>
      <c r="L2" s="758"/>
      <c r="M2" s="759"/>
      <c r="N2" s="684"/>
    </row>
    <row r="3" spans="1:14" ht="12" customHeight="1" x14ac:dyDescent="0.15">
      <c r="A3" s="287"/>
      <c r="B3" s="287"/>
      <c r="C3" s="441" t="s">
        <v>130</v>
      </c>
      <c r="D3" s="442">
        <v>2021</v>
      </c>
      <c r="E3" s="441">
        <f>D3+1</f>
        <v>2022</v>
      </c>
      <c r="F3" s="441">
        <f t="shared" ref="F3:K3" si="0">E3+1</f>
        <v>2023</v>
      </c>
      <c r="G3" s="441">
        <f t="shared" si="0"/>
        <v>2024</v>
      </c>
      <c r="H3" s="441">
        <f t="shared" si="0"/>
        <v>2025</v>
      </c>
      <c r="I3" s="441">
        <f t="shared" si="0"/>
        <v>2026</v>
      </c>
      <c r="J3" s="441">
        <f t="shared" si="0"/>
        <v>2027</v>
      </c>
      <c r="K3" s="441">
        <f t="shared" si="0"/>
        <v>2028</v>
      </c>
      <c r="L3" s="441">
        <f>K3+1</f>
        <v>2029</v>
      </c>
      <c r="M3" s="441">
        <f>L3+1</f>
        <v>2030</v>
      </c>
    </row>
    <row r="4" spans="1:14" ht="12" customHeight="1" x14ac:dyDescent="0.15">
      <c r="A4" s="662" t="s">
        <v>0</v>
      </c>
      <c r="B4" s="663"/>
      <c r="C4" s="664"/>
      <c r="D4" s="665"/>
      <c r="E4" s="665"/>
      <c r="F4" s="665"/>
      <c r="G4" s="665"/>
      <c r="H4" s="665"/>
      <c r="I4" s="665"/>
      <c r="J4" s="665"/>
      <c r="K4" s="665"/>
      <c r="L4" s="666"/>
      <c r="M4" s="667"/>
      <c r="N4" s="278"/>
    </row>
    <row r="5" spans="1:14" ht="12" customHeight="1" x14ac:dyDescent="0.15">
      <c r="A5" s="784" t="s">
        <v>87</v>
      </c>
      <c r="B5" s="317" t="s">
        <v>79</v>
      </c>
      <c r="C5" s="309"/>
      <c r="D5" s="443">
        <f>'2.Market-rate Rental Housing'!D37</f>
        <v>0</v>
      </c>
      <c r="E5" s="443">
        <f>'2.Market-rate Rental Housing'!E37</f>
        <v>0</v>
      </c>
      <c r="F5" s="443">
        <f>'2.Market-rate Rental Housing'!F37</f>
        <v>1321644.8919240003</v>
      </c>
      <c r="G5" s="443">
        <f>'2.Market-rate Rental Housing'!G37</f>
        <v>3370194.4744062005</v>
      </c>
      <c r="H5" s="443">
        <f>'2.Market-rate Rental Housing'!H37</f>
        <v>4354291.2609328125</v>
      </c>
      <c r="I5" s="443">
        <f>'2.Market-rate Rental Housing'!I37</f>
        <v>5322554.1327287778</v>
      </c>
      <c r="J5" s="443">
        <f>'2.Market-rate Rental Housing'!J37</f>
        <v>6777206.0966466367</v>
      </c>
      <c r="K5" s="443">
        <f>'2.Market-rate Rental Housing'!K37</f>
        <v>7523934.618085593</v>
      </c>
      <c r="L5" s="443">
        <f>'2.Market-rate Rental Housing'!L37</f>
        <v>7674413.3104473045</v>
      </c>
      <c r="M5" s="443">
        <f>'2.Market-rate Rental Housing'!M37</f>
        <v>7827901.5766562503</v>
      </c>
      <c r="N5" s="282"/>
    </row>
    <row r="6" spans="1:14" ht="12" hidden="1" customHeight="1" x14ac:dyDescent="0.15">
      <c r="A6" s="785"/>
      <c r="B6" s="279" t="s">
        <v>80</v>
      </c>
      <c r="C6" s="280"/>
      <c r="D6" s="437">
        <f>'3.Market-rate For-Sale Housing'!D16</f>
        <v>0</v>
      </c>
      <c r="E6" s="437">
        <f>'3.Market-rate For-Sale Housing'!E16</f>
        <v>0</v>
      </c>
      <c r="F6" s="437">
        <f>'3.Market-rate For-Sale Housing'!F16</f>
        <v>0</v>
      </c>
      <c r="G6" s="437">
        <f>'3.Market-rate For-Sale Housing'!G16</f>
        <v>0</v>
      </c>
      <c r="H6" s="437">
        <f>'3.Market-rate For-Sale Housing'!H16</f>
        <v>0</v>
      </c>
      <c r="I6" s="437">
        <f>'3.Market-rate For-Sale Housing'!I16</f>
        <v>0</v>
      </c>
      <c r="J6" s="437">
        <f>'3.Market-rate For-Sale Housing'!J16</f>
        <v>0</v>
      </c>
      <c r="K6" s="437">
        <f>'3.Market-rate For-Sale Housing'!K16</f>
        <v>0</v>
      </c>
      <c r="L6" s="437">
        <f>'3.Market-rate For-Sale Housing'!L16</f>
        <v>0</v>
      </c>
      <c r="M6" s="437">
        <f>'3.Market-rate For-Sale Housing'!M16</f>
        <v>0</v>
      </c>
      <c r="N6" s="282"/>
    </row>
    <row r="7" spans="1:14" ht="12" hidden="1" customHeight="1" x14ac:dyDescent="0.15">
      <c r="A7" s="283" t="s">
        <v>117</v>
      </c>
      <c r="B7" s="279" t="s">
        <v>79</v>
      </c>
      <c r="C7" s="280"/>
      <c r="D7" s="437"/>
      <c r="E7" s="438"/>
      <c r="F7" s="438"/>
      <c r="G7" s="438"/>
      <c r="H7" s="438"/>
      <c r="I7" s="438"/>
      <c r="J7" s="438"/>
      <c r="K7" s="438"/>
      <c r="L7" s="439"/>
      <c r="M7" s="439"/>
      <c r="N7" s="282"/>
    </row>
    <row r="8" spans="1:14" ht="12" customHeight="1" x14ac:dyDescent="0.15">
      <c r="A8" s="786" t="s">
        <v>86</v>
      </c>
      <c r="B8" s="279" t="s">
        <v>79</v>
      </c>
      <c r="C8" s="280"/>
      <c r="D8" s="437">
        <f>'4.Affordable Rental Housing'!D37</f>
        <v>0</v>
      </c>
      <c r="E8" s="437">
        <f>'4.Affordable Rental Housing'!E37</f>
        <v>0</v>
      </c>
      <c r="F8" s="437">
        <f>'4.Affordable Rental Housing'!F37</f>
        <v>129130.41592979996</v>
      </c>
      <c r="G8" s="437">
        <f>'4.Affordable Rental Housing'!G37</f>
        <v>329282.56062099</v>
      </c>
      <c r="H8" s="437">
        <f>'4.Affordable Rental Housing'!H37</f>
        <v>425433.06832231907</v>
      </c>
      <c r="I8" s="437">
        <f>'4.Affordable Rental Housing'!I37</f>
        <v>518924.19817126537</v>
      </c>
      <c r="J8" s="437">
        <f>'4.Affordable Rental Housing'!J37</f>
        <v>659325.85891291557</v>
      </c>
      <c r="K8" s="437">
        <f>'4.Affordable Rental Housing'!K37</f>
        <v>731456.216230636</v>
      </c>
      <c r="L8" s="437">
        <f>'4.Affordable Rental Housing'!L37</f>
        <v>746085.34055524867</v>
      </c>
      <c r="M8" s="437">
        <f>'4.Affordable Rental Housing'!M37</f>
        <v>761007.0473663538</v>
      </c>
      <c r="N8" s="282"/>
    </row>
    <row r="9" spans="1:14" ht="12" hidden="1" customHeight="1" x14ac:dyDescent="0.15">
      <c r="A9" s="785"/>
      <c r="B9" s="279" t="s">
        <v>80</v>
      </c>
      <c r="C9" s="280"/>
      <c r="D9" s="437">
        <f>'5.Affordable For-Sale Housing'!D16</f>
        <v>0</v>
      </c>
      <c r="E9" s="437">
        <f>'5.Affordable For-Sale Housing'!E16</f>
        <v>0</v>
      </c>
      <c r="F9" s="437">
        <f>'5.Affordable For-Sale Housing'!F16</f>
        <v>0</v>
      </c>
      <c r="G9" s="437">
        <f>'5.Affordable For-Sale Housing'!G16</f>
        <v>0</v>
      </c>
      <c r="H9" s="437">
        <f>'5.Affordable For-Sale Housing'!H16</f>
        <v>0</v>
      </c>
      <c r="I9" s="437">
        <f>'5.Affordable For-Sale Housing'!I16</f>
        <v>0</v>
      </c>
      <c r="J9" s="437">
        <f>'5.Affordable For-Sale Housing'!J16</f>
        <v>0</v>
      </c>
      <c r="K9" s="437">
        <f>'5.Affordable For-Sale Housing'!K16</f>
        <v>0</v>
      </c>
      <c r="L9" s="437">
        <f>'5.Affordable For-Sale Housing'!L16</f>
        <v>0</v>
      </c>
      <c r="M9" s="437">
        <f>'5.Affordable For-Sale Housing'!M16</f>
        <v>0</v>
      </c>
      <c r="N9" s="282"/>
    </row>
    <row r="10" spans="1:14" ht="12" customHeight="1" x14ac:dyDescent="0.15">
      <c r="A10" s="781" t="s">
        <v>81</v>
      </c>
      <c r="B10" s="781"/>
      <c r="C10" s="280"/>
      <c r="D10" s="437">
        <f>'6.Office_Commercial'!D16</f>
        <v>0</v>
      </c>
      <c r="E10" s="437">
        <f>'6.Office_Commercial'!E16</f>
        <v>0</v>
      </c>
      <c r="F10" s="437">
        <f>'6.Office_Commercial'!F16</f>
        <v>0</v>
      </c>
      <c r="G10" s="437">
        <f>'6.Office_Commercial'!G16</f>
        <v>0</v>
      </c>
      <c r="H10" s="437">
        <f>'6.Office_Commercial'!H16</f>
        <v>0</v>
      </c>
      <c r="I10" s="437">
        <f>'6.Office_Commercial'!I16</f>
        <v>0</v>
      </c>
      <c r="J10" s="437">
        <f>'6.Office_Commercial'!J16</f>
        <v>0</v>
      </c>
      <c r="K10" s="437">
        <f>'6.Office_Commercial'!K16</f>
        <v>1561374.2236474911</v>
      </c>
      <c r="L10" s="437">
        <f>'6.Office_Commercial'!L16</f>
        <v>2412002.1961548524</v>
      </c>
      <c r="M10" s="437">
        <f>'6.Office_Commercial'!M16</f>
        <v>2483642.2400779496</v>
      </c>
      <c r="N10" s="282"/>
    </row>
    <row r="11" spans="1:14" ht="12" customHeight="1" x14ac:dyDescent="0.15">
      <c r="A11" s="781" t="s">
        <v>115</v>
      </c>
      <c r="B11" s="781"/>
      <c r="C11" s="280"/>
      <c r="D11" s="437">
        <f>'7.Market-rate Retail'!D37</f>
        <v>0</v>
      </c>
      <c r="E11" s="437">
        <f>'7.Market-rate Retail'!E37</f>
        <v>2254515.1484310003</v>
      </c>
      <c r="F11" s="437">
        <f>'7.Market-rate Retail'!F37</f>
        <v>3009197.9906886457</v>
      </c>
      <c r="G11" s="437">
        <f>'7.Market-rate Retail'!G37</f>
        <v>3069381.9505024184</v>
      </c>
      <c r="H11" s="437">
        <f>'7.Market-rate Retail'!H37</f>
        <v>8730478.1405580267</v>
      </c>
      <c r="I11" s="437">
        <f>'7.Market-rate Retail'!I37</f>
        <v>10667555.971892556</v>
      </c>
      <c r="J11" s="437">
        <f>'7.Market-rate Retail'!J37</f>
        <v>10880907.091330407</v>
      </c>
      <c r="K11" s="437">
        <f>'7.Market-rate Retail'!K37</f>
        <v>11407135.15588259</v>
      </c>
      <c r="L11" s="437">
        <f>'7.Market-rate Retail'!L37</f>
        <v>11732410.627821524</v>
      </c>
      <c r="M11" s="437">
        <f>'7.Market-rate Retail'!M37</f>
        <v>11967058.840377953</v>
      </c>
      <c r="N11" s="282"/>
    </row>
    <row r="12" spans="1:14" ht="12" customHeight="1" x14ac:dyDescent="0.15">
      <c r="A12" s="677"/>
      <c r="B12" s="661" t="s">
        <v>343</v>
      </c>
      <c r="C12" s="523"/>
      <c r="D12" s="456">
        <f>'10.Other'!D43</f>
        <v>0</v>
      </c>
      <c r="E12" s="456">
        <f>'10.Other'!E43</f>
        <v>0</v>
      </c>
      <c r="F12" s="456">
        <f>'10.Other'!F43</f>
        <v>659010.16800000006</v>
      </c>
      <c r="G12" s="456">
        <f>'10.Other'!G43</f>
        <v>672190.37136000011</v>
      </c>
      <c r="H12" s="456">
        <f>'10.Other'!H43</f>
        <v>685634.17878720001</v>
      </c>
      <c r="I12" s="456">
        <f>'10.Other'!I43</f>
        <v>699346.86236294394</v>
      </c>
      <c r="J12" s="456">
        <f>'10.Other'!J43</f>
        <v>1093359.2799012358</v>
      </c>
      <c r="K12" s="456">
        <f>'10.Other'!K43</f>
        <v>970247.85276170948</v>
      </c>
      <c r="L12" s="456">
        <f>'10.Other'!L43</f>
        <v>1046135.4540590567</v>
      </c>
      <c r="M12" s="456">
        <f>'10.Other'!M43</f>
        <v>1067058.1631402378</v>
      </c>
      <c r="N12" s="678"/>
    </row>
    <row r="13" spans="1:14" ht="12" customHeight="1" x14ac:dyDescent="0.15">
      <c r="A13" s="782" t="s">
        <v>83</v>
      </c>
      <c r="B13" s="783"/>
      <c r="C13" s="523"/>
      <c r="D13" s="681">
        <f>'8.Hotel'!D15</f>
        <v>0</v>
      </c>
      <c r="E13" s="437">
        <f>'8.Hotel'!E15</f>
        <v>0</v>
      </c>
      <c r="F13" s="438">
        <f>'8.Hotel'!F15</f>
        <v>0</v>
      </c>
      <c r="G13" s="438">
        <f>'8.Hotel'!G15</f>
        <v>0</v>
      </c>
      <c r="H13" s="438">
        <f>'8.Hotel'!H15</f>
        <v>0</v>
      </c>
      <c r="I13" s="438">
        <f>'8.Hotel'!I15</f>
        <v>0</v>
      </c>
      <c r="J13" s="438">
        <f>'8.Hotel'!J15</f>
        <v>0</v>
      </c>
      <c r="K13" s="438">
        <f>'8.Hotel'!K15</f>
        <v>7128078.1551555861</v>
      </c>
      <c r="L13" s="438">
        <f>'8.Hotel'!L15</f>
        <v>8724767.6619104352</v>
      </c>
      <c r="M13" s="682">
        <f>'8.Hotel'!M15</f>
        <v>11124078.768935807</v>
      </c>
      <c r="N13" s="678"/>
    </row>
    <row r="14" spans="1:14" ht="12" customHeight="1" x14ac:dyDescent="0.15">
      <c r="A14" s="789" t="s">
        <v>318</v>
      </c>
      <c r="B14" s="790"/>
      <c r="C14" s="679"/>
      <c r="D14" s="445">
        <f>'9.Structured Parking (New)'!D30</f>
        <v>0</v>
      </c>
      <c r="E14" s="445">
        <f>'9.Structured Parking (New)'!E30</f>
        <v>1390528.1997180004</v>
      </c>
      <c r="F14" s="445">
        <f>'9.Structured Parking (New)'!F30</f>
        <v>1418338.7637123605</v>
      </c>
      <c r="G14" s="445">
        <f>'9.Structured Parking (New)'!G30</f>
        <v>1446705.5389866075</v>
      </c>
      <c r="H14" s="445">
        <f>'9.Structured Parking (New)'!H30</f>
        <v>1475639.6497663395</v>
      </c>
      <c r="I14" s="445">
        <f>'9.Structured Parking (New)'!I30</f>
        <v>1505152.4427616661</v>
      </c>
      <c r="J14" s="445">
        <f>'9.Structured Parking (New)'!J30</f>
        <v>1535255.4916168994</v>
      </c>
      <c r="K14" s="445">
        <f>'9.Structured Parking (New)'!K30</f>
        <v>1565960.6014492377</v>
      </c>
      <c r="L14" s="445">
        <f>'9.Structured Parking (New)'!L30</f>
        <v>1597279.8134782223</v>
      </c>
      <c r="M14" s="680">
        <f>'9.Structured Parking (New)'!M30</f>
        <v>1629225.4097477868</v>
      </c>
      <c r="N14" s="678"/>
    </row>
    <row r="15" spans="1:14" ht="12" customHeight="1" x14ac:dyDescent="0.15">
      <c r="A15" s="789" t="s">
        <v>319</v>
      </c>
      <c r="B15" s="790"/>
      <c r="C15" s="309"/>
      <c r="D15" s="444">
        <f>'9.Structured Parking (Existing)'!D39</f>
        <v>0</v>
      </c>
      <c r="E15" s="444">
        <f>'9.Structured Parking (Existing)'!E39</f>
        <v>0</v>
      </c>
      <c r="F15" s="444">
        <f>'9.Structured Parking (Existing)'!F39</f>
        <v>0</v>
      </c>
      <c r="G15" s="444">
        <f>'9.Structured Parking (Existing)'!G39</f>
        <v>0</v>
      </c>
      <c r="H15" s="444">
        <f>'9.Structured Parking (Existing)'!H39</f>
        <v>2766597.6679324345</v>
      </c>
      <c r="I15" s="444">
        <f>'9.Structured Parking (Existing)'!I39</f>
        <v>2821929.6212910824</v>
      </c>
      <c r="J15" s="444">
        <f>'9.Structured Parking (Existing)'!J39</f>
        <v>2878368.2137169046</v>
      </c>
      <c r="K15" s="444">
        <f>'9.Structured Parking (Existing)'!K39</f>
        <v>2935935.5779912425</v>
      </c>
      <c r="L15" s="444">
        <f>'9.Structured Parking (Existing)'!L39</f>
        <v>2994654.2895510672</v>
      </c>
      <c r="M15" s="444">
        <f>'9.Structured Parking (Existing)'!M39</f>
        <v>3054547.3753420883</v>
      </c>
      <c r="N15" s="678"/>
    </row>
    <row r="16" spans="1:14" ht="12" hidden="1" customHeight="1" x14ac:dyDescent="0.15">
      <c r="A16" s="790" t="s">
        <v>118</v>
      </c>
      <c r="B16" s="790"/>
      <c r="C16" s="309"/>
      <c r="D16" s="444"/>
      <c r="E16" s="445"/>
      <c r="F16" s="445"/>
      <c r="G16" s="445"/>
      <c r="H16" s="445"/>
      <c r="I16" s="445"/>
      <c r="J16" s="445"/>
      <c r="K16" s="445"/>
      <c r="L16" s="446"/>
      <c r="M16" s="446"/>
      <c r="N16" s="293"/>
    </row>
    <row r="17" spans="1:14" ht="12" hidden="1" customHeight="1" x14ac:dyDescent="0.15">
      <c r="A17" s="279"/>
      <c r="B17" s="279" t="s">
        <v>121</v>
      </c>
      <c r="C17" s="280"/>
      <c r="D17" s="437"/>
      <c r="E17" s="438"/>
      <c r="F17" s="438"/>
      <c r="G17" s="438"/>
      <c r="H17" s="438"/>
      <c r="I17" s="438"/>
      <c r="J17" s="438"/>
      <c r="K17" s="438"/>
      <c r="L17" s="439"/>
      <c r="M17" s="439"/>
      <c r="N17" s="282"/>
    </row>
    <row r="18" spans="1:14" ht="12" hidden="1" customHeight="1" x14ac:dyDescent="0.15">
      <c r="A18" s="781" t="s">
        <v>122</v>
      </c>
      <c r="B18" s="781"/>
      <c r="C18" s="280"/>
      <c r="D18" s="437"/>
      <c r="E18" s="438"/>
      <c r="F18" s="438"/>
      <c r="G18" s="438"/>
      <c r="H18" s="438"/>
      <c r="I18" s="438"/>
      <c r="J18" s="438"/>
      <c r="K18" s="438"/>
      <c r="L18" s="439"/>
      <c r="M18" s="439"/>
      <c r="N18" s="282"/>
    </row>
    <row r="19" spans="1:14" ht="12" hidden="1" customHeight="1" x14ac:dyDescent="0.15">
      <c r="A19" s="279"/>
      <c r="B19" s="279" t="s">
        <v>123</v>
      </c>
      <c r="C19" s="280"/>
      <c r="D19" s="437"/>
      <c r="E19" s="438"/>
      <c r="F19" s="438"/>
      <c r="G19" s="438"/>
      <c r="H19" s="438"/>
      <c r="I19" s="438"/>
      <c r="J19" s="438"/>
      <c r="K19" s="438"/>
      <c r="L19" s="439"/>
      <c r="M19" s="439"/>
      <c r="N19" s="282"/>
    </row>
    <row r="20" spans="1:14" ht="12" hidden="1" customHeight="1" x14ac:dyDescent="0.15">
      <c r="A20" s="781" t="s">
        <v>56</v>
      </c>
      <c r="B20" s="781"/>
      <c r="C20" s="280"/>
      <c r="D20" s="437"/>
      <c r="E20" s="438"/>
      <c r="F20" s="438"/>
      <c r="G20" s="438"/>
      <c r="H20" s="438"/>
      <c r="I20" s="438"/>
      <c r="J20" s="438"/>
      <c r="K20" s="438"/>
      <c r="L20" s="439"/>
      <c r="M20" s="439"/>
      <c r="N20" s="282"/>
    </row>
    <row r="21" spans="1:14" ht="12" customHeight="1" x14ac:dyDescent="0.15">
      <c r="A21" s="787" t="s">
        <v>1</v>
      </c>
      <c r="B21" s="787"/>
      <c r="C21" s="272"/>
      <c r="D21" s="440">
        <f>SUM(D5:D20)</f>
        <v>0</v>
      </c>
      <c r="E21" s="440">
        <f t="shared" ref="E21:M21" si="1">SUM(E5:E20)</f>
        <v>3645043.3481490007</v>
      </c>
      <c r="F21" s="440">
        <f t="shared" si="1"/>
        <v>6537322.2302548056</v>
      </c>
      <c r="G21" s="440">
        <f t="shared" si="1"/>
        <v>8887754.8958762176</v>
      </c>
      <c r="H21" s="440">
        <f t="shared" si="1"/>
        <v>18438073.966299132</v>
      </c>
      <c r="I21" s="440">
        <f t="shared" si="1"/>
        <v>21535463.229208294</v>
      </c>
      <c r="J21" s="440">
        <f t="shared" si="1"/>
        <v>23824422.032125004</v>
      </c>
      <c r="K21" s="440">
        <f t="shared" si="1"/>
        <v>33824122.401204079</v>
      </c>
      <c r="L21" s="440">
        <f t="shared" si="1"/>
        <v>36927748.693977706</v>
      </c>
      <c r="M21" s="440">
        <f t="shared" si="1"/>
        <v>39914519.421644427</v>
      </c>
      <c r="N21" s="285"/>
    </row>
    <row r="22" spans="1:14" ht="12" customHeight="1" x14ac:dyDescent="0.15">
      <c r="A22" s="787" t="s">
        <v>119</v>
      </c>
      <c r="B22" s="787"/>
      <c r="C22" s="272"/>
      <c r="D22" s="284"/>
      <c r="E22" s="285"/>
      <c r="F22" s="285"/>
      <c r="G22" s="285"/>
      <c r="H22" s="285"/>
      <c r="I22" s="285"/>
      <c r="J22" s="285"/>
      <c r="K22" s="285"/>
      <c r="L22" s="788"/>
      <c r="M22" s="788"/>
      <c r="N22" s="285"/>
    </row>
    <row r="23" spans="1:14" ht="12" customHeight="1" x14ac:dyDescent="0.15">
      <c r="A23" s="286"/>
      <c r="B23" s="286" t="s">
        <v>120</v>
      </c>
      <c r="C23" s="287"/>
      <c r="D23" s="288"/>
      <c r="E23" s="289"/>
      <c r="F23" s="289"/>
      <c r="G23" s="289"/>
      <c r="H23" s="289"/>
      <c r="I23" s="289"/>
      <c r="J23" s="289"/>
      <c r="K23" s="289"/>
      <c r="L23" s="290"/>
      <c r="M23" s="290"/>
      <c r="N23" s="289"/>
    </row>
    <row r="24" spans="1:14" s="291" customFormat="1" ht="12" customHeight="1" x14ac:dyDescent="0.15">
      <c r="A24" s="668"/>
      <c r="B24" s="669"/>
      <c r="C24" s="670"/>
      <c r="D24" s="671"/>
      <c r="E24" s="665"/>
      <c r="F24" s="665"/>
      <c r="G24" s="665"/>
      <c r="H24" s="665"/>
      <c r="I24" s="665"/>
      <c r="J24" s="665"/>
      <c r="K24" s="665"/>
      <c r="L24" s="666"/>
      <c r="M24" s="666"/>
      <c r="N24" s="534"/>
    </row>
    <row r="25" spans="1:14" ht="12" customHeight="1" x14ac:dyDescent="0.15">
      <c r="A25" s="275" t="s">
        <v>2</v>
      </c>
      <c r="B25" s="275"/>
      <c r="C25" s="276"/>
      <c r="D25" s="292"/>
      <c r="E25" s="293"/>
      <c r="F25" s="293"/>
      <c r="G25" s="293"/>
      <c r="H25" s="293"/>
      <c r="I25" s="293"/>
      <c r="J25" s="293"/>
      <c r="K25" s="293"/>
      <c r="L25" s="295"/>
      <c r="M25" s="295"/>
      <c r="N25" s="293"/>
    </row>
    <row r="26" spans="1:14" ht="12" customHeight="1" x14ac:dyDescent="0.15">
      <c r="A26" s="786" t="s">
        <v>87</v>
      </c>
      <c r="B26" s="279" t="s">
        <v>79</v>
      </c>
      <c r="C26" s="280"/>
      <c r="D26" s="431">
        <f>'2.Market-rate Rental Housing'!D43</f>
        <v>44062521.224399999</v>
      </c>
      <c r="E26" s="431">
        <f>'2.Market-rate Rental Housing'!E43</f>
        <v>19261616.420952</v>
      </c>
      <c r="F26" s="431">
        <f>'2.Market-rate Rental Housing'!F43</f>
        <v>0</v>
      </c>
      <c r="G26" s="431">
        <f>'2.Market-rate Rental Housing'!G43</f>
        <v>31476103.231976639</v>
      </c>
      <c r="H26" s="431">
        <f>'2.Market-rate Rental Housing'!H43</f>
        <v>10701875.098872058</v>
      </c>
      <c r="I26" s="431">
        <f>'2.Market-rate Rental Housing'!I43</f>
        <v>0</v>
      </c>
      <c r="J26" s="431">
        <f>'2.Market-rate Rental Housing'!J43</f>
        <v>0</v>
      </c>
      <c r="K26" s="431">
        <f>'2.Market-rate Rental Housing'!K43</f>
        <v>0</v>
      </c>
      <c r="L26" s="431">
        <f>'2.Market-rate Rental Housing'!L43</f>
        <v>0</v>
      </c>
      <c r="M26" s="431">
        <f>'2.Market-rate Rental Housing'!M43</f>
        <v>0</v>
      </c>
      <c r="N26" s="282"/>
    </row>
    <row r="27" spans="1:14" ht="12" hidden="1" customHeight="1" x14ac:dyDescent="0.15">
      <c r="A27" s="785"/>
      <c r="B27" s="279" t="s">
        <v>80</v>
      </c>
      <c r="C27" s="280"/>
      <c r="D27" s="437">
        <f>'3.Market-rate For-Sale Housing'!D22</f>
        <v>0</v>
      </c>
      <c r="E27" s="437">
        <f>'3.Market-rate For-Sale Housing'!E22</f>
        <v>0</v>
      </c>
      <c r="F27" s="437">
        <f>'3.Market-rate For-Sale Housing'!F22</f>
        <v>0</v>
      </c>
      <c r="G27" s="437">
        <f>'3.Market-rate For-Sale Housing'!G22</f>
        <v>0</v>
      </c>
      <c r="H27" s="437">
        <f>'3.Market-rate For-Sale Housing'!H22</f>
        <v>0</v>
      </c>
      <c r="I27" s="437">
        <f>'3.Market-rate For-Sale Housing'!I22</f>
        <v>0</v>
      </c>
      <c r="J27" s="437">
        <f>'3.Market-rate For-Sale Housing'!J22</f>
        <v>0</v>
      </c>
      <c r="K27" s="437">
        <f>'3.Market-rate For-Sale Housing'!K22</f>
        <v>0</v>
      </c>
      <c r="L27" s="437">
        <f>'3.Market-rate For-Sale Housing'!L22</f>
        <v>0</v>
      </c>
      <c r="M27" s="437">
        <f>'3.Market-rate For-Sale Housing'!M22</f>
        <v>0</v>
      </c>
      <c r="N27" s="282"/>
    </row>
    <row r="28" spans="1:14" ht="12" hidden="1" customHeight="1" x14ac:dyDescent="0.15">
      <c r="A28" s="283" t="s">
        <v>117</v>
      </c>
      <c r="B28" s="279" t="s">
        <v>79</v>
      </c>
      <c r="C28" s="280"/>
      <c r="D28" s="281"/>
      <c r="E28" s="282"/>
      <c r="F28" s="282"/>
      <c r="G28" s="282"/>
      <c r="H28" s="282"/>
      <c r="I28" s="282"/>
      <c r="J28" s="282"/>
      <c r="K28" s="282"/>
      <c r="L28" s="294"/>
      <c r="M28" s="294"/>
      <c r="N28" s="282"/>
    </row>
    <row r="29" spans="1:14" ht="12" customHeight="1" x14ac:dyDescent="0.15">
      <c r="A29" s="786" t="s">
        <v>86</v>
      </c>
      <c r="B29" s="279" t="s">
        <v>79</v>
      </c>
      <c r="C29" s="280"/>
      <c r="D29" s="437">
        <f>'4.Affordable Rental Housing'!D43</f>
        <v>4959917.3105999995</v>
      </c>
      <c r="E29" s="437">
        <f>'4.Affordable Rental Housing'!E43</f>
        <v>2168192.424348</v>
      </c>
      <c r="F29" s="437">
        <f>'4.Affordable Rental Housing'!F43</f>
        <v>0</v>
      </c>
      <c r="G29" s="437">
        <f>'4.Affordable Rental Housing'!G43</f>
        <v>3497344.80355296</v>
      </c>
      <c r="H29" s="437">
        <f>'4.Affordable Rental Housing'!H43</f>
        <v>1189097.2332080065</v>
      </c>
      <c r="I29" s="437">
        <f>'4.Affordable Rental Housing'!I43</f>
        <v>0</v>
      </c>
      <c r="J29" s="437">
        <f>'4.Affordable Rental Housing'!J43</f>
        <v>0</v>
      </c>
      <c r="K29" s="437">
        <f>'4.Affordable Rental Housing'!K43</f>
        <v>0</v>
      </c>
      <c r="L29" s="437">
        <f>'4.Affordable Rental Housing'!L43</f>
        <v>0</v>
      </c>
      <c r="M29" s="437">
        <f>'4.Affordable Rental Housing'!M43</f>
        <v>0</v>
      </c>
      <c r="N29" s="282"/>
    </row>
    <row r="30" spans="1:14" ht="12" hidden="1" customHeight="1" x14ac:dyDescent="0.15">
      <c r="A30" s="785"/>
      <c r="B30" s="279" t="s">
        <v>80</v>
      </c>
      <c r="C30" s="280"/>
      <c r="D30" s="437">
        <f>'5.Affordable For-Sale Housing'!C22</f>
        <v>0</v>
      </c>
      <c r="E30" s="437">
        <f>'5.Affordable For-Sale Housing'!D22</f>
        <v>0</v>
      </c>
      <c r="F30" s="437">
        <f>'5.Affordable For-Sale Housing'!E22</f>
        <v>0</v>
      </c>
      <c r="G30" s="437">
        <f>'5.Affordable For-Sale Housing'!F22</f>
        <v>0</v>
      </c>
      <c r="H30" s="437">
        <f>'5.Affordable For-Sale Housing'!G22</f>
        <v>0</v>
      </c>
      <c r="I30" s="437">
        <f>'5.Affordable For-Sale Housing'!H22</f>
        <v>0</v>
      </c>
      <c r="J30" s="437">
        <f>'5.Affordable For-Sale Housing'!I22</f>
        <v>0</v>
      </c>
      <c r="K30" s="437">
        <f>'5.Affordable For-Sale Housing'!J22</f>
        <v>0</v>
      </c>
      <c r="L30" s="437">
        <f>'5.Affordable For-Sale Housing'!K22</f>
        <v>0</v>
      </c>
      <c r="M30" s="437">
        <f>'5.Affordable For-Sale Housing'!L22</f>
        <v>0</v>
      </c>
      <c r="N30" s="282"/>
    </row>
    <row r="31" spans="1:14" ht="12" customHeight="1" x14ac:dyDescent="0.15">
      <c r="A31" s="781" t="s">
        <v>81</v>
      </c>
      <c r="B31" s="781"/>
      <c r="C31" s="280"/>
      <c r="D31" s="437">
        <f>'6.Office_Commercial'!D22</f>
        <v>0</v>
      </c>
      <c r="E31" s="437">
        <f>'6.Office_Commercial'!E22</f>
        <v>0</v>
      </c>
      <c r="F31" s="437">
        <f>'6.Office_Commercial'!F22</f>
        <v>0</v>
      </c>
      <c r="G31" s="437">
        <f>'6.Office_Commercial'!G22</f>
        <v>0</v>
      </c>
      <c r="H31" s="437">
        <f>'6.Office_Commercial'!H22</f>
        <v>0</v>
      </c>
      <c r="I31" s="437">
        <f>'6.Office_Commercial'!I22</f>
        <v>0</v>
      </c>
      <c r="J31" s="437">
        <f>'6.Office_Commercial'!J22</f>
        <v>0</v>
      </c>
      <c r="K31" s="437">
        <f>'6.Office_Commercial'!K22</f>
        <v>32129987.221486438</v>
      </c>
      <c r="L31" s="437">
        <f>'6.Office_Commercial'!L22</f>
        <v>0</v>
      </c>
      <c r="M31" s="437">
        <f>'6.Office_Commercial'!M22</f>
        <v>0</v>
      </c>
      <c r="N31" s="282"/>
    </row>
    <row r="32" spans="1:14" ht="12" customHeight="1" x14ac:dyDescent="0.15">
      <c r="A32" s="781" t="s">
        <v>114</v>
      </c>
      <c r="B32" s="781"/>
      <c r="C32" s="280"/>
      <c r="D32" s="437">
        <f>'7.Market-rate Retail'!D43</f>
        <v>0</v>
      </c>
      <c r="E32" s="437">
        <f>'7.Market-rate Retail'!E43</f>
        <v>29176604.720640007</v>
      </c>
      <c r="F32" s="437">
        <f>'7.Market-rate Retail'!F43</f>
        <v>0</v>
      </c>
      <c r="G32" s="437">
        <f>'7.Market-rate Retail'!G43</f>
        <v>53285385.16635704</v>
      </c>
      <c r="H32" s="437">
        <f>'7.Market-rate Retail'!H43</f>
        <v>18117030.956561394</v>
      </c>
      <c r="I32" s="437">
        <f>'7.Market-rate Retail'!I43</f>
        <v>0</v>
      </c>
      <c r="J32" s="437">
        <f>'7.Market-rate Retail'!J43</f>
        <v>3915536.7816470456</v>
      </c>
      <c r="K32" s="437">
        <f>'7.Market-rate Retail'!K43</f>
        <v>0</v>
      </c>
      <c r="L32" s="437">
        <f>'7.Market-rate Retail'!L43</f>
        <v>0</v>
      </c>
      <c r="M32" s="437">
        <f>'7.Market-rate Retail'!M43</f>
        <v>0</v>
      </c>
      <c r="N32" s="282"/>
    </row>
    <row r="33" spans="1:14" ht="12" customHeight="1" x14ac:dyDescent="0.15">
      <c r="A33" s="279"/>
      <c r="B33" s="320" t="s">
        <v>343</v>
      </c>
      <c r="C33" s="280"/>
      <c r="D33" s="437">
        <f>'10.Other'!D49</f>
        <v>0</v>
      </c>
      <c r="E33" s="437">
        <f>'10.Other'!E49</f>
        <v>0</v>
      </c>
      <c r="F33" s="437">
        <f>'10.Other'!F49</f>
        <v>0</v>
      </c>
      <c r="G33" s="437">
        <f>'10.Other'!G49</f>
        <v>0</v>
      </c>
      <c r="H33" s="437">
        <f>'10.Other'!H49</f>
        <v>0</v>
      </c>
      <c r="I33" s="437">
        <f>'10.Other'!I49</f>
        <v>0</v>
      </c>
      <c r="J33" s="437">
        <f>'10.Other'!J49</f>
        <v>4918065.5228416994</v>
      </c>
      <c r="K33" s="437">
        <f>'10.Other'!K49</f>
        <v>0</v>
      </c>
      <c r="L33" s="437">
        <f>'10.Other'!L49</f>
        <v>0</v>
      </c>
      <c r="M33" s="437">
        <f>'10.Other'!M49</f>
        <v>0</v>
      </c>
      <c r="N33" s="282"/>
    </row>
    <row r="34" spans="1:14" ht="12" customHeight="1" x14ac:dyDescent="0.15">
      <c r="A34" s="781" t="s">
        <v>83</v>
      </c>
      <c r="B34" s="781"/>
      <c r="C34" s="280"/>
      <c r="D34" s="437">
        <f>'8.Hotel'!D20</f>
        <v>0</v>
      </c>
      <c r="E34" s="437">
        <f>'8.Hotel'!E20</f>
        <v>0</v>
      </c>
      <c r="F34" s="437">
        <f>'8.Hotel'!F20</f>
        <v>0</v>
      </c>
      <c r="G34" s="437">
        <f>'8.Hotel'!G20</f>
        <v>0</v>
      </c>
      <c r="H34" s="437">
        <f>'8.Hotel'!H20</f>
        <v>0</v>
      </c>
      <c r="I34" s="437">
        <f>'8.Hotel'!I20</f>
        <v>0</v>
      </c>
      <c r="J34" s="437">
        <f>'8.Hotel'!J20</f>
        <v>44180282.399999999</v>
      </c>
      <c r="K34" s="437">
        <f>'8.Hotel'!K20</f>
        <v>0</v>
      </c>
      <c r="L34" s="437">
        <f>'8.Hotel'!L20</f>
        <v>0</v>
      </c>
      <c r="M34" s="437">
        <f>'8.Hotel'!M20</f>
        <v>0</v>
      </c>
      <c r="N34" s="282"/>
    </row>
    <row r="35" spans="1:14" ht="12" customHeight="1" x14ac:dyDescent="0.15">
      <c r="A35" s="781" t="s">
        <v>318</v>
      </c>
      <c r="B35" s="781"/>
      <c r="C35" s="280"/>
      <c r="D35" s="437">
        <f>'9.Structured Parking (New)'!C33</f>
        <v>0</v>
      </c>
      <c r="E35" s="437">
        <f>'9.Structured Parking (New)'!D33</f>
        <v>0</v>
      </c>
      <c r="F35" s="437">
        <f>'9.Structured Parking (New)'!E33</f>
        <v>4653038</v>
      </c>
      <c r="G35" s="437">
        <f>'9.Structured Parking (New)'!F33</f>
        <v>0</v>
      </c>
      <c r="H35" s="437">
        <f>'9.Structured Parking (New)'!G33</f>
        <v>0</v>
      </c>
      <c r="I35" s="437">
        <f>'9.Structured Parking (New)'!H33</f>
        <v>0</v>
      </c>
      <c r="J35" s="437">
        <f>'9.Structured Parking (New)'!I33</f>
        <v>0</v>
      </c>
      <c r="K35" s="437">
        <f>'9.Structured Parking (New)'!J33</f>
        <v>0</v>
      </c>
      <c r="L35" s="437">
        <f>'9.Structured Parking (New)'!K33</f>
        <v>0</v>
      </c>
      <c r="M35" s="437">
        <f>'9.Structured Parking (New)'!L33</f>
        <v>0</v>
      </c>
      <c r="N35" s="282"/>
    </row>
    <row r="36" spans="1:14" ht="12" customHeight="1" x14ac:dyDescent="0.15">
      <c r="A36" s="781" t="s">
        <v>319</v>
      </c>
      <c r="B36" s="781"/>
      <c r="C36" s="280"/>
      <c r="D36" s="437">
        <f>'9.Structured Parking (Existing)'!C35</f>
        <v>0</v>
      </c>
      <c r="E36" s="437">
        <f>'9.Structured Parking (Existing)'!D35</f>
        <v>0</v>
      </c>
      <c r="F36" s="437">
        <f>'9.Structured Parking (Existing)'!E35</f>
        <v>0</v>
      </c>
      <c r="G36" s="437">
        <f>'9.Structured Parking (Existing)'!F35</f>
        <v>0</v>
      </c>
      <c r="H36" s="437">
        <f>'9.Structured Parking (Existing)'!G35</f>
        <v>7740000</v>
      </c>
      <c r="I36" s="437">
        <f>'9.Structured Parking (Existing)'!H35</f>
        <v>0</v>
      </c>
      <c r="J36" s="437">
        <f>'9.Structured Parking (Existing)'!I35</f>
        <v>0</v>
      </c>
      <c r="K36" s="437">
        <f>'9.Structured Parking (Existing)'!J35</f>
        <v>0</v>
      </c>
      <c r="L36" s="437">
        <f>'9.Structured Parking (Existing)'!K35</f>
        <v>0</v>
      </c>
      <c r="M36" s="437">
        <f>'9.Structured Parking (Existing)'!L35</f>
        <v>0</v>
      </c>
      <c r="N36" s="282"/>
    </row>
    <row r="37" spans="1:14" ht="12" hidden="1" customHeight="1" x14ac:dyDescent="0.15">
      <c r="A37" s="781" t="s">
        <v>118</v>
      </c>
      <c r="B37" s="781"/>
      <c r="C37" s="280"/>
      <c r="D37" s="281"/>
      <c r="E37" s="282"/>
      <c r="F37" s="282"/>
      <c r="G37" s="282"/>
      <c r="H37" s="282"/>
      <c r="I37" s="282"/>
      <c r="J37" s="282"/>
      <c r="K37" s="282"/>
      <c r="L37" s="294"/>
      <c r="M37" s="294"/>
      <c r="N37" s="282"/>
    </row>
    <row r="38" spans="1:14" ht="12" hidden="1" customHeight="1" x14ac:dyDescent="0.15">
      <c r="A38" s="781" t="s">
        <v>56</v>
      </c>
      <c r="B38" s="781"/>
      <c r="C38" s="280"/>
      <c r="D38" s="281"/>
      <c r="E38" s="282"/>
      <c r="F38" s="282"/>
      <c r="G38" s="282"/>
      <c r="H38" s="282"/>
      <c r="I38" s="282"/>
      <c r="J38" s="282"/>
      <c r="K38" s="282"/>
      <c r="L38" s="294"/>
      <c r="M38" s="294"/>
      <c r="N38" s="282"/>
    </row>
    <row r="39" spans="1:14" ht="12" customHeight="1" x14ac:dyDescent="0.15">
      <c r="A39" s="320"/>
      <c r="B39" s="320" t="s">
        <v>116</v>
      </c>
      <c r="C39" s="280"/>
      <c r="D39" s="437">
        <f>D144</f>
        <v>6000000</v>
      </c>
      <c r="E39" s="438"/>
      <c r="F39" s="438"/>
      <c r="G39" s="438"/>
      <c r="H39" s="438"/>
      <c r="I39" s="438"/>
      <c r="J39" s="438"/>
      <c r="K39" s="438"/>
      <c r="L39" s="449"/>
      <c r="M39" s="449"/>
      <c r="N39" s="282"/>
    </row>
    <row r="40" spans="1:14" ht="12" customHeight="1" x14ac:dyDescent="0.15">
      <c r="A40" s="320"/>
      <c r="B40" s="320" t="s">
        <v>294</v>
      </c>
      <c r="C40" s="280"/>
      <c r="D40" s="437">
        <f>D131+D132+D133+D134+D136</f>
        <v>11318580</v>
      </c>
      <c r="E40" s="438"/>
      <c r="F40" s="438"/>
      <c r="G40" s="438">
        <f>D137+D138+D139</f>
        <v>653868</v>
      </c>
      <c r="H40" s="438"/>
      <c r="I40" s="438"/>
      <c r="J40" s="438">
        <f>D135+D140</f>
        <v>2871108</v>
      </c>
      <c r="K40" s="438"/>
      <c r="L40" s="449"/>
      <c r="M40" s="449"/>
      <c r="N40" s="282"/>
    </row>
    <row r="41" spans="1:14" ht="12" customHeight="1" x14ac:dyDescent="0.15">
      <c r="A41" s="791" t="s">
        <v>102</v>
      </c>
      <c r="B41" s="791"/>
      <c r="C41" s="747"/>
      <c r="D41" s="437">
        <f>'1.Infrastructure Costs'!E23</f>
        <v>27248800</v>
      </c>
      <c r="E41" s="437">
        <f>'1.Infrastructure Costs'!F23</f>
        <v>27248800</v>
      </c>
      <c r="F41" s="437">
        <f>'1.Infrastructure Costs'!G23</f>
        <v>0</v>
      </c>
      <c r="G41" s="437">
        <f>'1.Infrastructure Costs'!H23</f>
        <v>0</v>
      </c>
      <c r="H41" s="437">
        <f>'1.Infrastructure Costs'!I23</f>
        <v>0</v>
      </c>
      <c r="I41" s="437">
        <f>'1.Infrastructure Costs'!J23</f>
        <v>0</v>
      </c>
      <c r="J41" s="437">
        <f>'1.Infrastructure Costs'!K23</f>
        <v>0</v>
      </c>
      <c r="K41" s="437">
        <f>'1.Infrastructure Costs'!L23</f>
        <v>0</v>
      </c>
      <c r="L41" s="437">
        <f>'1.Infrastructure Costs'!M23</f>
        <v>0</v>
      </c>
      <c r="M41" s="437">
        <f>'1.Infrastructure Costs'!N23</f>
        <v>0</v>
      </c>
      <c r="N41" s="282"/>
    </row>
    <row r="42" spans="1:14" ht="12" customHeight="1" x14ac:dyDescent="0.15">
      <c r="A42" s="327"/>
      <c r="B42" s="327" t="s">
        <v>101</v>
      </c>
      <c r="C42" s="312"/>
      <c r="D42" s="313"/>
      <c r="E42" s="314"/>
      <c r="F42" s="314"/>
      <c r="G42" s="314"/>
      <c r="H42" s="314"/>
      <c r="I42" s="314"/>
      <c r="J42" s="314"/>
      <c r="K42" s="314"/>
      <c r="L42" s="433"/>
      <c r="M42" s="433"/>
      <c r="N42" s="289"/>
    </row>
    <row r="43" spans="1:14" ht="12" customHeight="1" x14ac:dyDescent="0.15">
      <c r="A43" s="792" t="s">
        <v>3</v>
      </c>
      <c r="B43" s="792"/>
      <c r="C43" s="272"/>
      <c r="D43" s="440">
        <f>SUM(D26:D42)</f>
        <v>93589818.534999996</v>
      </c>
      <c r="E43" s="440">
        <f t="shared" ref="E43:M43" si="2">SUM(E26:E42)</f>
        <v>77855213.565940008</v>
      </c>
      <c r="F43" s="440">
        <f t="shared" si="2"/>
        <v>4653038</v>
      </c>
      <c r="G43" s="440">
        <f t="shared" si="2"/>
        <v>88912701.201886639</v>
      </c>
      <c r="H43" s="440">
        <f t="shared" si="2"/>
        <v>37748003.28864146</v>
      </c>
      <c r="I43" s="440">
        <f t="shared" si="2"/>
        <v>0</v>
      </c>
      <c r="J43" s="440">
        <f t="shared" si="2"/>
        <v>55884992.704488739</v>
      </c>
      <c r="K43" s="440">
        <f t="shared" si="2"/>
        <v>32129987.221486438</v>
      </c>
      <c r="L43" s="440">
        <f t="shared" si="2"/>
        <v>0</v>
      </c>
      <c r="M43" s="440">
        <f t="shared" si="2"/>
        <v>0</v>
      </c>
      <c r="N43" s="289"/>
    </row>
    <row r="44" spans="1:14" s="296" customFormat="1" ht="12" customHeight="1" x14ac:dyDescent="0.15">
      <c r="A44" s="672"/>
      <c r="B44" s="672"/>
      <c r="C44" s="673"/>
      <c r="D44" s="674"/>
      <c r="E44" s="675"/>
      <c r="F44" s="675"/>
      <c r="G44" s="675"/>
      <c r="H44" s="675"/>
      <c r="I44" s="675"/>
      <c r="J44" s="675"/>
      <c r="K44" s="675"/>
      <c r="L44" s="676"/>
      <c r="M44" s="676"/>
      <c r="N44" s="534"/>
    </row>
    <row r="45" spans="1:14" ht="12" customHeight="1" x14ac:dyDescent="0.15">
      <c r="A45" s="297" t="s">
        <v>4</v>
      </c>
      <c r="B45" s="297"/>
      <c r="C45" s="298"/>
      <c r="D45" s="299"/>
      <c r="E45" s="270"/>
      <c r="F45" s="270"/>
      <c r="G45" s="270"/>
      <c r="H45" s="270"/>
      <c r="I45" s="270"/>
      <c r="J45" s="270"/>
      <c r="K45" s="270"/>
      <c r="L45" s="434"/>
      <c r="M45" s="434"/>
      <c r="N45" s="293"/>
    </row>
    <row r="46" spans="1:14" ht="12" customHeight="1" x14ac:dyDescent="0.15">
      <c r="A46" s="781" t="s">
        <v>5</v>
      </c>
      <c r="B46" s="781"/>
      <c r="C46" s="280"/>
      <c r="D46" s="448">
        <f>D21</f>
        <v>0</v>
      </c>
      <c r="E46" s="448">
        <f t="shared" ref="E46:M46" si="3">E21</f>
        <v>3645043.3481490007</v>
      </c>
      <c r="F46" s="448">
        <f t="shared" si="3"/>
        <v>6537322.2302548056</v>
      </c>
      <c r="G46" s="448">
        <f t="shared" si="3"/>
        <v>8887754.8958762176</v>
      </c>
      <c r="H46" s="448">
        <f t="shared" si="3"/>
        <v>18438073.966299132</v>
      </c>
      <c r="I46" s="448">
        <f t="shared" si="3"/>
        <v>21535463.229208294</v>
      </c>
      <c r="J46" s="448">
        <f t="shared" si="3"/>
        <v>23824422.032125004</v>
      </c>
      <c r="K46" s="448">
        <f t="shared" si="3"/>
        <v>33824122.401204079</v>
      </c>
      <c r="L46" s="448">
        <f t="shared" si="3"/>
        <v>36927748.693977706</v>
      </c>
      <c r="M46" s="448">
        <f t="shared" si="3"/>
        <v>39914519.421644427</v>
      </c>
      <c r="N46" s="282"/>
    </row>
    <row r="47" spans="1:14" ht="12" customHeight="1" x14ac:dyDescent="0.15">
      <c r="A47" s="279"/>
      <c r="B47" s="279" t="s">
        <v>106</v>
      </c>
      <c r="C47" s="280"/>
      <c r="D47" s="281"/>
      <c r="E47" s="282"/>
      <c r="F47" s="282"/>
      <c r="G47" s="282"/>
      <c r="H47" s="282"/>
      <c r="I47" s="438">
        <f>6000000*1.5</f>
        <v>9000000</v>
      </c>
      <c r="J47" s="282"/>
      <c r="K47" s="282"/>
      <c r="L47" s="294"/>
      <c r="M47" s="449">
        <f>'2.Market-rate Rental Housing'!M46+'4.Affordable Rental Housing'!M46+'6.Office_Commercial'!M25+'7.Market-rate Retail'!M46+'8.Hotel'!M23+'9.Structured Parking (New)'!M38+'9.Structured Parking (Existing)'!M40</f>
        <v>650604348.46358466</v>
      </c>
      <c r="N47" s="282"/>
    </row>
    <row r="48" spans="1:14" ht="12" customHeight="1" x14ac:dyDescent="0.15">
      <c r="A48" s="781" t="s">
        <v>43</v>
      </c>
      <c r="B48" s="781"/>
      <c r="C48" s="300"/>
      <c r="D48" s="310"/>
      <c r="E48" s="311"/>
      <c r="F48" s="311"/>
      <c r="G48" s="311"/>
      <c r="H48" s="311"/>
      <c r="I48" s="457">
        <f>I47*-0.03</f>
        <v>-270000</v>
      </c>
      <c r="J48" s="311"/>
      <c r="K48" s="311"/>
      <c r="L48" s="450"/>
      <c r="M48" s="455">
        <f>'2.Market-rate Rental Housing'!M47+'4.Affordable Rental Housing'!M47+'6.Office_Commercial'!M26+'7.Market-rate Retail'!M47+'8.Hotel'!M24+'9.Structured Parking (New)'!M39+'9.Structured Parking (Existing)'!M41</f>
        <v>-23226156.710219476</v>
      </c>
      <c r="N48" s="282"/>
    </row>
    <row r="49" spans="1:15" ht="12" customHeight="1" x14ac:dyDescent="0.15">
      <c r="A49" s="781" t="s">
        <v>3</v>
      </c>
      <c r="B49" s="781"/>
      <c r="C49" s="280"/>
      <c r="D49" s="451">
        <f>-D43</f>
        <v>-93589818.534999996</v>
      </c>
      <c r="E49" s="452">
        <f t="shared" ref="E49:M49" si="4">-E43</f>
        <v>-77855213.565940008</v>
      </c>
      <c r="F49" s="452">
        <f t="shared" si="4"/>
        <v>-4653038</v>
      </c>
      <c r="G49" s="452">
        <f t="shared" si="4"/>
        <v>-88912701.201886639</v>
      </c>
      <c r="H49" s="452">
        <f t="shared" si="4"/>
        <v>-37748003.28864146</v>
      </c>
      <c r="I49" s="452">
        <f t="shared" si="4"/>
        <v>0</v>
      </c>
      <c r="J49" s="452">
        <f t="shared" si="4"/>
        <v>-55884992.704488739</v>
      </c>
      <c r="K49" s="452">
        <f t="shared" si="4"/>
        <v>-32129987.221486438</v>
      </c>
      <c r="L49" s="452">
        <f t="shared" si="4"/>
        <v>0</v>
      </c>
      <c r="M49" s="453">
        <f t="shared" si="4"/>
        <v>0</v>
      </c>
      <c r="N49" s="282"/>
    </row>
    <row r="50" spans="1:15" ht="12" customHeight="1" x14ac:dyDescent="0.15">
      <c r="A50" s="301" t="s">
        <v>6</v>
      </c>
      <c r="B50" s="302"/>
      <c r="C50" s="272"/>
      <c r="D50" s="454">
        <f>SUM(D46:D49)</f>
        <v>-93589818.534999996</v>
      </c>
      <c r="E50" s="454">
        <f t="shared" ref="E50:G50" si="5">SUM(E46:E49)</f>
        <v>-74210170.217791006</v>
      </c>
      <c r="F50" s="454">
        <f t="shared" si="5"/>
        <v>1884284.2302548056</v>
      </c>
      <c r="G50" s="454">
        <f t="shared" si="5"/>
        <v>-80024946.306010425</v>
      </c>
      <c r="H50" s="454">
        <f t="shared" ref="H50:M50" si="6">SUM(H46:H49)</f>
        <v>-19309929.322342329</v>
      </c>
      <c r="I50" s="454">
        <f t="shared" si="6"/>
        <v>30265463.229208294</v>
      </c>
      <c r="J50" s="454">
        <f t="shared" si="6"/>
        <v>-32060570.672363736</v>
      </c>
      <c r="K50" s="454">
        <f t="shared" si="6"/>
        <v>1694135.1797176413</v>
      </c>
      <c r="L50" s="454">
        <f t="shared" si="6"/>
        <v>36927748.693977706</v>
      </c>
      <c r="M50" s="454">
        <f t="shared" si="6"/>
        <v>667292711.17500961</v>
      </c>
      <c r="N50" s="285"/>
    </row>
    <row r="51" spans="1:15" ht="12" customHeight="1" x14ac:dyDescent="0.15">
      <c r="A51" s="301" t="s">
        <v>124</v>
      </c>
      <c r="B51" s="302"/>
      <c r="C51" s="272"/>
      <c r="D51" s="628">
        <f>Financing!C38</f>
        <v>-64108993.531105131</v>
      </c>
      <c r="E51" s="628">
        <f>Financing!D38</f>
        <v>-35118.96604109183</v>
      </c>
      <c r="F51" s="628">
        <f>Financing!E38</f>
        <v>2577977.6360647134</v>
      </c>
      <c r="G51" s="628">
        <f>Financing!F38</f>
        <v>-406351.77042707242</v>
      </c>
      <c r="H51" s="628">
        <f>Financing!G38</f>
        <v>6879087.1026773546</v>
      </c>
      <c r="I51" s="628">
        <f>Financing!H38</f>
        <v>9976476.3655865174</v>
      </c>
      <c r="J51" s="628">
        <f>Financing!I38</f>
        <v>8912335.6062339023</v>
      </c>
      <c r="K51" s="628">
        <f>Financing!J38</f>
        <v>16984236.742023792</v>
      </c>
      <c r="L51" s="628">
        <f>Financing!K38</f>
        <v>20087863.034797419</v>
      </c>
      <c r="M51" s="628">
        <f>Financing!L38</f>
        <v>344788064.52949119</v>
      </c>
      <c r="N51" s="285"/>
    </row>
    <row r="52" spans="1:15" ht="12" customHeight="1" x14ac:dyDescent="0.15">
      <c r="A52" s="301" t="s">
        <v>88</v>
      </c>
      <c r="B52" s="302"/>
      <c r="C52" s="287"/>
      <c r="D52" s="629">
        <f>Financing!C29</f>
        <v>0</v>
      </c>
      <c r="E52" s="629">
        <f>Financing!D29</f>
        <v>-3680162.3141900925</v>
      </c>
      <c r="F52" s="629">
        <f>Financing!E29</f>
        <v>-3959344.5941900923</v>
      </c>
      <c r="G52" s="629">
        <f>Financing!F29</f>
        <v>-9294106.6663032901</v>
      </c>
      <c r="H52" s="629">
        <f>Financing!G29</f>
        <v>-11558986.863621777</v>
      </c>
      <c r="I52" s="629">
        <f>Financing!H29</f>
        <v>-11558986.863621777</v>
      </c>
      <c r="J52" s="629">
        <f>Financing!I29</f>
        <v>-14912086.425891101</v>
      </c>
      <c r="K52" s="629">
        <f>Financing!J29</f>
        <v>-16839885.659180287</v>
      </c>
      <c r="L52" s="629">
        <f>Financing!K29</f>
        <v>-16839885.659180287</v>
      </c>
      <c r="M52" s="629">
        <f>Financing!L29</f>
        <v>-16839885.659180287</v>
      </c>
      <c r="N52" s="285"/>
    </row>
    <row r="53" spans="1:15" ht="15" customHeight="1" x14ac:dyDescent="0.15">
      <c r="A53" s="303" t="s">
        <v>40</v>
      </c>
      <c r="B53" s="303"/>
      <c r="C53" s="748">
        <f>C51+NPV(9%,D51:M51)</f>
        <v>121567617.29167834</v>
      </c>
      <c r="D53" s="633"/>
      <c r="E53" s="633"/>
      <c r="F53" s="633"/>
      <c r="G53" s="330"/>
      <c r="H53" s="633"/>
      <c r="I53" s="633"/>
      <c r="J53" s="633"/>
      <c r="K53" s="633"/>
      <c r="L53" s="305"/>
      <c r="M53" s="305"/>
      <c r="N53" s="633"/>
    </row>
    <row r="54" spans="1:15" ht="15" customHeight="1" thickBot="1" x14ac:dyDescent="0.2">
      <c r="A54" s="301" t="s">
        <v>89</v>
      </c>
      <c r="B54" s="304"/>
      <c r="C54" s="749">
        <f>K95/M47</f>
        <v>0.39296503564738788</v>
      </c>
      <c r="D54" s="289"/>
      <c r="E54" s="289"/>
      <c r="F54" s="289"/>
      <c r="G54" s="634"/>
      <c r="H54" s="289"/>
      <c r="I54" s="289"/>
      <c r="J54" s="289"/>
      <c r="K54" s="289"/>
      <c r="L54" s="290"/>
      <c r="M54" s="290"/>
      <c r="N54" s="289"/>
    </row>
    <row r="55" spans="1:15" ht="15" customHeight="1" x14ac:dyDescent="0.15">
      <c r="A55" s="304" t="s">
        <v>110</v>
      </c>
      <c r="B55" s="304"/>
      <c r="C55" s="750">
        <f>IRR(D50:M50)</f>
        <v>0.13814518597109426</v>
      </c>
      <c r="D55" s="289"/>
      <c r="E55" s="289"/>
      <c r="F55" s="636" t="s">
        <v>111</v>
      </c>
      <c r="G55" s="345"/>
      <c r="H55" s="751">
        <f>D144+D164</f>
        <v>32346465</v>
      </c>
      <c r="J55" s="289"/>
      <c r="K55" s="289"/>
      <c r="L55" s="793"/>
      <c r="M55" s="793"/>
      <c r="N55" s="289"/>
    </row>
    <row r="56" spans="1:15" ht="15" customHeight="1" thickBot="1" x14ac:dyDescent="0.2">
      <c r="A56" s="304" t="s">
        <v>96</v>
      </c>
      <c r="B56" s="304"/>
      <c r="C56" s="752">
        <f>Financing!B40</f>
        <v>0.22451590356346274</v>
      </c>
      <c r="D56" s="289"/>
      <c r="E56" s="289"/>
      <c r="F56" s="637" t="s">
        <v>112</v>
      </c>
      <c r="G56" s="347"/>
      <c r="H56" s="485">
        <f>M47</f>
        <v>650604348.46358466</v>
      </c>
      <c r="I56" s="753">
        <f>H56/H55</f>
        <v>20.113615149710629</v>
      </c>
      <c r="J56" s="289"/>
      <c r="K56" s="289"/>
      <c r="L56" s="793"/>
      <c r="M56" s="793"/>
      <c r="N56" s="289"/>
    </row>
    <row r="57" spans="1:15" ht="12" customHeight="1" x14ac:dyDescent="0.15">
      <c r="M57" s="307"/>
      <c r="N57" s="308"/>
    </row>
    <row r="58" spans="1:15" s="268" customFormat="1" ht="12" customHeight="1" x14ac:dyDescent="0.15">
      <c r="A58" s="794" t="s">
        <v>78</v>
      </c>
      <c r="B58" s="794"/>
      <c r="C58" s="795"/>
      <c r="D58" s="795"/>
      <c r="E58" s="795"/>
      <c r="F58" s="795"/>
      <c r="G58" s="795"/>
      <c r="H58" s="795"/>
      <c r="I58" s="795"/>
      <c r="J58" s="795"/>
      <c r="K58" s="795"/>
      <c r="L58" s="795"/>
      <c r="M58" s="795"/>
      <c r="N58" s="795"/>
    </row>
    <row r="59" spans="1:15" ht="12" customHeight="1" thickBot="1" x14ac:dyDescent="0.2">
      <c r="D59" s="688" t="s">
        <v>50</v>
      </c>
      <c r="E59" s="278"/>
      <c r="F59" s="278"/>
      <c r="G59" s="278"/>
      <c r="H59" s="278"/>
      <c r="I59" s="278"/>
      <c r="J59" s="278"/>
      <c r="K59" s="278"/>
      <c r="L59" s="278"/>
      <c r="M59" s="278"/>
      <c r="N59" s="278"/>
    </row>
    <row r="60" spans="1:15" ht="12" customHeight="1" thickBot="1" x14ac:dyDescent="0.2">
      <c r="D60" s="687"/>
      <c r="E60" s="766" t="s">
        <v>59</v>
      </c>
      <c r="F60" s="767"/>
      <c r="G60" s="768"/>
      <c r="H60" s="769" t="s">
        <v>151</v>
      </c>
      <c r="I60" s="770"/>
      <c r="J60" s="771"/>
      <c r="K60" s="757" t="s">
        <v>152</v>
      </c>
      <c r="L60" s="758"/>
      <c r="M60" s="758"/>
      <c r="N60" s="759"/>
      <c r="O60" s="684"/>
    </row>
    <row r="61" spans="1:15" s="306" customFormat="1" ht="12" customHeight="1" x14ac:dyDescent="0.15">
      <c r="A61" s="272"/>
      <c r="B61" s="272"/>
      <c r="C61" s="302" t="s">
        <v>44</v>
      </c>
      <c r="D61" s="274">
        <v>2020</v>
      </c>
      <c r="E61" s="273">
        <f t="shared" ref="E61:K61" si="7">D61+1</f>
        <v>2021</v>
      </c>
      <c r="F61" s="273">
        <f t="shared" si="7"/>
        <v>2022</v>
      </c>
      <c r="G61" s="273">
        <f t="shared" si="7"/>
        <v>2023</v>
      </c>
      <c r="H61" s="273">
        <f t="shared" si="7"/>
        <v>2024</v>
      </c>
      <c r="I61" s="273">
        <f t="shared" si="7"/>
        <v>2025</v>
      </c>
      <c r="J61" s="273">
        <f t="shared" si="7"/>
        <v>2026</v>
      </c>
      <c r="K61" s="273">
        <f t="shared" si="7"/>
        <v>2027</v>
      </c>
      <c r="L61" s="435">
        <f>K61+1</f>
        <v>2028</v>
      </c>
      <c r="M61" s="273">
        <f>L61+1</f>
        <v>2029</v>
      </c>
      <c r="N61" s="273">
        <f>M61+1</f>
        <v>2030</v>
      </c>
    </row>
    <row r="62" spans="1:15" ht="12" customHeight="1" x14ac:dyDescent="0.15">
      <c r="A62" s="275" t="s">
        <v>7</v>
      </c>
      <c r="B62" s="275"/>
      <c r="C62" s="309"/>
      <c r="D62" s="277"/>
      <c r="E62" s="278"/>
      <c r="F62" s="278"/>
      <c r="G62" s="278"/>
      <c r="H62" s="278"/>
      <c r="I62" s="278"/>
      <c r="J62" s="278"/>
      <c r="K62" s="278"/>
      <c r="L62" s="432"/>
      <c r="M62" s="432"/>
      <c r="N62" s="278"/>
    </row>
    <row r="63" spans="1:15" ht="12" customHeight="1" x14ac:dyDescent="0.15">
      <c r="A63" s="786" t="s">
        <v>87</v>
      </c>
      <c r="B63" s="279" t="s">
        <v>79</v>
      </c>
      <c r="C63" s="477">
        <f>SUM('2.Market-rate Rental Housing'!B57:B59)</f>
        <v>622</v>
      </c>
      <c r="D63" s="437"/>
      <c r="E63" s="438">
        <f>'2.Market-rate Rental Housing'!D8</f>
        <v>267.39999999999998</v>
      </c>
      <c r="F63" s="438">
        <f>'2.Market-rate Rental Housing'!E8</f>
        <v>114.6</v>
      </c>
      <c r="G63" s="438">
        <f>'2.Market-rate Rental Housing'!F8</f>
        <v>0</v>
      </c>
      <c r="H63" s="438">
        <f>'2.Market-rate Rental Housing'!G17</f>
        <v>180</v>
      </c>
      <c r="I63" s="438">
        <f>'2.Market-rate Rental Housing'!H17</f>
        <v>60</v>
      </c>
      <c r="J63" s="438">
        <f>'2.Market-rate Rental Housing'!I17</f>
        <v>0</v>
      </c>
      <c r="K63" s="438">
        <f>'2.Market-rate Rental Housing'!J26</f>
        <v>0</v>
      </c>
      <c r="L63" s="438">
        <f>'2.Market-rate Rental Housing'!K26</f>
        <v>0</v>
      </c>
      <c r="M63" s="438">
        <f>'2.Market-rate Rental Housing'!L26</f>
        <v>0</v>
      </c>
      <c r="N63" s="438">
        <f>'2.Market-rate Rental Housing'!M26</f>
        <v>0</v>
      </c>
    </row>
    <row r="64" spans="1:15" ht="12" hidden="1" customHeight="1" x14ac:dyDescent="0.15">
      <c r="A64" s="785"/>
      <c r="B64" s="279" t="s">
        <v>80</v>
      </c>
      <c r="C64" s="477">
        <f>SUM('3.Market-rate For-Sale Housing'!B33:B35)</f>
        <v>0</v>
      </c>
      <c r="D64" s="437">
        <f>'3.Market-rate For-Sale Housing'!C7</f>
        <v>0</v>
      </c>
      <c r="E64" s="437">
        <f>'3.Market-rate For-Sale Housing'!D7</f>
        <v>0</v>
      </c>
      <c r="F64" s="437">
        <f>'3.Market-rate For-Sale Housing'!E7</f>
        <v>0</v>
      </c>
      <c r="G64" s="437">
        <f>'3.Market-rate For-Sale Housing'!F7</f>
        <v>0</v>
      </c>
      <c r="H64" s="437">
        <f>'3.Market-rate For-Sale Housing'!G7</f>
        <v>0</v>
      </c>
      <c r="I64" s="437">
        <f>'3.Market-rate For-Sale Housing'!H7</f>
        <v>0</v>
      </c>
      <c r="J64" s="437">
        <f>'3.Market-rate For-Sale Housing'!I7</f>
        <v>0</v>
      </c>
      <c r="K64" s="437">
        <f>'3.Market-rate For-Sale Housing'!J7</f>
        <v>0</v>
      </c>
      <c r="L64" s="437">
        <f>'3.Market-rate For-Sale Housing'!K7</f>
        <v>0</v>
      </c>
      <c r="M64" s="437">
        <f>'3.Market-rate For-Sale Housing'!L7</f>
        <v>0</v>
      </c>
      <c r="N64" s="437">
        <f>'3.Market-rate For-Sale Housing'!M7</f>
        <v>0</v>
      </c>
    </row>
    <row r="65" spans="1:14" ht="12" customHeight="1" x14ac:dyDescent="0.15">
      <c r="A65" s="786" t="s">
        <v>86</v>
      </c>
      <c r="B65" s="279" t="s">
        <v>79</v>
      </c>
      <c r="C65" s="477">
        <f>ROUND(SUM(E65:N65),0)</f>
        <v>52</v>
      </c>
      <c r="D65" s="437">
        <f>'4.Affordable Rental Housing'!C8</f>
        <v>0</v>
      </c>
      <c r="E65" s="437">
        <f>'4.Affordable Rental Housing'!D8</f>
        <v>22.574999999999999</v>
      </c>
      <c r="F65" s="437">
        <f>'4.Affordable Rental Housing'!E8</f>
        <v>9.6750000000000007</v>
      </c>
      <c r="G65" s="437">
        <f>'4.Affordable Rental Housing'!F8</f>
        <v>0</v>
      </c>
      <c r="H65" s="438">
        <f>'4.Affordable Rental Housing'!G17</f>
        <v>15</v>
      </c>
      <c r="I65" s="438">
        <f>'4.Affordable Rental Housing'!H17</f>
        <v>5</v>
      </c>
      <c r="J65" s="438">
        <f>'4.Affordable Rental Housing'!I17</f>
        <v>0</v>
      </c>
      <c r="K65" s="438">
        <f>'4.Affordable Rental Housing'!J26</f>
        <v>0</v>
      </c>
      <c r="L65" s="438">
        <f>'4.Affordable Rental Housing'!K26</f>
        <v>0</v>
      </c>
      <c r="M65" s="438">
        <f>'4.Affordable Rental Housing'!L26</f>
        <v>0</v>
      </c>
      <c r="N65" s="438">
        <f>'4.Affordable Rental Housing'!M26</f>
        <v>0</v>
      </c>
    </row>
    <row r="66" spans="1:14" ht="12" hidden="1" customHeight="1" x14ac:dyDescent="0.15">
      <c r="A66" s="785"/>
      <c r="B66" s="279" t="s">
        <v>80</v>
      </c>
      <c r="C66" s="477">
        <f>SUM('5.Affordable For-Sale Housing'!B33:B35)</f>
        <v>0</v>
      </c>
      <c r="D66" s="437">
        <f>'5.Affordable For-Sale Housing'!C7</f>
        <v>0</v>
      </c>
      <c r="E66" s="437">
        <f>'5.Affordable For-Sale Housing'!D7</f>
        <v>0</v>
      </c>
      <c r="F66" s="437">
        <f>'5.Affordable For-Sale Housing'!E7</f>
        <v>0</v>
      </c>
      <c r="G66" s="437">
        <f>'5.Affordable For-Sale Housing'!F7</f>
        <v>0</v>
      </c>
      <c r="H66" s="437">
        <f>'5.Affordable For-Sale Housing'!G7</f>
        <v>0</v>
      </c>
      <c r="I66" s="437">
        <f>'5.Affordable For-Sale Housing'!H7</f>
        <v>0</v>
      </c>
      <c r="J66" s="437">
        <f>'5.Affordable For-Sale Housing'!I7</f>
        <v>0</v>
      </c>
      <c r="K66" s="437">
        <f>'5.Affordable For-Sale Housing'!J7</f>
        <v>0</v>
      </c>
      <c r="L66" s="437">
        <f>'5.Affordable For-Sale Housing'!K7</f>
        <v>0</v>
      </c>
      <c r="M66" s="437">
        <f>'5.Affordable For-Sale Housing'!L7</f>
        <v>0</v>
      </c>
      <c r="N66" s="437">
        <f>'5.Affordable For-Sale Housing'!M7</f>
        <v>0</v>
      </c>
    </row>
    <row r="67" spans="1:14" ht="12" hidden="1" customHeight="1" x14ac:dyDescent="0.15">
      <c r="A67" s="781" t="s">
        <v>113</v>
      </c>
      <c r="B67" s="781"/>
      <c r="C67" s="280" t="s">
        <v>46</v>
      </c>
      <c r="D67" s="437"/>
      <c r="E67" s="438"/>
      <c r="F67" s="438"/>
      <c r="G67" s="438"/>
      <c r="H67" s="438"/>
      <c r="I67" s="438"/>
      <c r="J67" s="438"/>
      <c r="K67" s="438"/>
      <c r="L67" s="439"/>
      <c r="M67" s="439"/>
      <c r="N67" s="438"/>
    </row>
    <row r="68" spans="1:14" ht="12" customHeight="1" x14ac:dyDescent="0.15">
      <c r="A68" s="781" t="s">
        <v>83</v>
      </c>
      <c r="B68" s="781"/>
      <c r="C68" s="690">
        <f>SUM('8.Hotel'!B35)</f>
        <v>335</v>
      </c>
      <c r="D68" s="437">
        <f>'8.Hotel'!C7</f>
        <v>0</v>
      </c>
      <c r="E68" s="437">
        <f>'8.Hotel'!D7</f>
        <v>0</v>
      </c>
      <c r="F68" s="437">
        <f>'8.Hotel'!E7</f>
        <v>0</v>
      </c>
      <c r="G68" s="437">
        <f>'8.Hotel'!F7</f>
        <v>0</v>
      </c>
      <c r="H68" s="437">
        <f>'8.Hotel'!G7</f>
        <v>0</v>
      </c>
      <c r="I68" s="437">
        <f>'8.Hotel'!H7</f>
        <v>0</v>
      </c>
      <c r="J68" s="437">
        <f>'8.Hotel'!I7</f>
        <v>0</v>
      </c>
      <c r="K68" s="437">
        <f>'8.Hotel'!J7</f>
        <v>335</v>
      </c>
      <c r="L68" s="439">
        <v>0</v>
      </c>
      <c r="M68" s="439">
        <v>0</v>
      </c>
      <c r="N68" s="438">
        <v>0</v>
      </c>
    </row>
    <row r="69" spans="1:14" ht="12" customHeight="1" x14ac:dyDescent="0.15">
      <c r="A69" s="791" t="s">
        <v>84</v>
      </c>
      <c r="B69" s="791"/>
      <c r="C69" s="516">
        <f>'9.Structured Parking (New)'!B48</f>
        <v>217</v>
      </c>
      <c r="D69" s="437">
        <f>'9.Structured Parking (New)'!D7</f>
        <v>0</v>
      </c>
      <c r="E69" s="437">
        <f>'9.Structured Parking (New)'!E7</f>
        <v>217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9">
        <v>0</v>
      </c>
      <c r="M69" s="439">
        <v>0</v>
      </c>
      <c r="N69" s="438">
        <v>0</v>
      </c>
    </row>
    <row r="70" spans="1:14" ht="12" hidden="1" customHeight="1" x14ac:dyDescent="0.15">
      <c r="A70" s="796" t="s">
        <v>85</v>
      </c>
      <c r="B70" s="796"/>
      <c r="C70" s="280" t="s">
        <v>48</v>
      </c>
      <c r="D70" s="456"/>
      <c r="E70" s="457"/>
      <c r="F70" s="457"/>
      <c r="G70" s="457"/>
      <c r="H70" s="457"/>
      <c r="I70" s="457"/>
      <c r="J70" s="457"/>
      <c r="K70" s="457"/>
      <c r="L70" s="439"/>
      <c r="M70" s="439"/>
      <c r="N70" s="457"/>
    </row>
    <row r="71" spans="1:14" ht="12" customHeight="1" x14ac:dyDescent="0.15">
      <c r="A71" s="797"/>
      <c r="B71" s="797"/>
      <c r="C71" s="312"/>
      <c r="D71" s="447"/>
      <c r="E71" s="458"/>
      <c r="F71" s="458"/>
      <c r="G71" s="458"/>
      <c r="H71" s="458"/>
      <c r="I71" s="458"/>
      <c r="J71" s="458"/>
      <c r="K71" s="458"/>
      <c r="L71" s="459"/>
      <c r="M71" s="459"/>
      <c r="N71" s="458"/>
    </row>
    <row r="72" spans="1:14" ht="12" customHeight="1" x14ac:dyDescent="0.15">
      <c r="A72" s="275" t="s">
        <v>45</v>
      </c>
      <c r="B72" s="275"/>
      <c r="C72" s="309"/>
      <c r="D72" s="292"/>
      <c r="E72" s="293"/>
      <c r="F72" s="293"/>
      <c r="G72" s="293"/>
      <c r="H72" s="293"/>
      <c r="I72" s="293"/>
      <c r="J72" s="293"/>
      <c r="K72" s="293"/>
      <c r="L72" s="436"/>
      <c r="M72" s="436"/>
      <c r="N72" s="293"/>
    </row>
    <row r="73" spans="1:14" ht="12" customHeight="1" x14ac:dyDescent="0.15">
      <c r="A73" s="786" t="s">
        <v>87</v>
      </c>
      <c r="B73" s="279" t="s">
        <v>79</v>
      </c>
      <c r="C73" s="478">
        <f>SUM('2.Market-rate Rental Housing'!C57:C59)</f>
        <v>466500</v>
      </c>
      <c r="D73" s="437">
        <f>'2.Market-rate Rental Housing'!C8*'2.Market-rate Rental Housing'!$B$11</f>
        <v>0</v>
      </c>
      <c r="E73" s="437">
        <f>'2.Market-rate Rental Housing'!D8*'2.Market-rate Rental Housing'!$B$11</f>
        <v>200549.99999999997</v>
      </c>
      <c r="F73" s="437">
        <f>'2.Market-rate Rental Housing'!E8*'2.Market-rate Rental Housing'!$B$11</f>
        <v>85950</v>
      </c>
      <c r="G73" s="437">
        <f>'2.Market-rate Rental Housing'!F8*'2.Market-rate Rental Housing'!$B$11</f>
        <v>0</v>
      </c>
      <c r="H73" s="437">
        <f>'2.Market-rate Rental Housing'!G17*'2.Market-rate Rental Housing'!$B$11</f>
        <v>135000</v>
      </c>
      <c r="I73" s="437">
        <f>'2.Market-rate Rental Housing'!H17*'2.Market-rate Rental Housing'!$B$11</f>
        <v>45000</v>
      </c>
      <c r="J73" s="437">
        <f>'2.Market-rate Rental Housing'!I17*'2.Market-rate Rental Housing'!$B$11</f>
        <v>0</v>
      </c>
      <c r="K73" s="437">
        <f>'2.Market-rate Rental Housing'!J8*'2.Market-rate Rental Housing'!$B$11</f>
        <v>0</v>
      </c>
      <c r="L73" s="437">
        <f>'2.Market-rate Rental Housing'!K8*'2.Market-rate Rental Housing'!$B$11</f>
        <v>0</v>
      </c>
      <c r="M73" s="437">
        <f>'2.Market-rate Rental Housing'!L8*'2.Market-rate Rental Housing'!$B$11</f>
        <v>0</v>
      </c>
      <c r="N73" s="437">
        <f>'2.Market-rate Rental Housing'!M8*'2.Market-rate Rental Housing'!$B$11</f>
        <v>0</v>
      </c>
    </row>
    <row r="74" spans="1:14" ht="12" hidden="1" customHeight="1" x14ac:dyDescent="0.15">
      <c r="A74" s="785"/>
      <c r="B74" s="279" t="s">
        <v>80</v>
      </c>
      <c r="C74" s="479">
        <f>SUM('3.Market-rate For-Sale Housing'!C33:C35)</f>
        <v>0</v>
      </c>
      <c r="D74" s="437">
        <f>'3.Market-rate For-Sale Housing'!D7*'3.Market-rate For-Sale Housing'!$B$9</f>
        <v>0</v>
      </c>
      <c r="E74" s="437">
        <f>'3.Market-rate For-Sale Housing'!E7*'3.Market-rate For-Sale Housing'!$B$9</f>
        <v>0</v>
      </c>
      <c r="F74" s="437">
        <f>'3.Market-rate For-Sale Housing'!F7*'3.Market-rate For-Sale Housing'!$B$9</f>
        <v>0</v>
      </c>
      <c r="G74" s="437">
        <f>'3.Market-rate For-Sale Housing'!G7*'3.Market-rate For-Sale Housing'!$B$9</f>
        <v>0</v>
      </c>
      <c r="H74" s="437">
        <f>'3.Market-rate For-Sale Housing'!H7*'3.Market-rate For-Sale Housing'!$B$9</f>
        <v>0</v>
      </c>
      <c r="I74" s="437">
        <f>'3.Market-rate For-Sale Housing'!I7*'3.Market-rate For-Sale Housing'!$B$9</f>
        <v>0</v>
      </c>
      <c r="J74" s="437">
        <f>'3.Market-rate For-Sale Housing'!J7*'3.Market-rate For-Sale Housing'!$B$9</f>
        <v>0</v>
      </c>
      <c r="K74" s="437">
        <f>'3.Market-rate For-Sale Housing'!K7*'3.Market-rate For-Sale Housing'!$B$9</f>
        <v>0</v>
      </c>
      <c r="L74" s="437">
        <f>'3.Market-rate For-Sale Housing'!L7*'3.Market-rate For-Sale Housing'!$B$9</f>
        <v>0</v>
      </c>
      <c r="M74" s="437">
        <f>'3.Market-rate For-Sale Housing'!M7*'3.Market-rate For-Sale Housing'!$B$9</f>
        <v>0</v>
      </c>
      <c r="N74" s="437">
        <f>'3.Market-rate For-Sale Housing'!N7*'3.Market-rate For-Sale Housing'!$B$9</f>
        <v>0</v>
      </c>
    </row>
    <row r="75" spans="1:14" ht="12" customHeight="1" x14ac:dyDescent="0.15">
      <c r="A75" s="786" t="s">
        <v>86</v>
      </c>
      <c r="B75" s="279" t="s">
        <v>79</v>
      </c>
      <c r="C75" s="479">
        <f>SUM('4.Affordable Rental Housing'!C57:C59)</f>
        <v>52250</v>
      </c>
      <c r="D75" s="437">
        <f>D65*'4.Affordable Rental Housing'!$B$11</f>
        <v>0</v>
      </c>
      <c r="E75" s="437">
        <f>E65*'4.Affordable Rental Housing'!$B$11</f>
        <v>22575</v>
      </c>
      <c r="F75" s="437">
        <f>F65*'4.Affordable Rental Housing'!$B$11</f>
        <v>9675</v>
      </c>
      <c r="G75" s="437">
        <f>G65*'4.Affordable Rental Housing'!$B$11</f>
        <v>0</v>
      </c>
      <c r="H75" s="437">
        <f>H65*'4.Affordable Rental Housing'!$B$11</f>
        <v>15000</v>
      </c>
      <c r="I75" s="437">
        <f>I65*'4.Affordable Rental Housing'!$B$11</f>
        <v>5000</v>
      </c>
      <c r="J75" s="437">
        <f>J65*'4.Affordable Rental Housing'!$B$11</f>
        <v>0</v>
      </c>
      <c r="K75" s="437">
        <f>K65*'4.Affordable Rental Housing'!$B$11</f>
        <v>0</v>
      </c>
      <c r="L75" s="437">
        <f>L65*'4.Affordable Rental Housing'!$B$11</f>
        <v>0</v>
      </c>
      <c r="M75" s="437">
        <f>M65*'4.Affordable Rental Housing'!$B$11</f>
        <v>0</v>
      </c>
      <c r="N75" s="437">
        <f>N65*'4.Affordable Rental Housing'!$B$11</f>
        <v>0</v>
      </c>
    </row>
    <row r="76" spans="1:14" ht="12" hidden="1" customHeight="1" x14ac:dyDescent="0.15">
      <c r="A76" s="785"/>
      <c r="B76" s="279" t="s">
        <v>80</v>
      </c>
      <c r="C76" s="479">
        <f>SUM('5.Affordable For-Sale Housing'!C33:C35)</f>
        <v>0</v>
      </c>
      <c r="D76" s="437">
        <f>D66*'5.Affordable For-Sale Housing'!$B$9</f>
        <v>0</v>
      </c>
      <c r="E76" s="437">
        <f>E66*'5.Affordable For-Sale Housing'!$B$9</f>
        <v>0</v>
      </c>
      <c r="F76" s="437">
        <f>F66*'5.Affordable For-Sale Housing'!$B$9</f>
        <v>0</v>
      </c>
      <c r="G76" s="437">
        <f>G66*'5.Affordable For-Sale Housing'!$B$9</f>
        <v>0</v>
      </c>
      <c r="H76" s="437">
        <f>H66*'5.Affordable For-Sale Housing'!$B$9</f>
        <v>0</v>
      </c>
      <c r="I76" s="437">
        <f>I66*'5.Affordable For-Sale Housing'!$B$9</f>
        <v>0</v>
      </c>
      <c r="J76" s="437">
        <f>J66*'5.Affordable For-Sale Housing'!$B$9</f>
        <v>0</v>
      </c>
      <c r="K76" s="437">
        <f>K66*'5.Affordable For-Sale Housing'!$B$9</f>
        <v>0</v>
      </c>
      <c r="L76" s="437">
        <f>L66*'5.Affordable For-Sale Housing'!$B$9</f>
        <v>0</v>
      </c>
      <c r="M76" s="437">
        <f>M66*'5.Affordable For-Sale Housing'!$B$9</f>
        <v>0</v>
      </c>
      <c r="N76" s="437">
        <f>N66*'5.Affordable For-Sale Housing'!$B$9</f>
        <v>0</v>
      </c>
    </row>
    <row r="77" spans="1:14" ht="12" customHeight="1" x14ac:dyDescent="0.15">
      <c r="A77" s="781" t="s">
        <v>81</v>
      </c>
      <c r="B77" s="781"/>
      <c r="C77" s="479">
        <f>SUM('6.Office_Commercial'!B35:B37)</f>
        <v>130000</v>
      </c>
      <c r="D77" s="437">
        <f>'6.Office_Commercial'!C7</f>
        <v>0</v>
      </c>
      <c r="E77" s="437">
        <f>'6.Office_Commercial'!D7</f>
        <v>0</v>
      </c>
      <c r="F77" s="437">
        <f>'6.Office_Commercial'!E7</f>
        <v>0</v>
      </c>
      <c r="G77" s="437">
        <f>'6.Office_Commercial'!F7</f>
        <v>0</v>
      </c>
      <c r="H77" s="437">
        <f>'6.Office_Commercial'!G7</f>
        <v>0</v>
      </c>
      <c r="I77" s="437">
        <f>'6.Office_Commercial'!H7</f>
        <v>0</v>
      </c>
      <c r="J77" s="437">
        <f>'6.Office_Commercial'!I7</f>
        <v>0</v>
      </c>
      <c r="K77" s="437">
        <f>'6.Office_Commercial'!J7</f>
        <v>0</v>
      </c>
      <c r="L77" s="437">
        <f>'6.Office_Commercial'!K7</f>
        <v>130000</v>
      </c>
      <c r="M77" s="437">
        <f>'6.Office_Commercial'!L7</f>
        <v>0</v>
      </c>
      <c r="N77" s="437">
        <f>'6.Office_Commercial'!M7</f>
        <v>0</v>
      </c>
    </row>
    <row r="78" spans="1:14" ht="12" customHeight="1" x14ac:dyDescent="0.15">
      <c r="A78" s="781" t="s">
        <v>115</v>
      </c>
      <c r="B78" s="781"/>
      <c r="C78" s="479">
        <f>SUM('7.Market-rate Retail'!C57:C59)</f>
        <v>589590</v>
      </c>
      <c r="D78" s="437">
        <f>'Development Schedule'!D57</f>
        <v>0</v>
      </c>
      <c r="E78" s="437">
        <f>'Development Schedule'!E57</f>
        <v>0</v>
      </c>
      <c r="F78" s="437">
        <f>'Development Schedule'!F57</f>
        <v>170300</v>
      </c>
      <c r="G78" s="437">
        <f>'Development Schedule'!G57</f>
        <v>0</v>
      </c>
      <c r="H78" s="437">
        <f>'Development Schedule'!H57</f>
        <v>298942.5</v>
      </c>
      <c r="I78" s="437">
        <f>'Development Schedule'!I57</f>
        <v>99647.5</v>
      </c>
      <c r="J78" s="437">
        <f>'Development Schedule'!J57</f>
        <v>0</v>
      </c>
      <c r="K78" s="437">
        <f>'Development Schedule'!K57</f>
        <v>20700</v>
      </c>
      <c r="L78" s="437">
        <f>'Development Schedule'!L57</f>
        <v>0</v>
      </c>
      <c r="M78" s="437">
        <f>'Development Schedule'!M57</f>
        <v>0</v>
      </c>
      <c r="N78" s="437">
        <f>'Development Schedule'!N57</f>
        <v>0</v>
      </c>
    </row>
    <row r="79" spans="1:14" ht="12" hidden="1" customHeight="1" x14ac:dyDescent="0.15">
      <c r="A79" s="279"/>
      <c r="B79" s="279" t="s">
        <v>113</v>
      </c>
      <c r="C79" s="479" t="s">
        <v>47</v>
      </c>
      <c r="D79" s="437"/>
      <c r="E79" s="438"/>
      <c r="F79" s="438"/>
      <c r="G79" s="438"/>
      <c r="H79" s="438"/>
      <c r="I79" s="438"/>
      <c r="J79" s="438"/>
      <c r="K79" s="438"/>
      <c r="L79" s="439"/>
      <c r="M79" s="439"/>
      <c r="N79" s="438"/>
    </row>
    <row r="80" spans="1:14" ht="12" customHeight="1" x14ac:dyDescent="0.15">
      <c r="A80" s="781" t="s">
        <v>83</v>
      </c>
      <c r="B80" s="781"/>
      <c r="C80" s="479">
        <f>'8.Hotel'!C35</f>
        <v>201000</v>
      </c>
      <c r="D80" s="437">
        <f>'Development Schedule'!D55</f>
        <v>0</v>
      </c>
      <c r="E80" s="437">
        <f>'Development Schedule'!E55</f>
        <v>0</v>
      </c>
      <c r="F80" s="437">
        <f>'Development Schedule'!F55</f>
        <v>0</v>
      </c>
      <c r="G80" s="437">
        <f>'Development Schedule'!G55</f>
        <v>0</v>
      </c>
      <c r="H80" s="437">
        <f>'Development Schedule'!H55</f>
        <v>0</v>
      </c>
      <c r="I80" s="437">
        <f>'Development Schedule'!I55</f>
        <v>0</v>
      </c>
      <c r="J80" s="437">
        <f>'Development Schedule'!J55</f>
        <v>0</v>
      </c>
      <c r="K80" s="437">
        <f>'Development Schedule'!K55</f>
        <v>201000</v>
      </c>
      <c r="L80" s="437">
        <f>'Development Schedule'!L55</f>
        <v>0</v>
      </c>
      <c r="M80" s="437">
        <f>'Development Schedule'!M55</f>
        <v>0</v>
      </c>
      <c r="N80" s="437">
        <f>'Development Schedule'!N55</f>
        <v>0</v>
      </c>
    </row>
    <row r="81" spans="1:14" ht="12" customHeight="1" x14ac:dyDescent="0.15">
      <c r="A81" s="791" t="s">
        <v>84</v>
      </c>
      <c r="B81" s="791"/>
      <c r="C81" s="479">
        <f>'9.Structured Parking (New)'!C48</f>
        <v>65000</v>
      </c>
      <c r="D81" s="437">
        <f>'9.Structured Parking (New)'!D8</f>
        <v>0</v>
      </c>
      <c r="E81" s="437">
        <f>'9.Structured Parking (New)'!E8</f>
        <v>65000</v>
      </c>
      <c r="F81" s="438">
        <v>0</v>
      </c>
      <c r="G81" s="438">
        <v>0</v>
      </c>
      <c r="H81" s="438">
        <v>0</v>
      </c>
      <c r="I81" s="438">
        <v>0</v>
      </c>
      <c r="J81" s="438">
        <v>0</v>
      </c>
      <c r="K81" s="438">
        <v>0</v>
      </c>
      <c r="L81" s="439">
        <v>0</v>
      </c>
      <c r="M81" s="439">
        <v>0</v>
      </c>
      <c r="N81" s="438">
        <v>0</v>
      </c>
    </row>
    <row r="82" spans="1:14" ht="12" customHeight="1" x14ac:dyDescent="0.15">
      <c r="A82" s="797" t="s">
        <v>56</v>
      </c>
      <c r="B82" s="797"/>
      <c r="C82" s="480">
        <f>'10.Other'!C65</f>
        <v>26000</v>
      </c>
      <c r="D82" s="447">
        <f>'Development Schedule'!D56</f>
        <v>0</v>
      </c>
      <c r="E82" s="447">
        <f>'Development Schedule'!E56</f>
        <v>0</v>
      </c>
      <c r="F82" s="447">
        <f>'Development Schedule'!F56</f>
        <v>0</v>
      </c>
      <c r="G82" s="447">
        <f>'Development Schedule'!G56</f>
        <v>0</v>
      </c>
      <c r="H82" s="447">
        <f>'Development Schedule'!H56</f>
        <v>0</v>
      </c>
      <c r="I82" s="447">
        <f>'Development Schedule'!I56</f>
        <v>0</v>
      </c>
      <c r="J82" s="447">
        <f>'Development Schedule'!J56</f>
        <v>0</v>
      </c>
      <c r="K82" s="447">
        <f>'Development Schedule'!K56</f>
        <v>26000</v>
      </c>
      <c r="L82" s="447">
        <f>'Development Schedule'!L56</f>
        <v>0</v>
      </c>
      <c r="M82" s="447">
        <f>'Development Schedule'!M56</f>
        <v>0</v>
      </c>
      <c r="N82" s="447">
        <f>'Development Schedule'!N56</f>
        <v>0</v>
      </c>
    </row>
    <row r="83" spans="1:14" ht="12" customHeight="1" x14ac:dyDescent="0.15">
      <c r="A83" s="803" t="s">
        <v>49</v>
      </c>
      <c r="B83" s="803"/>
      <c r="C83" s="481">
        <f t="shared" ref="C83:N83" si="8">SUM(C73:C82)</f>
        <v>1530340</v>
      </c>
      <c r="D83" s="482">
        <f t="shared" si="8"/>
        <v>0</v>
      </c>
      <c r="E83" s="482">
        <f t="shared" si="8"/>
        <v>288125</v>
      </c>
      <c r="F83" s="482">
        <f t="shared" si="8"/>
        <v>265925</v>
      </c>
      <c r="G83" s="482">
        <f t="shared" si="8"/>
        <v>0</v>
      </c>
      <c r="H83" s="482">
        <f t="shared" si="8"/>
        <v>448942.5</v>
      </c>
      <c r="I83" s="482">
        <f t="shared" si="8"/>
        <v>149647.5</v>
      </c>
      <c r="J83" s="482">
        <f t="shared" si="8"/>
        <v>0</v>
      </c>
      <c r="K83" s="482">
        <f t="shared" si="8"/>
        <v>247700</v>
      </c>
      <c r="L83" s="482">
        <f t="shared" si="8"/>
        <v>130000</v>
      </c>
      <c r="M83" s="482">
        <f t="shared" si="8"/>
        <v>0</v>
      </c>
      <c r="N83" s="482">
        <f t="shared" si="8"/>
        <v>0</v>
      </c>
    </row>
    <row r="84" spans="1:14" ht="12" customHeight="1" x14ac:dyDescent="0.15"/>
    <row r="85" spans="1:14" s="268" customFormat="1" ht="12" customHeight="1" x14ac:dyDescent="0.15">
      <c r="A85" s="804" t="s">
        <v>90</v>
      </c>
      <c r="B85" s="804"/>
      <c r="C85" s="795"/>
      <c r="D85" s="795"/>
      <c r="E85" s="795"/>
      <c r="F85" s="795"/>
      <c r="G85" s="315"/>
      <c r="H85" s="794" t="s">
        <v>91</v>
      </c>
      <c r="I85" s="795"/>
      <c r="J85" s="795"/>
      <c r="K85" s="795"/>
      <c r="L85" s="795"/>
      <c r="M85" s="795"/>
      <c r="N85" s="795"/>
    </row>
    <row r="86" spans="1:14" s="316" customFormat="1" ht="12" customHeight="1" x14ac:dyDescent="0.15">
      <c r="A86" s="798" t="s">
        <v>2</v>
      </c>
      <c r="B86" s="798"/>
      <c r="C86" s="799" t="s">
        <v>95</v>
      </c>
      <c r="D86" s="800"/>
      <c r="E86" s="799" t="s">
        <v>57</v>
      </c>
      <c r="F86" s="800"/>
      <c r="H86" s="801"/>
      <c r="I86" s="802"/>
      <c r="J86" s="802"/>
      <c r="K86" s="799" t="s">
        <v>92</v>
      </c>
      <c r="L86" s="799"/>
      <c r="M86" s="799" t="s">
        <v>55</v>
      </c>
      <c r="N86" s="800"/>
    </row>
    <row r="87" spans="1:14" ht="12" customHeight="1" x14ac:dyDescent="0.15">
      <c r="A87" s="784" t="s">
        <v>87</v>
      </c>
      <c r="B87" s="317" t="s">
        <v>380</v>
      </c>
      <c r="C87" s="811">
        <f>E87/C63</f>
        <v>169617.54980096576</v>
      </c>
      <c r="D87" s="812"/>
      <c r="E87" s="813">
        <f>SUM(D26:M26)</f>
        <v>105502115.9762007</v>
      </c>
      <c r="F87" s="814"/>
      <c r="H87" s="815" t="s">
        <v>93</v>
      </c>
      <c r="I87" s="814"/>
      <c r="J87" s="814"/>
      <c r="K87" s="318"/>
      <c r="L87" s="318"/>
      <c r="M87" s="319"/>
      <c r="N87" s="319"/>
    </row>
    <row r="88" spans="1:14" ht="12" hidden="1" customHeight="1" x14ac:dyDescent="0.15">
      <c r="A88" s="785"/>
      <c r="B88" s="279" t="s">
        <v>80</v>
      </c>
      <c r="C88" s="807" t="e">
        <f>E88/C64</f>
        <v>#DIV/0!</v>
      </c>
      <c r="D88" s="808"/>
      <c r="E88" s="809">
        <f>SUM(D27:M27)</f>
        <v>0</v>
      </c>
      <c r="F88" s="810"/>
    </row>
    <row r="89" spans="1:14" ht="12" hidden="1" customHeight="1" x14ac:dyDescent="0.15">
      <c r="A89" s="283" t="s">
        <v>117</v>
      </c>
      <c r="B89" s="279" t="s">
        <v>79</v>
      </c>
      <c r="C89" s="320"/>
      <c r="D89" s="320" t="s">
        <v>51</v>
      </c>
      <c r="E89" s="321"/>
      <c r="F89" s="483"/>
      <c r="H89" s="323"/>
      <c r="I89" s="322"/>
      <c r="J89" s="322"/>
      <c r="K89" s="324"/>
      <c r="L89" s="325"/>
      <c r="M89" s="279"/>
      <c r="N89" s="279"/>
    </row>
    <row r="90" spans="1:14" ht="12" customHeight="1" x14ac:dyDescent="0.15">
      <c r="A90" s="786" t="s">
        <v>86</v>
      </c>
      <c r="B90" s="279" t="s">
        <v>380</v>
      </c>
      <c r="C90" s="807">
        <f>E90/C65</f>
        <v>227202.91868671091</v>
      </c>
      <c r="D90" s="808"/>
      <c r="E90" s="809">
        <f>SUM(D29:M29)</f>
        <v>11814551.771708967</v>
      </c>
      <c r="F90" s="810"/>
      <c r="H90" s="323"/>
      <c r="I90" s="322"/>
      <c r="J90" s="322"/>
      <c r="K90" s="324"/>
      <c r="L90" s="325"/>
      <c r="M90" s="279"/>
      <c r="N90" s="279"/>
    </row>
    <row r="91" spans="1:14" ht="12" hidden="1" customHeight="1" x14ac:dyDescent="0.15">
      <c r="A91" s="785"/>
      <c r="B91" s="279" t="s">
        <v>80</v>
      </c>
      <c r="C91" s="807" t="e">
        <f>E91/C66</f>
        <v>#DIV/0!</v>
      </c>
      <c r="D91" s="808"/>
      <c r="E91" s="809">
        <f>SUM(D30:M30)</f>
        <v>0</v>
      </c>
      <c r="F91" s="810"/>
      <c r="H91" s="323"/>
      <c r="I91" s="322"/>
      <c r="J91" s="322"/>
      <c r="K91" s="324"/>
      <c r="L91" s="325"/>
      <c r="M91" s="279"/>
      <c r="N91" s="279"/>
    </row>
    <row r="92" spans="1:14" ht="12" customHeight="1" x14ac:dyDescent="0.15">
      <c r="A92" s="781" t="s">
        <v>378</v>
      </c>
      <c r="B92" s="781"/>
      <c r="C92" s="817">
        <f>E92/C77</f>
        <v>247.15374785758797</v>
      </c>
      <c r="D92" s="818"/>
      <c r="E92" s="809">
        <f>SUM(D31:M31)</f>
        <v>32129987.221486438</v>
      </c>
      <c r="F92" s="810"/>
      <c r="H92" s="816" t="s">
        <v>205</v>
      </c>
      <c r="I92" s="810"/>
      <c r="J92" s="810"/>
      <c r="K92" s="805">
        <f>Budget!C14</f>
        <v>13666080.303488642</v>
      </c>
      <c r="L92" s="805"/>
      <c r="M92" s="806">
        <f>K92/K101</f>
        <v>3.4744530935736949E-2</v>
      </c>
      <c r="N92" s="806"/>
    </row>
    <row r="93" spans="1:14" ht="12" customHeight="1" x14ac:dyDescent="0.15">
      <c r="A93" s="781" t="s">
        <v>379</v>
      </c>
      <c r="B93" s="781"/>
      <c r="C93" s="817">
        <f>E93/C78</f>
        <v>177.2325813280508</v>
      </c>
      <c r="D93" s="818"/>
      <c r="E93" s="809">
        <f>SUM(D32:M32)</f>
        <v>104494557.62520547</v>
      </c>
      <c r="F93" s="810"/>
      <c r="H93" s="819" t="s">
        <v>329</v>
      </c>
      <c r="I93" s="820"/>
      <c r="J93" s="820"/>
      <c r="K93" s="821">
        <f>Budget!C13</f>
        <v>58999560.227616481</v>
      </c>
      <c r="L93" s="821"/>
      <c r="M93" s="822">
        <f>K93/K101</f>
        <v>0.15</v>
      </c>
      <c r="N93" s="822"/>
    </row>
    <row r="94" spans="1:14" ht="12" customHeight="1" x14ac:dyDescent="0.15">
      <c r="A94" s="791" t="s">
        <v>374</v>
      </c>
      <c r="B94" s="791"/>
      <c r="C94" s="807">
        <f>E94/C68</f>
        <v>131881.44</v>
      </c>
      <c r="D94" s="808"/>
      <c r="E94" s="809">
        <f>SUM(D34:M34)</f>
        <v>44180282.399999999</v>
      </c>
      <c r="F94" s="810"/>
      <c r="H94" s="824" t="s">
        <v>94</v>
      </c>
      <c r="I94" s="814"/>
      <c r="J94" s="814"/>
      <c r="K94" s="825"/>
      <c r="L94" s="825"/>
      <c r="M94" s="790"/>
      <c r="N94" s="790"/>
    </row>
    <row r="95" spans="1:14" ht="12" customHeight="1" x14ac:dyDescent="0.15">
      <c r="A95" s="791" t="s">
        <v>375</v>
      </c>
      <c r="B95" s="791"/>
      <c r="C95" s="807">
        <f>E95/'9.Structured Parking (New)'!B48</f>
        <v>21442.571428571428</v>
      </c>
      <c r="D95" s="808"/>
      <c r="E95" s="809">
        <f>SUM(D35:M35)</f>
        <v>4653038</v>
      </c>
      <c r="F95" s="810"/>
      <c r="H95" s="781" t="s">
        <v>324</v>
      </c>
      <c r="I95" s="810"/>
      <c r="J95" s="810"/>
      <c r="K95" s="823">
        <f>Budget!C12</f>
        <v>255664760.98633811</v>
      </c>
      <c r="L95" s="823"/>
      <c r="M95" s="806">
        <f>K95/K101</f>
        <v>0.65</v>
      </c>
      <c r="N95" s="806"/>
    </row>
    <row r="96" spans="1:14" ht="12" customHeight="1" x14ac:dyDescent="0.15">
      <c r="A96" s="791" t="s">
        <v>376</v>
      </c>
      <c r="B96" s="791"/>
      <c r="C96" s="764">
        <f>E96/'9.Structured Parking (Existing)'!B51</f>
        <v>13507.853403141362</v>
      </c>
      <c r="D96" s="764"/>
      <c r="E96" s="809">
        <f>SUM(D36:M36)</f>
        <v>7740000</v>
      </c>
      <c r="F96" s="810"/>
      <c r="H96" s="781"/>
      <c r="I96" s="810"/>
      <c r="J96" s="810"/>
      <c r="K96" s="830"/>
      <c r="L96" s="830"/>
      <c r="M96" s="781"/>
      <c r="N96" s="781"/>
    </row>
    <row r="97" spans="1:14" ht="12" customHeight="1" x14ac:dyDescent="0.15">
      <c r="A97" s="797" t="s">
        <v>377</v>
      </c>
      <c r="B97" s="797"/>
      <c r="C97" s="826">
        <f>E97/C82</f>
        <v>189.15636626314227</v>
      </c>
      <c r="D97" s="827"/>
      <c r="E97" s="828">
        <f>SUM(D33:M33)</f>
        <v>4918065.5228416994</v>
      </c>
      <c r="F97" s="829"/>
      <c r="H97" s="824" t="s">
        <v>382</v>
      </c>
      <c r="I97" s="814"/>
      <c r="J97" s="814"/>
      <c r="K97" s="825"/>
      <c r="L97" s="825"/>
      <c r="M97" s="845"/>
      <c r="N97" s="845"/>
    </row>
    <row r="98" spans="1:14" ht="12" customHeight="1" x14ac:dyDescent="0.15">
      <c r="A98" s="297" t="s">
        <v>15</v>
      </c>
      <c r="B98" s="297"/>
      <c r="C98" s="846" t="s">
        <v>100</v>
      </c>
      <c r="D98" s="846"/>
      <c r="E98" s="849" t="s">
        <v>103</v>
      </c>
      <c r="F98" s="849"/>
      <c r="H98" s="781" t="s">
        <v>359</v>
      </c>
      <c r="I98" s="810"/>
      <c r="J98" s="810"/>
      <c r="K98" s="807">
        <f>Budget!C15</f>
        <v>50000000</v>
      </c>
      <c r="L98" s="807"/>
      <c r="M98" s="806">
        <f>K98/K101</f>
        <v>0.12711959158789465</v>
      </c>
      <c r="N98" s="806"/>
    </row>
    <row r="99" spans="1:14" ht="12" customHeight="1" x14ac:dyDescent="0.15">
      <c r="A99" s="326"/>
      <c r="B99" s="279" t="s">
        <v>104</v>
      </c>
      <c r="C99" s="847"/>
      <c r="D99" s="847"/>
      <c r="E99" s="848"/>
      <c r="F99" s="848"/>
      <c r="H99" s="781" t="s">
        <v>361</v>
      </c>
      <c r="I99" s="810"/>
      <c r="J99" s="810"/>
      <c r="K99" s="842">
        <f>Budget!C16</f>
        <v>15000000</v>
      </c>
      <c r="L99" s="842"/>
      <c r="M99" s="806">
        <f>K99/K101</f>
        <v>3.8135877476368395E-2</v>
      </c>
      <c r="N99" s="806"/>
    </row>
    <row r="100" spans="1:14" ht="12" customHeight="1" x14ac:dyDescent="0.15">
      <c r="A100" s="326"/>
      <c r="B100" s="279" t="s">
        <v>97</v>
      </c>
      <c r="C100" s="843"/>
      <c r="D100" s="843"/>
      <c r="E100" s="810"/>
      <c r="F100" s="810"/>
      <c r="H100" s="781"/>
      <c r="I100" s="810"/>
      <c r="J100" s="810"/>
      <c r="K100" s="841"/>
      <c r="L100" s="841"/>
      <c r="M100" s="781"/>
      <c r="N100" s="781"/>
    </row>
    <row r="101" spans="1:14" ht="12" customHeight="1" x14ac:dyDescent="0.15">
      <c r="A101" s="326"/>
      <c r="B101" s="279" t="s">
        <v>99</v>
      </c>
      <c r="C101" s="843"/>
      <c r="D101" s="843"/>
      <c r="E101" s="844"/>
      <c r="F101" s="844"/>
      <c r="H101" s="835" t="s">
        <v>49</v>
      </c>
      <c r="I101" s="836"/>
      <c r="J101" s="836"/>
      <c r="K101" s="837">
        <f>SUM(K89:L100)</f>
        <v>393330401.51744324</v>
      </c>
      <c r="L101" s="837"/>
      <c r="M101" s="838">
        <v>1</v>
      </c>
      <c r="N101" s="834"/>
    </row>
    <row r="102" spans="1:14" ht="12" customHeight="1" x14ac:dyDescent="0.15">
      <c r="A102" s="326"/>
      <c r="B102" s="279" t="s">
        <v>98</v>
      </c>
      <c r="C102" s="843"/>
      <c r="D102" s="843"/>
      <c r="E102" s="810"/>
      <c r="F102" s="810"/>
    </row>
    <row r="103" spans="1:14" ht="12" customHeight="1" x14ac:dyDescent="0.15">
      <c r="A103" s="314"/>
      <c r="B103" s="746" t="s">
        <v>373</v>
      </c>
      <c r="C103" s="839"/>
      <c r="D103" s="839"/>
      <c r="E103" s="839">
        <f>'1.Infrastructure Costs'!E23+'1.Infrastructure Costs'!F23</f>
        <v>54497600</v>
      </c>
      <c r="F103" s="839"/>
    </row>
    <row r="104" spans="1:14" ht="12" customHeight="1" x14ac:dyDescent="0.15">
      <c r="A104" s="304"/>
      <c r="B104" s="302" t="s">
        <v>125</v>
      </c>
      <c r="C104" s="788"/>
      <c r="D104" s="788"/>
      <c r="E104" s="829"/>
      <c r="F104" s="829"/>
    </row>
    <row r="105" spans="1:14" ht="12" customHeight="1" x14ac:dyDescent="0.15">
      <c r="A105" s="304"/>
      <c r="B105" s="302" t="s">
        <v>54</v>
      </c>
      <c r="C105" s="793"/>
      <c r="D105" s="793"/>
      <c r="E105" s="840">
        <f>SUM(E99:F104)</f>
        <v>54497600</v>
      </c>
      <c r="F105" s="840"/>
    </row>
    <row r="106" spans="1:14" ht="12" customHeight="1" x14ac:dyDescent="0.15">
      <c r="A106" s="304"/>
      <c r="B106" s="302" t="s">
        <v>3</v>
      </c>
      <c r="C106" s="831"/>
      <c r="D106" s="832"/>
      <c r="E106" s="833">
        <f>SUM(E87:F97)+E105</f>
        <v>369930198.51744324</v>
      </c>
      <c r="F106" s="834"/>
      <c r="G106" s="354"/>
    </row>
    <row r="107" spans="1:14" ht="14.25" customHeight="1" x14ac:dyDescent="0.15">
      <c r="C107" s="329"/>
      <c r="D107" s="330"/>
    </row>
    <row r="108" spans="1:14" ht="14.25" customHeight="1" thickBot="1" x14ac:dyDescent="0.2">
      <c r="C108" s="329"/>
      <c r="D108" s="330"/>
    </row>
    <row r="109" spans="1:14" ht="14.25" customHeight="1" thickBot="1" x14ac:dyDescent="0.2">
      <c r="A109" s="778" t="s">
        <v>213</v>
      </c>
      <c r="B109" s="779"/>
      <c r="C109" s="779"/>
      <c r="D109" s="779"/>
      <c r="E109" s="779"/>
      <c r="F109" s="779"/>
      <c r="G109" s="780"/>
    </row>
    <row r="110" spans="1:14" ht="14.25" customHeight="1" x14ac:dyDescent="0.15">
      <c r="A110" s="331"/>
      <c r="B110" s="333"/>
      <c r="C110" s="344"/>
      <c r="D110" s="344" t="s">
        <v>219</v>
      </c>
      <c r="E110" s="332" t="s">
        <v>221</v>
      </c>
      <c r="F110" s="332" t="s">
        <v>222</v>
      </c>
      <c r="G110" s="349" t="s">
        <v>49</v>
      </c>
    </row>
    <row r="111" spans="1:14" ht="14.25" customHeight="1" thickBot="1" x14ac:dyDescent="0.2">
      <c r="A111" s="337" t="s">
        <v>214</v>
      </c>
      <c r="B111" s="339"/>
      <c r="C111" s="346"/>
      <c r="D111" s="346" t="s">
        <v>223</v>
      </c>
      <c r="E111" s="338" t="s">
        <v>224</v>
      </c>
      <c r="F111" s="338" t="s">
        <v>225</v>
      </c>
      <c r="G111" s="350" t="s">
        <v>220</v>
      </c>
    </row>
    <row r="112" spans="1:14" ht="14.25" customHeight="1" x14ac:dyDescent="0.15">
      <c r="A112" s="331" t="s">
        <v>215</v>
      </c>
      <c r="B112" s="333"/>
      <c r="C112" s="344"/>
      <c r="D112" s="352">
        <v>173.71</v>
      </c>
      <c r="E112" s="353">
        <f>D112*0.2</f>
        <v>34.742000000000004</v>
      </c>
      <c r="F112" s="353">
        <f>D112*0.04</f>
        <v>6.9484000000000004</v>
      </c>
      <c r="G112" s="698">
        <f>D112+E112+F112</f>
        <v>215.40039999999999</v>
      </c>
    </row>
    <row r="113" spans="1:13" ht="14.25" customHeight="1" x14ac:dyDescent="0.15">
      <c r="A113" s="335" t="s">
        <v>216</v>
      </c>
      <c r="B113" s="328"/>
      <c r="C113" s="348"/>
      <c r="D113" s="355">
        <v>166.78</v>
      </c>
      <c r="E113" s="356">
        <f>D113*0.2</f>
        <v>33.356000000000002</v>
      </c>
      <c r="F113" s="356">
        <f>D113*0.04</f>
        <v>6.6711999999999998</v>
      </c>
      <c r="G113" s="699">
        <f>SUM(D113:F113)</f>
        <v>206.80719999999999</v>
      </c>
    </row>
    <row r="114" spans="1:13" ht="14.25" customHeight="1" x14ac:dyDescent="0.15">
      <c r="A114" s="335" t="s">
        <v>217</v>
      </c>
      <c r="B114" s="328"/>
      <c r="C114" s="348"/>
      <c r="D114" s="355">
        <v>132.80000000000001</v>
      </c>
      <c r="E114" s="356">
        <f t="shared" ref="E114:E116" si="9">D114*0.2</f>
        <v>26.560000000000002</v>
      </c>
      <c r="F114" s="356">
        <f t="shared" ref="F114:F116" si="10">D114*0.04</f>
        <v>5.3120000000000003</v>
      </c>
      <c r="G114" s="699">
        <f t="shared" ref="G114:G116" si="11">SUM(D114:F114)</f>
        <v>164.67200000000003</v>
      </c>
    </row>
    <row r="115" spans="1:13" ht="14.25" customHeight="1" x14ac:dyDescent="0.15">
      <c r="A115" s="335" t="s">
        <v>83</v>
      </c>
      <c r="B115" s="328"/>
      <c r="C115" s="348"/>
      <c r="D115" s="355">
        <v>177.26</v>
      </c>
      <c r="E115" s="356">
        <f t="shared" si="9"/>
        <v>35.451999999999998</v>
      </c>
      <c r="F115" s="356">
        <f t="shared" si="10"/>
        <v>7.0903999999999998</v>
      </c>
      <c r="G115" s="699">
        <f t="shared" si="11"/>
        <v>219.80239999999998</v>
      </c>
    </row>
    <row r="116" spans="1:13" ht="14.25" customHeight="1" x14ac:dyDescent="0.15">
      <c r="A116" s="335" t="s">
        <v>326</v>
      </c>
      <c r="B116" s="328"/>
      <c r="C116" s="348"/>
      <c r="D116" s="355">
        <v>57.73</v>
      </c>
      <c r="E116" s="356">
        <f t="shared" si="9"/>
        <v>11.545999999999999</v>
      </c>
      <c r="F116" s="356">
        <f t="shared" si="10"/>
        <v>2.3092000000000001</v>
      </c>
      <c r="G116" s="699">
        <f t="shared" si="11"/>
        <v>71.5852</v>
      </c>
    </row>
    <row r="117" spans="1:13" ht="14.25" customHeight="1" x14ac:dyDescent="0.15">
      <c r="A117" s="705" t="s">
        <v>369</v>
      </c>
      <c r="B117" s="289"/>
      <c r="C117" s="348"/>
      <c r="D117" s="355"/>
      <c r="E117" s="355"/>
      <c r="F117" s="355"/>
      <c r="G117" s="699">
        <f>D168</f>
        <v>160</v>
      </c>
    </row>
    <row r="118" spans="1:13" ht="14.25" customHeight="1" thickBot="1" x14ac:dyDescent="0.2">
      <c r="A118" s="337"/>
      <c r="B118" s="339"/>
      <c r="C118" s="346"/>
      <c r="D118" s="358"/>
      <c r="E118" s="359"/>
      <c r="F118" s="359"/>
      <c r="G118" s="360"/>
    </row>
    <row r="119" spans="1:13" ht="14.25" customHeight="1" x14ac:dyDescent="0.15">
      <c r="A119" s="271" t="s">
        <v>226</v>
      </c>
      <c r="C119" s="329"/>
      <c r="D119" s="330"/>
    </row>
    <row r="120" spans="1:13" ht="14.25" customHeight="1" x14ac:dyDescent="0.15">
      <c r="A120" s="271" t="s">
        <v>227</v>
      </c>
      <c r="C120" s="329"/>
      <c r="D120" s="330"/>
    </row>
    <row r="121" spans="1:13" ht="14.25" customHeight="1" x14ac:dyDescent="0.15">
      <c r="A121" s="271" t="s">
        <v>228</v>
      </c>
      <c r="C121" s="329"/>
      <c r="D121" s="330"/>
    </row>
    <row r="122" spans="1:13" ht="14.25" customHeight="1" thickBot="1" x14ac:dyDescent="0.2">
      <c r="A122" s="271" t="s">
        <v>370</v>
      </c>
      <c r="C122" s="329"/>
      <c r="D122" s="330"/>
    </row>
    <row r="123" spans="1:13" ht="14.25" customHeight="1" thickBot="1" x14ac:dyDescent="0.2">
      <c r="C123" s="329"/>
      <c r="D123" s="330"/>
      <c r="H123" s="760" t="s">
        <v>229</v>
      </c>
      <c r="I123" s="761"/>
      <c r="J123" s="761"/>
      <c r="K123" s="761"/>
      <c r="L123" s="761"/>
      <c r="M123" s="762"/>
    </row>
    <row r="124" spans="1:13" ht="14.25" customHeight="1" x14ac:dyDescent="0.15">
      <c r="C124" s="329"/>
      <c r="D124" s="330"/>
      <c r="H124" s="364"/>
      <c r="I124" s="365"/>
      <c r="J124" s="366" t="s">
        <v>230</v>
      </c>
      <c r="K124" s="367"/>
      <c r="L124" s="368"/>
      <c r="M124" s="369"/>
    </row>
    <row r="125" spans="1:13" ht="14.25" customHeight="1" thickBot="1" x14ac:dyDescent="0.2">
      <c r="H125" s="370" t="s">
        <v>231</v>
      </c>
      <c r="I125" s="371"/>
      <c r="J125" s="372" t="s">
        <v>265</v>
      </c>
      <c r="K125" s="373" t="s">
        <v>232</v>
      </c>
      <c r="L125" s="374"/>
      <c r="M125" s="375"/>
    </row>
    <row r="126" spans="1:13" ht="14.25" customHeight="1" thickBot="1" x14ac:dyDescent="0.2">
      <c r="H126" s="364" t="s">
        <v>233</v>
      </c>
      <c r="I126" s="365"/>
      <c r="J126" s="376">
        <v>1.61</v>
      </c>
      <c r="K126" s="640" t="s">
        <v>234</v>
      </c>
      <c r="L126" s="414"/>
      <c r="M126" s="415"/>
    </row>
    <row r="127" spans="1:13" ht="14.25" customHeight="1" thickBot="1" x14ac:dyDescent="0.2">
      <c r="B127" s="775" t="s">
        <v>207</v>
      </c>
      <c r="C127" s="776"/>
      <c r="D127" s="776"/>
      <c r="E127" s="776"/>
      <c r="F127" s="777"/>
      <c r="H127" s="377"/>
      <c r="I127" s="371"/>
      <c r="J127" s="378"/>
      <c r="K127" s="419"/>
      <c r="L127" s="420"/>
      <c r="M127" s="421"/>
    </row>
    <row r="128" spans="1:13" ht="14.25" customHeight="1" thickBot="1" x14ac:dyDescent="0.2">
      <c r="B128" s="331"/>
      <c r="C128" s="332"/>
      <c r="D128" s="333"/>
      <c r="E128" s="333"/>
      <c r="F128" s="334"/>
      <c r="H128" s="379" t="s">
        <v>235</v>
      </c>
      <c r="I128" s="380"/>
      <c r="J128" s="381">
        <v>7.4999999999999997E-2</v>
      </c>
      <c r="K128" s="382" t="s">
        <v>236</v>
      </c>
      <c r="L128" s="383"/>
      <c r="M128" s="384"/>
    </row>
    <row r="129" spans="2:13" ht="14.25" customHeight="1" thickBot="1" x14ac:dyDescent="0.2">
      <c r="B129" s="335"/>
      <c r="C129" s="287"/>
      <c r="D129" s="328" t="s">
        <v>211</v>
      </c>
      <c r="E129" s="328" t="s">
        <v>49</v>
      </c>
      <c r="F129" s="336" t="s">
        <v>161</v>
      </c>
      <c r="H129" s="379" t="s">
        <v>237</v>
      </c>
      <c r="I129" s="380"/>
      <c r="J129" s="643">
        <f>62885*0.8/12/3/1000</f>
        <v>1.3974444444444443</v>
      </c>
      <c r="K129" s="385" t="s">
        <v>238</v>
      </c>
      <c r="L129" s="386"/>
      <c r="M129" s="387"/>
    </row>
    <row r="130" spans="2:13" ht="14.25" customHeight="1" thickBot="1" x14ac:dyDescent="0.2">
      <c r="B130" s="337" t="s">
        <v>320</v>
      </c>
      <c r="C130" s="338" t="s">
        <v>323</v>
      </c>
      <c r="D130" s="339" t="s">
        <v>161</v>
      </c>
      <c r="E130" s="339" t="s">
        <v>162</v>
      </c>
      <c r="F130" s="340" t="s">
        <v>212</v>
      </c>
      <c r="H130" s="364" t="s">
        <v>239</v>
      </c>
      <c r="I130" s="365"/>
      <c r="J130" s="376">
        <v>257</v>
      </c>
      <c r="K130" s="422" t="s">
        <v>271</v>
      </c>
      <c r="L130" s="423"/>
      <c r="M130" s="424"/>
    </row>
    <row r="131" spans="2:13" ht="14.25" customHeight="1" thickBot="1" x14ac:dyDescent="0.2">
      <c r="B131" s="335" t="s">
        <v>208</v>
      </c>
      <c r="C131" s="287">
        <v>1</v>
      </c>
      <c r="D131" s="361">
        <f>E131*F131</f>
        <v>1940436</v>
      </c>
      <c r="E131" s="531">
        <f>Assumptions!C3</f>
        <v>53901</v>
      </c>
      <c r="F131" s="699">
        <v>36</v>
      </c>
      <c r="H131" s="379" t="s">
        <v>240</v>
      </c>
      <c r="I131" s="380"/>
      <c r="J131" s="644">
        <v>192</v>
      </c>
      <c r="K131" s="385" t="s">
        <v>238</v>
      </c>
      <c r="L131" s="386"/>
      <c r="M131" s="387"/>
    </row>
    <row r="132" spans="2:13" ht="14.25" customHeight="1" x14ac:dyDescent="0.15">
      <c r="B132" s="335" t="s">
        <v>208</v>
      </c>
      <c r="C132" s="287">
        <v>1</v>
      </c>
      <c r="D132" s="361">
        <f t="shared" ref="D132:D133" si="12">E132*F132</f>
        <v>1940472</v>
      </c>
      <c r="E132" s="531">
        <f>Assumptions!C4</f>
        <v>53902</v>
      </c>
      <c r="F132" s="357">
        <v>36</v>
      </c>
      <c r="H132" s="364" t="s">
        <v>241</v>
      </c>
      <c r="I132" s="365"/>
      <c r="J132" s="376">
        <v>23.72</v>
      </c>
      <c r="K132" s="413" t="s">
        <v>242</v>
      </c>
      <c r="L132" s="414"/>
      <c r="M132" s="415"/>
    </row>
    <row r="133" spans="2:13" ht="14.25" customHeight="1" thickBot="1" x14ac:dyDescent="0.2">
      <c r="B133" s="335" t="s">
        <v>209</v>
      </c>
      <c r="C133" s="287">
        <v>1</v>
      </c>
      <c r="D133" s="361">
        <f t="shared" si="12"/>
        <v>1940508</v>
      </c>
      <c r="E133" s="531">
        <f>Assumptions!C5</f>
        <v>53903</v>
      </c>
      <c r="F133" s="357">
        <v>36</v>
      </c>
      <c r="H133" s="377"/>
      <c r="I133" s="371"/>
      <c r="J133" s="378"/>
      <c r="K133" s="419"/>
      <c r="L133" s="420"/>
      <c r="M133" s="421"/>
    </row>
    <row r="134" spans="2:13" ht="14.25" customHeight="1" thickBot="1" x14ac:dyDescent="0.2">
      <c r="B134" s="335" t="s">
        <v>209</v>
      </c>
      <c r="C134" s="287">
        <v>1</v>
      </c>
      <c r="D134" s="361">
        <f>E134*F134</f>
        <v>1940544</v>
      </c>
      <c r="E134" s="531">
        <f>Assumptions!C6</f>
        <v>53904</v>
      </c>
      <c r="F134" s="357">
        <v>36</v>
      </c>
      <c r="H134" s="379" t="s">
        <v>243</v>
      </c>
      <c r="I134" s="380"/>
      <c r="J134" s="381">
        <v>0.128</v>
      </c>
      <c r="K134" s="382" t="s">
        <v>242</v>
      </c>
      <c r="L134" s="383"/>
      <c r="M134" s="384"/>
    </row>
    <row r="135" spans="2:13" ht="14.25" customHeight="1" x14ac:dyDescent="0.15">
      <c r="B135" s="335" t="s">
        <v>136</v>
      </c>
      <c r="C135" s="287">
        <v>3</v>
      </c>
      <c r="D135" s="361">
        <f t="shared" ref="D135:D140" si="13">E135*F135</f>
        <v>1948896</v>
      </c>
      <c r="E135" s="531">
        <f>Assumptions!C9</f>
        <v>54136</v>
      </c>
      <c r="F135" s="357">
        <f>F134</f>
        <v>36</v>
      </c>
      <c r="H135" s="364" t="s">
        <v>244</v>
      </c>
      <c r="I135" s="365"/>
      <c r="J135" s="376">
        <v>26.93</v>
      </c>
      <c r="K135" s="639" t="s">
        <v>245</v>
      </c>
      <c r="L135" s="535"/>
      <c r="M135" s="536"/>
    </row>
    <row r="136" spans="2:13" ht="14.25" customHeight="1" x14ac:dyDescent="0.15">
      <c r="B136" s="335" t="s">
        <v>137</v>
      </c>
      <c r="C136" s="287">
        <v>1</v>
      </c>
      <c r="D136" s="361">
        <f t="shared" si="13"/>
        <v>3556620</v>
      </c>
      <c r="E136" s="531">
        <f>Assumptions!C10</f>
        <v>98795</v>
      </c>
      <c r="F136" s="357">
        <f t="shared" ref="F136:F140" si="14">F135</f>
        <v>36</v>
      </c>
      <c r="H136" s="388" t="s">
        <v>246</v>
      </c>
      <c r="I136" s="389"/>
      <c r="J136" s="390">
        <v>10.71</v>
      </c>
      <c r="K136" s="537"/>
      <c r="L136" s="538"/>
      <c r="M136" s="539"/>
    </row>
    <row r="137" spans="2:13" ht="14.25" customHeight="1" x14ac:dyDescent="0.15">
      <c r="B137" s="335" t="s">
        <v>330</v>
      </c>
      <c r="C137" s="287">
        <v>2</v>
      </c>
      <c r="D137" s="635">
        <f>E137*F137*0</f>
        <v>0</v>
      </c>
      <c r="E137" s="531">
        <f>Assumptions!C11</f>
        <v>53785</v>
      </c>
      <c r="F137" s="357">
        <f t="shared" si="14"/>
        <v>36</v>
      </c>
      <c r="H137" s="388" t="s">
        <v>247</v>
      </c>
      <c r="I137" s="389"/>
      <c r="J137" s="390">
        <v>12.26</v>
      </c>
      <c r="K137" s="537"/>
      <c r="L137" s="538"/>
      <c r="M137" s="539"/>
    </row>
    <row r="138" spans="2:13" ht="14.25" customHeight="1" thickBot="1" x14ac:dyDescent="0.2">
      <c r="B138" s="335" t="s">
        <v>331</v>
      </c>
      <c r="C138" s="287">
        <v>2</v>
      </c>
      <c r="D138" s="635">
        <f>E138*F138*0</f>
        <v>0</v>
      </c>
      <c r="E138" s="531">
        <f>Assumptions!C12</f>
        <v>119371</v>
      </c>
      <c r="F138" s="357">
        <f t="shared" si="14"/>
        <v>36</v>
      </c>
      <c r="H138" s="377" t="s">
        <v>248</v>
      </c>
      <c r="I138" s="371"/>
      <c r="J138" s="391">
        <v>8.4000000000000005E-2</v>
      </c>
      <c r="K138" s="540"/>
      <c r="L138" s="541"/>
      <c r="M138" s="542"/>
    </row>
    <row r="139" spans="2:13" ht="14.25" customHeight="1" x14ac:dyDescent="0.15">
      <c r="B139" s="335" t="s">
        <v>140</v>
      </c>
      <c r="C139" s="287">
        <v>2</v>
      </c>
      <c r="D139" s="361">
        <f t="shared" si="13"/>
        <v>653868</v>
      </c>
      <c r="E139" s="531">
        <f>Assumptions!C13</f>
        <v>18163</v>
      </c>
      <c r="F139" s="357">
        <f t="shared" si="14"/>
        <v>36</v>
      </c>
      <c r="H139" s="364" t="s">
        <v>249</v>
      </c>
      <c r="I139" s="365"/>
      <c r="J139" s="376">
        <v>107.48</v>
      </c>
      <c r="K139" s="700" t="s">
        <v>250</v>
      </c>
      <c r="L139" s="414"/>
      <c r="M139" s="415"/>
    </row>
    <row r="140" spans="2:13" ht="14.25" customHeight="1" x14ac:dyDescent="0.15">
      <c r="B140" s="335" t="s">
        <v>141</v>
      </c>
      <c r="C140" s="287">
        <v>3</v>
      </c>
      <c r="D140" s="362">
        <f t="shared" si="13"/>
        <v>922212</v>
      </c>
      <c r="E140" s="531">
        <f>Assumptions!C14</f>
        <v>25617</v>
      </c>
      <c r="F140" s="357">
        <f t="shared" si="14"/>
        <v>36</v>
      </c>
      <c r="H140" s="392" t="s">
        <v>251</v>
      </c>
      <c r="I140" s="393"/>
      <c r="J140" s="394">
        <v>0.64500000000000002</v>
      </c>
      <c r="K140" s="416"/>
      <c r="L140" s="417"/>
      <c r="M140" s="418"/>
    </row>
    <row r="141" spans="2:13" ht="14.25" customHeight="1" thickBot="1" x14ac:dyDescent="0.2">
      <c r="B141" s="335" t="s">
        <v>321</v>
      </c>
      <c r="C141" s="287"/>
      <c r="D141" s="532">
        <f>SUM(D131:D140)</f>
        <v>14843556</v>
      </c>
      <c r="E141" s="531"/>
      <c r="F141" s="357"/>
      <c r="H141" s="395" t="s">
        <v>252</v>
      </c>
      <c r="I141" s="396"/>
      <c r="J141" s="645">
        <v>0.25900000000000001</v>
      </c>
      <c r="K141" s="419"/>
      <c r="L141" s="420"/>
      <c r="M141" s="421"/>
    </row>
    <row r="142" spans="2:13" ht="14.25" customHeight="1" x14ac:dyDescent="0.15">
      <c r="B142" s="335"/>
      <c r="C142" s="287"/>
      <c r="D142" s="361"/>
      <c r="E142" s="531"/>
      <c r="F142" s="357"/>
      <c r="H142" s="367" t="s">
        <v>253</v>
      </c>
      <c r="I142" s="368"/>
      <c r="J142" s="397">
        <v>96</v>
      </c>
      <c r="K142" s="398" t="s">
        <v>254</v>
      </c>
      <c r="L142" s="398"/>
      <c r="M142" s="399"/>
    </row>
    <row r="143" spans="2:13" ht="14.25" customHeight="1" x14ac:dyDescent="0.15">
      <c r="B143" s="335" t="s">
        <v>322</v>
      </c>
      <c r="C143" s="287"/>
      <c r="D143" s="361"/>
      <c r="E143" s="531"/>
      <c r="F143" s="357"/>
      <c r="H143" s="392" t="s">
        <v>255</v>
      </c>
      <c r="I143" s="393"/>
      <c r="J143" s="400">
        <v>2.75</v>
      </c>
      <c r="K143" s="398"/>
      <c r="L143" s="398"/>
      <c r="M143" s="399"/>
    </row>
    <row r="144" spans="2:13" ht="14.25" customHeight="1" thickBot="1" x14ac:dyDescent="0.2">
      <c r="B144" s="335" t="s">
        <v>210</v>
      </c>
      <c r="C144" s="287">
        <v>1</v>
      </c>
      <c r="D144" s="635">
        <v>6000000</v>
      </c>
      <c r="E144" s="328"/>
      <c r="F144" s="336"/>
      <c r="H144" s="395" t="s">
        <v>256</v>
      </c>
      <c r="I144" s="396"/>
      <c r="J144" s="401">
        <v>15</v>
      </c>
      <c r="K144" s="398"/>
      <c r="L144" s="398"/>
      <c r="M144" s="399"/>
    </row>
    <row r="145" spans="2:13" ht="14.25" customHeight="1" x14ac:dyDescent="0.15">
      <c r="B145" s="335"/>
      <c r="C145" s="287"/>
      <c r="D145" s="361"/>
      <c r="E145" s="328"/>
      <c r="F145" s="336"/>
      <c r="H145" s="392" t="s">
        <v>257</v>
      </c>
      <c r="I145" s="393"/>
      <c r="J145" s="402">
        <v>0.05</v>
      </c>
      <c r="K145" s="639" t="s">
        <v>258</v>
      </c>
      <c r="L145" s="535"/>
      <c r="M145" s="536"/>
    </row>
    <row r="146" spans="2:13" ht="14.25" customHeight="1" thickBot="1" x14ac:dyDescent="0.2">
      <c r="B146" s="337"/>
      <c r="C146" s="338"/>
      <c r="D146" s="339"/>
      <c r="E146" s="339"/>
      <c r="F146" s="340"/>
      <c r="H146" s="392" t="s">
        <v>259</v>
      </c>
      <c r="I146" s="393"/>
      <c r="J146" s="402">
        <v>0.06</v>
      </c>
      <c r="K146" s="537"/>
      <c r="L146" s="538"/>
      <c r="M146" s="539"/>
    </row>
    <row r="147" spans="2:13" ht="14.25" customHeight="1" x14ac:dyDescent="0.15">
      <c r="H147" s="392" t="s">
        <v>260</v>
      </c>
      <c r="I147" s="393"/>
      <c r="J147" s="402">
        <v>0.08</v>
      </c>
      <c r="K147" s="537"/>
      <c r="L147" s="538"/>
      <c r="M147" s="539"/>
    </row>
    <row r="148" spans="2:13" ht="14.25" customHeight="1" x14ac:dyDescent="0.15">
      <c r="B148" s="765" t="s">
        <v>332</v>
      </c>
      <c r="C148" s="765"/>
      <c r="D148" s="765"/>
      <c r="E148" s="765"/>
      <c r="F148" s="765"/>
      <c r="H148" s="392" t="s">
        <v>261</v>
      </c>
      <c r="I148" s="393"/>
      <c r="J148" s="402">
        <v>0.08</v>
      </c>
      <c r="K148" s="537"/>
      <c r="L148" s="538"/>
      <c r="M148" s="539"/>
    </row>
    <row r="149" spans="2:13" ht="14.25" customHeight="1" x14ac:dyDescent="0.15">
      <c r="B149" s="765"/>
      <c r="C149" s="765"/>
      <c r="D149" s="765"/>
      <c r="E149" s="765"/>
      <c r="F149" s="765"/>
      <c r="H149" s="392" t="s">
        <v>262</v>
      </c>
      <c r="I149" s="393"/>
      <c r="J149" s="402">
        <v>5.5E-2</v>
      </c>
      <c r="K149" s="403"/>
      <c r="L149" s="404"/>
      <c r="M149" s="405"/>
    </row>
    <row r="150" spans="2:13" ht="14.25" customHeight="1" thickBot="1" x14ac:dyDescent="0.2">
      <c r="H150" s="392" t="s">
        <v>263</v>
      </c>
      <c r="I150" s="393"/>
      <c r="J150" s="402">
        <v>0.1</v>
      </c>
      <c r="K150" s="406"/>
      <c r="L150" s="378"/>
      <c r="M150" s="407"/>
    </row>
    <row r="151" spans="2:13" ht="14.25" customHeight="1" x14ac:dyDescent="0.15">
      <c r="H151" s="408"/>
      <c r="I151" s="409"/>
      <c r="J151" s="410"/>
      <c r="K151" s="411"/>
      <c r="L151" s="411"/>
      <c r="M151" s="411"/>
    </row>
    <row r="152" spans="2:13" ht="14.25" customHeight="1" x14ac:dyDescent="0.15">
      <c r="H152" s="763" t="s">
        <v>264</v>
      </c>
      <c r="I152" s="763"/>
      <c r="J152" s="763"/>
      <c r="K152" s="763"/>
      <c r="L152" s="763"/>
      <c r="M152" s="763"/>
    </row>
    <row r="153" spans="2:13" ht="14.25" customHeight="1" x14ac:dyDescent="0.15">
      <c r="H153" s="763"/>
      <c r="I153" s="763"/>
      <c r="J153" s="763"/>
      <c r="K153" s="763"/>
      <c r="L153" s="763"/>
      <c r="M153" s="763"/>
    </row>
    <row r="158" spans="2:13" ht="14.25" customHeight="1" x14ac:dyDescent="0.15">
      <c r="B158" s="271" t="s">
        <v>354</v>
      </c>
      <c r="D158" s="691">
        <f>E137*F137</f>
        <v>1936260</v>
      </c>
    </row>
    <row r="159" spans="2:13" ht="14.25" customHeight="1" x14ac:dyDescent="0.15">
      <c r="B159" s="271" t="s">
        <v>355</v>
      </c>
      <c r="D159" s="693">
        <f>E138*F138</f>
        <v>4297356</v>
      </c>
    </row>
    <row r="160" spans="2:13" ht="14.25" customHeight="1" x14ac:dyDescent="0.15">
      <c r="B160" s="271" t="s">
        <v>321</v>
      </c>
      <c r="D160" s="692">
        <f>D158+D159</f>
        <v>6233616</v>
      </c>
    </row>
    <row r="162" spans="2:5" ht="14.25" customHeight="1" x14ac:dyDescent="0.15">
      <c r="B162" s="271" t="s">
        <v>154</v>
      </c>
      <c r="D162" s="692">
        <f>SUM(E131:E140)</f>
        <v>585477</v>
      </c>
    </row>
    <row r="163" spans="2:5" ht="14.25" customHeight="1" x14ac:dyDescent="0.15">
      <c r="B163" s="271" t="s">
        <v>356</v>
      </c>
      <c r="D163" s="694">
        <v>45</v>
      </c>
      <c r="E163" s="271" t="s">
        <v>358</v>
      </c>
    </row>
    <row r="164" spans="2:5" ht="14.25" customHeight="1" x14ac:dyDescent="0.15">
      <c r="B164" s="271" t="s">
        <v>357</v>
      </c>
      <c r="D164" s="695">
        <f>D162*D163</f>
        <v>26346465</v>
      </c>
    </row>
    <row r="167" spans="2:5" ht="14.25" customHeight="1" x14ac:dyDescent="0.15">
      <c r="B167" s="271" t="s">
        <v>368</v>
      </c>
      <c r="D167" s="692">
        <f>SUM(E131:E134)</f>
        <v>215610</v>
      </c>
    </row>
    <row r="168" spans="2:5" ht="14.25" customHeight="1" x14ac:dyDescent="0.15">
      <c r="B168" s="271" t="s">
        <v>212</v>
      </c>
      <c r="D168" s="694">
        <v>160</v>
      </c>
    </row>
    <row r="169" spans="2:5" ht="14.25" customHeight="1" x14ac:dyDescent="0.15">
      <c r="B169" s="271" t="s">
        <v>49</v>
      </c>
      <c r="D169" s="695">
        <f>D167*D168</f>
        <v>34497600</v>
      </c>
    </row>
  </sheetData>
  <mergeCells count="141">
    <mergeCell ref="H99:J99"/>
    <mergeCell ref="K99:L99"/>
    <mergeCell ref="M99:N99"/>
    <mergeCell ref="E103:F103"/>
    <mergeCell ref="C101:D101"/>
    <mergeCell ref="E101:F101"/>
    <mergeCell ref="H98:J98"/>
    <mergeCell ref="K98:L98"/>
    <mergeCell ref="K97:L97"/>
    <mergeCell ref="M97:N97"/>
    <mergeCell ref="C98:D98"/>
    <mergeCell ref="M98:N98"/>
    <mergeCell ref="C102:D102"/>
    <mergeCell ref="E102:F102"/>
    <mergeCell ref="C99:D99"/>
    <mergeCell ref="E99:F99"/>
    <mergeCell ref="C100:D100"/>
    <mergeCell ref="E100:F100"/>
    <mergeCell ref="H97:J97"/>
    <mergeCell ref="E98:F98"/>
    <mergeCell ref="C106:D106"/>
    <mergeCell ref="E106:F106"/>
    <mergeCell ref="H101:J101"/>
    <mergeCell ref="K101:L101"/>
    <mergeCell ref="M101:N101"/>
    <mergeCell ref="C103:D103"/>
    <mergeCell ref="C105:D105"/>
    <mergeCell ref="E105:F105"/>
    <mergeCell ref="H100:J100"/>
    <mergeCell ref="K100:L100"/>
    <mergeCell ref="M100:N100"/>
    <mergeCell ref="C104:D104"/>
    <mergeCell ref="E104:F104"/>
    <mergeCell ref="A97:B97"/>
    <mergeCell ref="C97:D97"/>
    <mergeCell ref="E97:F97"/>
    <mergeCell ref="A95:B95"/>
    <mergeCell ref="C95:D95"/>
    <mergeCell ref="E95:F95"/>
    <mergeCell ref="H96:J96"/>
    <mergeCell ref="K96:L96"/>
    <mergeCell ref="M96:N96"/>
    <mergeCell ref="A96:B96"/>
    <mergeCell ref="E96:F96"/>
    <mergeCell ref="H93:J93"/>
    <mergeCell ref="K93:L93"/>
    <mergeCell ref="M93:N93"/>
    <mergeCell ref="A94:B94"/>
    <mergeCell ref="C94:D94"/>
    <mergeCell ref="E94:F94"/>
    <mergeCell ref="H95:J95"/>
    <mergeCell ref="K95:L95"/>
    <mergeCell ref="M95:N95"/>
    <mergeCell ref="A93:B93"/>
    <mergeCell ref="C93:D93"/>
    <mergeCell ref="E93:F93"/>
    <mergeCell ref="H94:J94"/>
    <mergeCell ref="K94:L94"/>
    <mergeCell ref="M94:N94"/>
    <mergeCell ref="K92:L92"/>
    <mergeCell ref="M92:N92"/>
    <mergeCell ref="A90:A91"/>
    <mergeCell ref="C90:D90"/>
    <mergeCell ref="E90:F90"/>
    <mergeCell ref="C91:D91"/>
    <mergeCell ref="E91:F91"/>
    <mergeCell ref="A87:A88"/>
    <mergeCell ref="C87:D87"/>
    <mergeCell ref="E87:F87"/>
    <mergeCell ref="H87:J87"/>
    <mergeCell ref="C88:D88"/>
    <mergeCell ref="E88:F88"/>
    <mergeCell ref="H92:J92"/>
    <mergeCell ref="A92:B92"/>
    <mergeCell ref="C92:D92"/>
    <mergeCell ref="E92:F92"/>
    <mergeCell ref="A86:B86"/>
    <mergeCell ref="C86:D86"/>
    <mergeCell ref="E86:F86"/>
    <mergeCell ref="H86:J86"/>
    <mergeCell ref="K86:L86"/>
    <mergeCell ref="M86:N86"/>
    <mergeCell ref="A82:B82"/>
    <mergeCell ref="A83:B83"/>
    <mergeCell ref="A85:F85"/>
    <mergeCell ref="H85:N85"/>
    <mergeCell ref="A70:B70"/>
    <mergeCell ref="A71:B71"/>
    <mergeCell ref="A73:A74"/>
    <mergeCell ref="A67:B67"/>
    <mergeCell ref="A68:B68"/>
    <mergeCell ref="A69:B69"/>
    <mergeCell ref="A80:B80"/>
    <mergeCell ref="A81:B81"/>
    <mergeCell ref="A75:A76"/>
    <mergeCell ref="A77:B77"/>
    <mergeCell ref="A78:B78"/>
    <mergeCell ref="A48:B48"/>
    <mergeCell ref="A49:B49"/>
    <mergeCell ref="A38:B38"/>
    <mergeCell ref="A41:B41"/>
    <mergeCell ref="A43:B43"/>
    <mergeCell ref="A63:A64"/>
    <mergeCell ref="A65:A66"/>
    <mergeCell ref="L55:M55"/>
    <mergeCell ref="L56:M56"/>
    <mergeCell ref="A58:N58"/>
    <mergeCell ref="A21:B21"/>
    <mergeCell ref="A18:B18"/>
    <mergeCell ref="A34:B34"/>
    <mergeCell ref="A35:B35"/>
    <mergeCell ref="A36:B36"/>
    <mergeCell ref="A29:A30"/>
    <mergeCell ref="A31:B31"/>
    <mergeCell ref="A32:B32"/>
    <mergeCell ref="A46:B46"/>
    <mergeCell ref="A37:B37"/>
    <mergeCell ref="J2:M2"/>
    <mergeCell ref="H123:M123"/>
    <mergeCell ref="H152:M153"/>
    <mergeCell ref="C96:D96"/>
    <mergeCell ref="B148:F149"/>
    <mergeCell ref="E60:G60"/>
    <mergeCell ref="H60:J60"/>
    <mergeCell ref="K60:N60"/>
    <mergeCell ref="D2:F2"/>
    <mergeCell ref="G2:I2"/>
    <mergeCell ref="B127:F127"/>
    <mergeCell ref="A109:G109"/>
    <mergeCell ref="A10:B10"/>
    <mergeCell ref="A11:B11"/>
    <mergeCell ref="A13:B13"/>
    <mergeCell ref="A5:A6"/>
    <mergeCell ref="A8:A9"/>
    <mergeCell ref="A22:B22"/>
    <mergeCell ref="L22:M22"/>
    <mergeCell ref="A26:A27"/>
    <mergeCell ref="A14:B14"/>
    <mergeCell ref="A16:B16"/>
    <mergeCell ref="A20:B20"/>
    <mergeCell ref="A15:B15"/>
  </mergeCells>
  <hyperlinks>
    <hyperlink ref="K139" r:id="rId1" xr:uid="{3149AD53-0E77-5C47-BC2F-DAD0064BF92A}"/>
  </hyperlinks>
  <pageMargins left="0.25" right="0.25" top="0.75" bottom="0.75" header="0.3" footer="0.3"/>
  <pageSetup scale="40" orientation="portrait" r:id="rId2"/>
  <headerFooter alignWithMargins="0">
    <oddHeader xml:space="preserve">&amp;L&amp;"Arial,Bold"2017 ULI Hines Student Competition&amp;RTeam &amp;A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6"/>
  <sheetViews>
    <sheetView topLeftCell="A10" zoomScale="140" zoomScaleNormal="140" workbookViewId="0">
      <selection activeCell="M46" sqref="M46"/>
    </sheetView>
  </sheetViews>
  <sheetFormatPr baseColWidth="10" defaultColWidth="9.1640625" defaultRowHeight="13" x14ac:dyDescent="0.15"/>
  <cols>
    <col min="1" max="1" width="23" style="1" customWidth="1"/>
    <col min="2" max="3" width="8.6640625" style="3" customWidth="1"/>
    <col min="4" max="13" width="11.83203125" style="1" customWidth="1"/>
    <col min="14" max="16384" width="9.1640625" style="1"/>
  </cols>
  <sheetData>
    <row r="1" spans="1:13" ht="14.25" customHeight="1" x14ac:dyDescent="0.15">
      <c r="L1" s="47" t="s">
        <v>352</v>
      </c>
      <c r="M1" s="48"/>
    </row>
    <row r="2" spans="1:13" ht="14.25" customHeight="1" x14ac:dyDescent="0.15">
      <c r="A2" s="62"/>
      <c r="B2" s="65"/>
      <c r="C2" s="65"/>
      <c r="D2" s="62"/>
      <c r="E2" s="62"/>
      <c r="F2" s="62"/>
      <c r="G2" s="62"/>
      <c r="H2" s="62"/>
      <c r="I2" s="62"/>
      <c r="J2" s="62"/>
      <c r="K2" s="62"/>
      <c r="L2" s="66"/>
      <c r="M2" s="67"/>
    </row>
    <row r="3" spans="1:13" ht="14.25" customHeight="1" x14ac:dyDescent="0.15">
      <c r="A3" s="62"/>
      <c r="B3" s="65"/>
      <c r="C3" s="65" t="s">
        <v>105</v>
      </c>
      <c r="D3" s="867" t="s">
        <v>59</v>
      </c>
      <c r="E3" s="868"/>
      <c r="F3" s="869"/>
      <c r="G3" s="867" t="s">
        <v>151</v>
      </c>
      <c r="H3" s="868"/>
      <c r="I3" s="869"/>
      <c r="J3" s="867" t="s">
        <v>152</v>
      </c>
      <c r="K3" s="868"/>
      <c r="L3" s="868"/>
      <c r="M3" s="869"/>
    </row>
    <row r="4" spans="1:13" ht="14.25" customHeight="1" x14ac:dyDescent="0.15">
      <c r="A4" s="58"/>
      <c r="B4" s="68" t="s">
        <v>29</v>
      </c>
      <c r="C4" s="127" t="s">
        <v>130</v>
      </c>
      <c r="D4" s="126">
        <v>2021</v>
      </c>
      <c r="E4" s="178">
        <f t="shared" ref="E4:M4" si="0">D4+1</f>
        <v>2022</v>
      </c>
      <c r="F4" s="179">
        <f t="shared" si="0"/>
        <v>2023</v>
      </c>
      <c r="G4" s="126">
        <f t="shared" si="0"/>
        <v>2024</v>
      </c>
      <c r="H4" s="178">
        <f t="shared" si="0"/>
        <v>2025</v>
      </c>
      <c r="I4" s="179">
        <f t="shared" si="0"/>
        <v>2026</v>
      </c>
      <c r="J4" s="126">
        <f t="shared" si="0"/>
        <v>2027</v>
      </c>
      <c r="K4" s="178">
        <f t="shared" si="0"/>
        <v>2028</v>
      </c>
      <c r="L4" s="178">
        <f t="shared" si="0"/>
        <v>2029</v>
      </c>
      <c r="M4" s="179">
        <f t="shared" si="0"/>
        <v>2030</v>
      </c>
    </row>
    <row r="5" spans="1:13" ht="18" customHeight="1" x14ac:dyDescent="0.15">
      <c r="A5" s="54" t="s">
        <v>16</v>
      </c>
      <c r="B5" s="69"/>
      <c r="C5" s="128"/>
      <c r="D5" s="180"/>
      <c r="E5" s="70"/>
      <c r="F5" s="181"/>
      <c r="G5" s="180"/>
      <c r="H5" s="70"/>
      <c r="I5" s="181"/>
      <c r="J5" s="180"/>
      <c r="K5" s="70"/>
      <c r="L5" s="70"/>
      <c r="M5" s="181"/>
    </row>
    <row r="6" spans="1:13" ht="18" customHeight="1" x14ac:dyDescent="0.15">
      <c r="A6" s="169" t="s">
        <v>148</v>
      </c>
      <c r="B6" s="69"/>
      <c r="C6" s="128"/>
      <c r="D6" s="180"/>
      <c r="E6" s="70"/>
      <c r="F6" s="181"/>
      <c r="G6" s="180"/>
      <c r="H6" s="70"/>
      <c r="I6" s="181"/>
      <c r="J6" s="180"/>
      <c r="K6" s="70"/>
      <c r="L6" s="70"/>
      <c r="M6" s="181"/>
    </row>
    <row r="7" spans="1:13" ht="14.25" customHeight="1" x14ac:dyDescent="0.15">
      <c r="A7" s="29" t="s">
        <v>12</v>
      </c>
      <c r="B7" s="32">
        <v>0.02</v>
      </c>
      <c r="C7" s="129"/>
      <c r="D7" s="182"/>
      <c r="E7" s="71"/>
      <c r="F7" s="183"/>
      <c r="G7" s="182"/>
      <c r="H7" s="71"/>
      <c r="I7" s="183"/>
      <c r="J7" s="182"/>
      <c r="K7" s="71"/>
      <c r="L7" s="71"/>
      <c r="M7" s="183"/>
    </row>
    <row r="8" spans="1:13" ht="14.25" customHeight="1" x14ac:dyDescent="0.15">
      <c r="A8" s="29" t="s">
        <v>70</v>
      </c>
      <c r="B8" s="61" t="s">
        <v>47</v>
      </c>
      <c r="C8" s="130"/>
      <c r="D8" s="184"/>
      <c r="E8" s="125">
        <f>C57</f>
        <v>170300</v>
      </c>
      <c r="F8" s="197">
        <f t="shared" ref="F8:M8" si="1">E8</f>
        <v>170300</v>
      </c>
      <c r="G8" s="199">
        <f t="shared" si="1"/>
        <v>170300</v>
      </c>
      <c r="H8" s="125">
        <f t="shared" si="1"/>
        <v>170300</v>
      </c>
      <c r="I8" s="197">
        <f t="shared" si="1"/>
        <v>170300</v>
      </c>
      <c r="J8" s="199">
        <f t="shared" si="1"/>
        <v>170300</v>
      </c>
      <c r="K8" s="125">
        <f t="shared" si="1"/>
        <v>170300</v>
      </c>
      <c r="L8" s="125">
        <f t="shared" si="1"/>
        <v>170300</v>
      </c>
      <c r="M8" s="197">
        <f t="shared" si="1"/>
        <v>170300</v>
      </c>
    </row>
    <row r="9" spans="1:13" ht="14.25" customHeight="1" x14ac:dyDescent="0.15">
      <c r="A9" s="29" t="s">
        <v>62</v>
      </c>
      <c r="B9" s="32">
        <v>0.9</v>
      </c>
      <c r="C9" s="129"/>
      <c r="D9" s="186"/>
      <c r="E9" s="141">
        <f>D57</f>
        <v>153270</v>
      </c>
      <c r="F9" s="198">
        <f>F8*$B$9</f>
        <v>153270</v>
      </c>
      <c r="G9" s="200">
        <f t="shared" ref="G9:M10" si="2">F9</f>
        <v>153270</v>
      </c>
      <c r="H9" s="141">
        <f t="shared" si="2"/>
        <v>153270</v>
      </c>
      <c r="I9" s="198">
        <f t="shared" si="2"/>
        <v>153270</v>
      </c>
      <c r="J9" s="200">
        <f t="shared" si="2"/>
        <v>153270</v>
      </c>
      <c r="K9" s="141">
        <f t="shared" si="2"/>
        <v>153270</v>
      </c>
      <c r="L9" s="141">
        <f t="shared" si="2"/>
        <v>153270</v>
      </c>
      <c r="M9" s="198">
        <f t="shared" si="2"/>
        <v>153270</v>
      </c>
    </row>
    <row r="10" spans="1:13" ht="14.25" customHeight="1" x14ac:dyDescent="0.15">
      <c r="A10" s="29" t="s">
        <v>71</v>
      </c>
      <c r="B10" s="32"/>
      <c r="C10" s="129">
        <v>1</v>
      </c>
      <c r="D10" s="220">
        <v>0</v>
      </c>
      <c r="E10" s="175">
        <v>0.3</v>
      </c>
      <c r="F10" s="709">
        <v>8.4000000000000005E-2</v>
      </c>
      <c r="G10" s="710">
        <f t="shared" si="2"/>
        <v>8.4000000000000005E-2</v>
      </c>
      <c r="H10" s="711">
        <f t="shared" si="2"/>
        <v>8.4000000000000005E-2</v>
      </c>
      <c r="I10" s="709">
        <f t="shared" si="2"/>
        <v>8.4000000000000005E-2</v>
      </c>
      <c r="J10" s="710">
        <f t="shared" si="2"/>
        <v>8.4000000000000005E-2</v>
      </c>
      <c r="K10" s="711">
        <f t="shared" si="2"/>
        <v>8.4000000000000005E-2</v>
      </c>
      <c r="L10" s="711">
        <f t="shared" si="2"/>
        <v>8.4000000000000005E-2</v>
      </c>
      <c r="M10" s="709">
        <f t="shared" si="2"/>
        <v>8.4000000000000005E-2</v>
      </c>
    </row>
    <row r="11" spans="1:13" ht="14.25" customHeight="1" x14ac:dyDescent="0.15">
      <c r="A11" s="45" t="s">
        <v>72</v>
      </c>
      <c r="B11" s="63"/>
      <c r="C11" s="176">
        <f>'Summary Board'!J135</f>
        <v>26.93</v>
      </c>
      <c r="D11" s="187">
        <f>C11*(1+$B$7)</f>
        <v>27.468599999999999</v>
      </c>
      <c r="E11" s="177">
        <f t="shared" ref="E11:M11" si="3">D11*(1+$B$7)</f>
        <v>28.017972</v>
      </c>
      <c r="F11" s="188">
        <f t="shared" si="3"/>
        <v>28.578331439999999</v>
      </c>
      <c r="G11" s="187">
        <f t="shared" si="3"/>
        <v>29.149898068799999</v>
      </c>
      <c r="H11" s="177">
        <f t="shared" si="3"/>
        <v>29.732896030176001</v>
      </c>
      <c r="I11" s="188">
        <f t="shared" si="3"/>
        <v>30.327553950779521</v>
      </c>
      <c r="J11" s="187">
        <f t="shared" si="3"/>
        <v>30.934105029795113</v>
      </c>
      <c r="K11" s="177">
        <f t="shared" si="3"/>
        <v>31.552787130391014</v>
      </c>
      <c r="L11" s="177">
        <f t="shared" si="3"/>
        <v>32.183842872998838</v>
      </c>
      <c r="M11" s="188">
        <f t="shared" si="3"/>
        <v>32.827519730458818</v>
      </c>
    </row>
    <row r="12" spans="1:13" ht="14.25" customHeight="1" x14ac:dyDescent="0.15">
      <c r="A12" s="119" t="s">
        <v>18</v>
      </c>
      <c r="B12" s="69"/>
      <c r="C12" s="128"/>
      <c r="D12" s="203"/>
      <c r="E12" s="204">
        <f>E9*(1-E10)*E11</f>
        <v>3006020.1979080001</v>
      </c>
      <c r="F12" s="196">
        <f t="shared" ref="F12:M12" si="4">F9*(1-F10)*F11</f>
        <v>4012263.987584861</v>
      </c>
      <c r="G12" s="206">
        <f t="shared" si="4"/>
        <v>4092509.2673365581</v>
      </c>
      <c r="H12" s="204">
        <f t="shared" si="4"/>
        <v>4174359.4526832895</v>
      </c>
      <c r="I12" s="196">
        <f t="shared" si="4"/>
        <v>4257846.6417369554</v>
      </c>
      <c r="J12" s="206">
        <f t="shared" si="4"/>
        <v>4343003.5745716942</v>
      </c>
      <c r="K12" s="204">
        <f t="shared" si="4"/>
        <v>4429863.6460631285</v>
      </c>
      <c r="L12" s="204">
        <f t="shared" si="4"/>
        <v>4518460.9189843917</v>
      </c>
      <c r="M12" s="196">
        <f t="shared" si="4"/>
        <v>4608830.1373640792</v>
      </c>
    </row>
    <row r="13" spans="1:13" ht="14.25" customHeight="1" x14ac:dyDescent="0.15">
      <c r="A13" s="119" t="s">
        <v>185</v>
      </c>
      <c r="B13" s="69"/>
      <c r="C13" s="128"/>
      <c r="D13" s="189"/>
      <c r="E13" s="172"/>
      <c r="F13" s="190"/>
      <c r="G13" s="189"/>
      <c r="H13" s="172"/>
      <c r="I13" s="190"/>
      <c r="J13" s="189"/>
      <c r="K13" s="172"/>
      <c r="L13" s="172"/>
      <c r="M13" s="190"/>
    </row>
    <row r="14" spans="1:13" ht="14.25" customHeight="1" x14ac:dyDescent="0.15">
      <c r="A14" s="146" t="s">
        <v>186</v>
      </c>
      <c r="B14" s="162"/>
      <c r="C14" s="173"/>
      <c r="D14" s="201"/>
      <c r="E14" s="202">
        <f>E12*-$D$63</f>
        <v>-751505.04947700002</v>
      </c>
      <c r="F14" s="205">
        <f t="shared" ref="F14:M14" si="5">F12*-$D$63</f>
        <v>-1003065.9968962152</v>
      </c>
      <c r="G14" s="201">
        <f t="shared" si="5"/>
        <v>-1023127.3168341395</v>
      </c>
      <c r="H14" s="202">
        <f t="shared" si="5"/>
        <v>-1043589.8631708224</v>
      </c>
      <c r="I14" s="205">
        <f t="shared" si="5"/>
        <v>-1064461.6604342388</v>
      </c>
      <c r="J14" s="201">
        <f t="shared" si="5"/>
        <v>-1085750.8936429236</v>
      </c>
      <c r="K14" s="202">
        <f t="shared" si="5"/>
        <v>-1107465.9115157821</v>
      </c>
      <c r="L14" s="202">
        <f t="shared" si="5"/>
        <v>-1129615.2297460979</v>
      </c>
      <c r="M14" s="205">
        <f t="shared" si="5"/>
        <v>-1152207.5343410198</v>
      </c>
    </row>
    <row r="15" spans="1:13" ht="18" customHeight="1" x14ac:dyDescent="0.15">
      <c r="A15" s="169" t="s">
        <v>151</v>
      </c>
      <c r="B15" s="69"/>
      <c r="C15" s="128"/>
      <c r="D15" s="180"/>
      <c r="E15" s="70"/>
      <c r="F15" s="181"/>
      <c r="G15" s="180"/>
      <c r="H15" s="70"/>
      <c r="I15" s="181"/>
      <c r="J15" s="180"/>
      <c r="K15" s="70"/>
      <c r="L15" s="70"/>
      <c r="M15" s="181"/>
    </row>
    <row r="16" spans="1:13" ht="14.25" customHeight="1" x14ac:dyDescent="0.15">
      <c r="A16" s="29" t="s">
        <v>12</v>
      </c>
      <c r="B16" s="32">
        <v>0.02</v>
      </c>
      <c r="C16" s="129"/>
      <c r="D16" s="182"/>
      <c r="E16" s="71"/>
      <c r="F16" s="183"/>
      <c r="G16" s="182"/>
      <c r="H16" s="71"/>
      <c r="I16" s="183"/>
      <c r="J16" s="182"/>
      <c r="K16" s="71"/>
      <c r="L16" s="71"/>
      <c r="M16" s="183"/>
    </row>
    <row r="17" spans="1:13" ht="14.25" customHeight="1" x14ac:dyDescent="0.15">
      <c r="A17" s="29" t="s">
        <v>70</v>
      </c>
      <c r="B17" s="61" t="s">
        <v>47</v>
      </c>
      <c r="C17" s="130"/>
      <c r="D17" s="184"/>
      <c r="E17" s="125">
        <v>0</v>
      </c>
      <c r="F17" s="197">
        <f>E17</f>
        <v>0</v>
      </c>
      <c r="G17" s="199">
        <f>F17</f>
        <v>0</v>
      </c>
      <c r="H17" s="125">
        <f>C58</f>
        <v>398590</v>
      </c>
      <c r="I17" s="197">
        <f t="shared" ref="I17:M18" si="6">H17</f>
        <v>398590</v>
      </c>
      <c r="J17" s="199">
        <f t="shared" si="6"/>
        <v>398590</v>
      </c>
      <c r="K17" s="125">
        <f t="shared" si="6"/>
        <v>398590</v>
      </c>
      <c r="L17" s="125">
        <f t="shared" si="6"/>
        <v>398590</v>
      </c>
      <c r="M17" s="197">
        <f t="shared" si="6"/>
        <v>398590</v>
      </c>
    </row>
    <row r="18" spans="1:13" ht="14.25" customHeight="1" x14ac:dyDescent="0.15">
      <c r="A18" s="29" t="s">
        <v>62</v>
      </c>
      <c r="B18" s="32">
        <v>0.9</v>
      </c>
      <c r="C18" s="129"/>
      <c r="D18" s="186"/>
      <c r="E18" s="141">
        <v>0</v>
      </c>
      <c r="F18" s="198">
        <f>F17*$B$9</f>
        <v>0</v>
      </c>
      <c r="G18" s="200">
        <f>F18</f>
        <v>0</v>
      </c>
      <c r="H18" s="141">
        <f>D58</f>
        <v>358731</v>
      </c>
      <c r="I18" s="198">
        <f t="shared" si="6"/>
        <v>358731</v>
      </c>
      <c r="J18" s="200">
        <f t="shared" si="6"/>
        <v>358731</v>
      </c>
      <c r="K18" s="141">
        <f t="shared" si="6"/>
        <v>358731</v>
      </c>
      <c r="L18" s="141">
        <f t="shared" si="6"/>
        <v>358731</v>
      </c>
      <c r="M18" s="198">
        <f t="shared" si="6"/>
        <v>358731</v>
      </c>
    </row>
    <row r="19" spans="1:13" ht="14.25" customHeight="1" x14ac:dyDescent="0.15">
      <c r="A19" s="29" t="s">
        <v>71</v>
      </c>
      <c r="B19" s="32"/>
      <c r="C19" s="129">
        <v>1</v>
      </c>
      <c r="D19" s="220">
        <v>0</v>
      </c>
      <c r="E19" s="175">
        <v>0</v>
      </c>
      <c r="F19" s="709">
        <v>0</v>
      </c>
      <c r="G19" s="710">
        <v>0</v>
      </c>
      <c r="H19" s="711">
        <v>0.3</v>
      </c>
      <c r="I19" s="709">
        <v>8.4000000000000005E-2</v>
      </c>
      <c r="J19" s="710">
        <f>I19</f>
        <v>8.4000000000000005E-2</v>
      </c>
      <c r="K19" s="711">
        <f>J19</f>
        <v>8.4000000000000005E-2</v>
      </c>
      <c r="L19" s="711">
        <f>K19</f>
        <v>8.4000000000000005E-2</v>
      </c>
      <c r="M19" s="709">
        <f>L19</f>
        <v>8.4000000000000005E-2</v>
      </c>
    </row>
    <row r="20" spans="1:13" ht="14.25" customHeight="1" x14ac:dyDescent="0.15">
      <c r="A20" s="45" t="s">
        <v>72</v>
      </c>
      <c r="B20" s="63"/>
      <c r="C20" s="176">
        <f>C11</f>
        <v>26.93</v>
      </c>
      <c r="D20" s="187">
        <f>C20*(1+$B$7)</f>
        <v>27.468599999999999</v>
      </c>
      <c r="E20" s="177">
        <f t="shared" ref="E20:M20" si="7">D20*(1+$B$7)</f>
        <v>28.017972</v>
      </c>
      <c r="F20" s="188">
        <f t="shared" si="7"/>
        <v>28.578331439999999</v>
      </c>
      <c r="G20" s="187">
        <f t="shared" si="7"/>
        <v>29.149898068799999</v>
      </c>
      <c r="H20" s="177">
        <f t="shared" si="7"/>
        <v>29.732896030176001</v>
      </c>
      <c r="I20" s="188">
        <f t="shared" si="7"/>
        <v>30.327553950779521</v>
      </c>
      <c r="J20" s="187">
        <f t="shared" si="7"/>
        <v>30.934105029795113</v>
      </c>
      <c r="K20" s="177">
        <f t="shared" si="7"/>
        <v>31.552787130391014</v>
      </c>
      <c r="L20" s="177">
        <f t="shared" si="7"/>
        <v>32.183842872998838</v>
      </c>
      <c r="M20" s="188">
        <f t="shared" si="7"/>
        <v>32.827519730458818</v>
      </c>
    </row>
    <row r="21" spans="1:13" ht="14.25" customHeight="1" x14ac:dyDescent="0.15">
      <c r="A21" s="119" t="s">
        <v>18</v>
      </c>
      <c r="B21" s="69"/>
      <c r="C21" s="128"/>
      <c r="D21" s="203"/>
      <c r="E21" s="204">
        <f>E18*(1-E19)*E20</f>
        <v>0</v>
      </c>
      <c r="F21" s="196">
        <f t="shared" ref="F21" si="8">F18*(1-F19)*F20</f>
        <v>0</v>
      </c>
      <c r="G21" s="206">
        <f t="shared" ref="G21" si="9">G18*(1-G19)*G20</f>
        <v>0</v>
      </c>
      <c r="H21" s="204">
        <f t="shared" ref="H21" si="10">H18*(1-H19)*H20</f>
        <v>7466278.0680607464</v>
      </c>
      <c r="I21" s="196">
        <f t="shared" ref="I21" si="11">I18*(1-I19)*I20</f>
        <v>9965561.3207864538</v>
      </c>
      <c r="J21" s="206">
        <f t="shared" ref="J21" si="12">J18*(1-J19)*J20</f>
        <v>10164872.547202183</v>
      </c>
      <c r="K21" s="204">
        <f t="shared" ref="K21" si="13">K18*(1-K19)*K20</f>
        <v>10368169.998146227</v>
      </c>
      <c r="L21" s="204">
        <f t="shared" ref="L21" si="14">L18*(1-L19)*L20</f>
        <v>10575533.398109153</v>
      </c>
      <c r="M21" s="196">
        <f t="shared" ref="M21" si="15">M18*(1-M19)*M20</f>
        <v>10787044.066071335</v>
      </c>
    </row>
    <row r="22" spans="1:13" ht="14.25" customHeight="1" x14ac:dyDescent="0.15">
      <c r="A22" s="119" t="s">
        <v>185</v>
      </c>
      <c r="B22" s="69"/>
      <c r="C22" s="128"/>
      <c r="D22" s="189"/>
      <c r="E22" s="172"/>
      <c r="F22" s="190"/>
      <c r="G22" s="189"/>
      <c r="H22" s="172"/>
      <c r="I22" s="190"/>
      <c r="J22" s="189"/>
      <c r="K22" s="172"/>
      <c r="L22" s="172"/>
      <c r="M22" s="190"/>
    </row>
    <row r="23" spans="1:13" ht="14.25" customHeight="1" x14ac:dyDescent="0.15">
      <c r="A23" s="146" t="s">
        <v>186</v>
      </c>
      <c r="B23" s="162"/>
      <c r="C23" s="173"/>
      <c r="D23" s="201"/>
      <c r="E23" s="202">
        <f>E21*-$D$63</f>
        <v>0</v>
      </c>
      <c r="F23" s="205">
        <f t="shared" ref="F23:M23" si="16">F21*-$D$63</f>
        <v>0</v>
      </c>
      <c r="G23" s="201">
        <f t="shared" si="16"/>
        <v>0</v>
      </c>
      <c r="H23" s="202">
        <f t="shared" si="16"/>
        <v>-1866569.5170151866</v>
      </c>
      <c r="I23" s="205">
        <f t="shared" si="16"/>
        <v>-2491390.3301966134</v>
      </c>
      <c r="J23" s="201">
        <f t="shared" si="16"/>
        <v>-2541218.1368005457</v>
      </c>
      <c r="K23" s="202">
        <f t="shared" si="16"/>
        <v>-2592042.4995365567</v>
      </c>
      <c r="L23" s="202">
        <f t="shared" si="16"/>
        <v>-2643883.3495272882</v>
      </c>
      <c r="M23" s="205">
        <f t="shared" si="16"/>
        <v>-2696761.0165178338</v>
      </c>
    </row>
    <row r="24" spans="1:13" ht="18" customHeight="1" x14ac:dyDescent="0.15">
      <c r="A24" s="169" t="s">
        <v>152</v>
      </c>
      <c r="B24" s="69"/>
      <c r="C24" s="128"/>
      <c r="D24" s="180"/>
      <c r="E24" s="70"/>
      <c r="F24" s="181"/>
      <c r="G24" s="180"/>
      <c r="H24" s="70"/>
      <c r="I24" s="181"/>
      <c r="J24" s="180"/>
      <c r="K24" s="70"/>
      <c r="L24" s="70"/>
      <c r="M24" s="181"/>
    </row>
    <row r="25" spans="1:13" ht="14.25" customHeight="1" x14ac:dyDescent="0.15">
      <c r="A25" s="29" t="s">
        <v>12</v>
      </c>
      <c r="B25" s="32">
        <v>0.02</v>
      </c>
      <c r="C25" s="129"/>
      <c r="D25" s="182"/>
      <c r="E25" s="71"/>
      <c r="F25" s="183"/>
      <c r="G25" s="182"/>
      <c r="H25" s="71"/>
      <c r="I25" s="183"/>
      <c r="J25" s="182"/>
      <c r="K25" s="71"/>
      <c r="L25" s="71"/>
      <c r="M25" s="183"/>
    </row>
    <row r="26" spans="1:13" ht="14.25" customHeight="1" x14ac:dyDescent="0.15">
      <c r="A26" s="29" t="s">
        <v>70</v>
      </c>
      <c r="B26" s="61" t="s">
        <v>47</v>
      </c>
      <c r="C26" s="130"/>
      <c r="D26" s="184"/>
      <c r="E26" s="125">
        <v>0</v>
      </c>
      <c r="F26" s="197">
        <f>E26</f>
        <v>0</v>
      </c>
      <c r="G26" s="199">
        <f>F26</f>
        <v>0</v>
      </c>
      <c r="H26" s="125">
        <f>G26</f>
        <v>0</v>
      </c>
      <c r="I26" s="197">
        <f>H26</f>
        <v>0</v>
      </c>
      <c r="J26" s="199">
        <f>I26</f>
        <v>0</v>
      </c>
      <c r="K26" s="125">
        <f>C59</f>
        <v>20700</v>
      </c>
      <c r="L26" s="125">
        <f>K26</f>
        <v>20700</v>
      </c>
      <c r="M26" s="197">
        <f>L26</f>
        <v>20700</v>
      </c>
    </row>
    <row r="27" spans="1:13" ht="14.25" customHeight="1" x14ac:dyDescent="0.15">
      <c r="A27" s="29" t="s">
        <v>62</v>
      </c>
      <c r="B27" s="32">
        <v>0.9</v>
      </c>
      <c r="C27" s="129"/>
      <c r="D27" s="186"/>
      <c r="E27" s="141">
        <v>0</v>
      </c>
      <c r="F27" s="198">
        <f>F26*$B$9</f>
        <v>0</v>
      </c>
      <c r="G27" s="200">
        <f t="shared" ref="G27:J28" si="17">F27</f>
        <v>0</v>
      </c>
      <c r="H27" s="141">
        <f t="shared" si="17"/>
        <v>0</v>
      </c>
      <c r="I27" s="198">
        <f t="shared" si="17"/>
        <v>0</v>
      </c>
      <c r="J27" s="200">
        <f t="shared" si="17"/>
        <v>0</v>
      </c>
      <c r="K27" s="141">
        <f>D59</f>
        <v>18630</v>
      </c>
      <c r="L27" s="141">
        <f>K27</f>
        <v>18630</v>
      </c>
      <c r="M27" s="198">
        <f>L27</f>
        <v>18630</v>
      </c>
    </row>
    <row r="28" spans="1:13" ht="14.25" customHeight="1" x14ac:dyDescent="0.15">
      <c r="A28" s="29" t="s">
        <v>71</v>
      </c>
      <c r="B28" s="32"/>
      <c r="C28" s="129">
        <v>1</v>
      </c>
      <c r="D28" s="220">
        <v>0</v>
      </c>
      <c r="E28" s="175">
        <v>0</v>
      </c>
      <c r="F28" s="709">
        <v>0</v>
      </c>
      <c r="G28" s="710">
        <f t="shared" si="17"/>
        <v>0</v>
      </c>
      <c r="H28" s="711">
        <f t="shared" si="17"/>
        <v>0</v>
      </c>
      <c r="I28" s="709">
        <f t="shared" si="17"/>
        <v>0</v>
      </c>
      <c r="J28" s="710">
        <f t="shared" si="17"/>
        <v>0</v>
      </c>
      <c r="K28" s="711">
        <v>0.3</v>
      </c>
      <c r="L28" s="711">
        <v>8.4000000000000005E-2</v>
      </c>
      <c r="M28" s="709">
        <f>L28</f>
        <v>8.4000000000000005E-2</v>
      </c>
    </row>
    <row r="29" spans="1:13" ht="14.25" customHeight="1" x14ac:dyDescent="0.15">
      <c r="A29" s="45" t="s">
        <v>72</v>
      </c>
      <c r="B29" s="63"/>
      <c r="C29" s="176">
        <f>C20</f>
        <v>26.93</v>
      </c>
      <c r="D29" s="187">
        <f>C29*(1+$B$7)</f>
        <v>27.468599999999999</v>
      </c>
      <c r="E29" s="177">
        <f t="shared" ref="E29:M29" si="18">D29*(1+$B$7)</f>
        <v>28.017972</v>
      </c>
      <c r="F29" s="188">
        <f t="shared" si="18"/>
        <v>28.578331439999999</v>
      </c>
      <c r="G29" s="187">
        <f t="shared" si="18"/>
        <v>29.149898068799999</v>
      </c>
      <c r="H29" s="177">
        <f t="shared" si="18"/>
        <v>29.732896030176001</v>
      </c>
      <c r="I29" s="188">
        <f t="shared" si="18"/>
        <v>30.327553950779521</v>
      </c>
      <c r="J29" s="187">
        <f t="shared" si="18"/>
        <v>30.934105029795113</v>
      </c>
      <c r="K29" s="177">
        <f t="shared" si="18"/>
        <v>31.552787130391014</v>
      </c>
      <c r="L29" s="177">
        <f t="shared" si="18"/>
        <v>32.183842872998838</v>
      </c>
      <c r="M29" s="188">
        <f t="shared" si="18"/>
        <v>32.827519730458818</v>
      </c>
    </row>
    <row r="30" spans="1:13" ht="14.25" customHeight="1" x14ac:dyDescent="0.15">
      <c r="A30" s="119" t="s">
        <v>18</v>
      </c>
      <c r="B30" s="69"/>
      <c r="C30" s="128"/>
      <c r="D30" s="203"/>
      <c r="E30" s="204">
        <f>E27*(1-E28)*E29</f>
        <v>0</v>
      </c>
      <c r="F30" s="196">
        <f t="shared" ref="F30" si="19">F27*(1-F28)*F29</f>
        <v>0</v>
      </c>
      <c r="G30" s="206">
        <f t="shared" ref="G30" si="20">G27*(1-G28)*G29</f>
        <v>0</v>
      </c>
      <c r="H30" s="204">
        <f t="shared" ref="H30" si="21">H27*(1-H28)*H29</f>
        <v>0</v>
      </c>
      <c r="I30" s="196">
        <f t="shared" ref="I30" si="22">I27*(1-I28)*I29</f>
        <v>0</v>
      </c>
      <c r="J30" s="206">
        <f t="shared" ref="J30" si="23">J27*(1-J28)*J29</f>
        <v>0</v>
      </c>
      <c r="K30" s="204">
        <f t="shared" ref="K30" si="24">K27*(1-K28)*K29</f>
        <v>411479.8969674292</v>
      </c>
      <c r="L30" s="204">
        <f t="shared" ref="L30" si="25">L27*(1-L28)*L29</f>
        <v>549219.85333515506</v>
      </c>
      <c r="M30" s="196">
        <f t="shared" ref="M30" si="26">M27*(1-M28)*M29</f>
        <v>560204.25040185824</v>
      </c>
    </row>
    <row r="31" spans="1:13" ht="14.25" customHeight="1" x14ac:dyDescent="0.15">
      <c r="A31" s="119" t="s">
        <v>185</v>
      </c>
      <c r="B31" s="69"/>
      <c r="C31" s="128"/>
      <c r="D31" s="189"/>
      <c r="E31" s="172"/>
      <c r="F31" s="190"/>
      <c r="G31" s="189"/>
      <c r="H31" s="172"/>
      <c r="I31" s="190"/>
      <c r="J31" s="189"/>
      <c r="K31" s="172"/>
      <c r="L31" s="172"/>
      <c r="M31" s="190"/>
    </row>
    <row r="32" spans="1:13" ht="14.25" customHeight="1" x14ac:dyDescent="0.15">
      <c r="A32" s="146" t="s">
        <v>186</v>
      </c>
      <c r="B32" s="162"/>
      <c r="C32" s="173"/>
      <c r="D32" s="201"/>
      <c r="E32" s="202">
        <f>E30*-$D$63</f>
        <v>0</v>
      </c>
      <c r="F32" s="205">
        <f t="shared" ref="F32:M32" si="27">F30*-$D$63</f>
        <v>0</v>
      </c>
      <c r="G32" s="201">
        <f t="shared" si="27"/>
        <v>0</v>
      </c>
      <c r="H32" s="202">
        <f t="shared" si="27"/>
        <v>0</v>
      </c>
      <c r="I32" s="205">
        <f t="shared" si="27"/>
        <v>0</v>
      </c>
      <c r="J32" s="201">
        <f t="shared" si="27"/>
        <v>0</v>
      </c>
      <c r="K32" s="202">
        <f t="shared" si="27"/>
        <v>-102869.9742418573</v>
      </c>
      <c r="L32" s="202">
        <f t="shared" si="27"/>
        <v>-137304.96333378876</v>
      </c>
      <c r="M32" s="205">
        <f t="shared" si="27"/>
        <v>-140051.06260046456</v>
      </c>
    </row>
    <row r="33" spans="1:13" ht="18" customHeight="1" x14ac:dyDescent="0.15">
      <c r="A33" s="54" t="s">
        <v>0</v>
      </c>
      <c r="B33" s="61"/>
      <c r="C33" s="209"/>
      <c r="D33" s="210"/>
      <c r="E33" s="211"/>
      <c r="F33" s="212"/>
      <c r="G33" s="210"/>
      <c r="H33" s="211"/>
      <c r="I33" s="212"/>
      <c r="J33" s="210"/>
      <c r="K33" s="211"/>
      <c r="L33" s="211"/>
      <c r="M33" s="212"/>
    </row>
    <row r="34" spans="1:13" ht="14.25" customHeight="1" x14ac:dyDescent="0.15">
      <c r="A34" s="29" t="s">
        <v>18</v>
      </c>
      <c r="B34" s="28"/>
      <c r="C34" s="207"/>
      <c r="D34" s="213">
        <f>SUM(D12,D21,D30)</f>
        <v>0</v>
      </c>
      <c r="E34" s="195">
        <f t="shared" ref="E34:M34" si="28">SUM(E12,E21,E30)</f>
        <v>3006020.1979080001</v>
      </c>
      <c r="F34" s="214">
        <f t="shared" si="28"/>
        <v>4012263.987584861</v>
      </c>
      <c r="G34" s="213">
        <f t="shared" si="28"/>
        <v>4092509.2673365581</v>
      </c>
      <c r="H34" s="195">
        <f t="shared" si="28"/>
        <v>11640637.520744037</v>
      </c>
      <c r="I34" s="214">
        <f t="shared" si="28"/>
        <v>14223407.962523408</v>
      </c>
      <c r="J34" s="213">
        <f t="shared" si="28"/>
        <v>14507876.121773876</v>
      </c>
      <c r="K34" s="195">
        <f t="shared" si="28"/>
        <v>15209513.541176785</v>
      </c>
      <c r="L34" s="195">
        <f t="shared" si="28"/>
        <v>15643214.170428699</v>
      </c>
      <c r="M34" s="214">
        <f t="shared" si="28"/>
        <v>15956078.453837272</v>
      </c>
    </row>
    <row r="35" spans="1:13" ht="14.25" hidden="1" customHeight="1" x14ac:dyDescent="0.15">
      <c r="A35" s="219" t="s">
        <v>293</v>
      </c>
      <c r="B35" s="143">
        <v>0</v>
      </c>
      <c r="C35" s="427"/>
      <c r="D35" s="428"/>
      <c r="E35" s="429"/>
      <c r="F35" s="430"/>
      <c r="G35" s="428"/>
      <c r="H35" s="429"/>
      <c r="I35" s="430"/>
      <c r="J35" s="428"/>
      <c r="K35" s="429"/>
      <c r="L35" s="429"/>
      <c r="M35" s="430"/>
    </row>
    <row r="36" spans="1:13" s="39" customFormat="1" ht="28" x14ac:dyDescent="0.15">
      <c r="A36" s="64" t="s">
        <v>109</v>
      </c>
      <c r="B36" s="38"/>
      <c r="C36" s="208"/>
      <c r="D36" s="215">
        <f>SUM(D14,D23,D32)</f>
        <v>0</v>
      </c>
      <c r="E36" s="647">
        <f t="shared" ref="E36:M36" si="29">SUM(E14,E23,E32)</f>
        <v>-751505.04947700002</v>
      </c>
      <c r="F36" s="648">
        <f t="shared" si="29"/>
        <v>-1003065.9968962152</v>
      </c>
      <c r="G36" s="646">
        <f t="shared" si="29"/>
        <v>-1023127.3168341395</v>
      </c>
      <c r="H36" s="647">
        <f t="shared" si="29"/>
        <v>-2910159.3801860092</v>
      </c>
      <c r="I36" s="648">
        <f t="shared" si="29"/>
        <v>-3555851.9906308521</v>
      </c>
      <c r="J36" s="646">
        <f t="shared" si="29"/>
        <v>-3626969.0304434691</v>
      </c>
      <c r="K36" s="647">
        <f t="shared" si="29"/>
        <v>-3802378.3852941962</v>
      </c>
      <c r="L36" s="647">
        <f t="shared" si="29"/>
        <v>-3910803.5426071747</v>
      </c>
      <c r="M36" s="648">
        <f t="shared" si="29"/>
        <v>-3989019.6134593179</v>
      </c>
    </row>
    <row r="37" spans="1:13" ht="14.25" customHeight="1" x14ac:dyDescent="0.15">
      <c r="A37" s="72" t="s">
        <v>5</v>
      </c>
      <c r="B37" s="34"/>
      <c r="C37" s="191"/>
      <c r="D37" s="216">
        <f t="shared" ref="D37:M37" si="30">SUM(D34:D36)</f>
        <v>0</v>
      </c>
      <c r="E37" s="217">
        <f t="shared" si="30"/>
        <v>2254515.1484310003</v>
      </c>
      <c r="F37" s="218">
        <f t="shared" si="30"/>
        <v>3009197.9906886457</v>
      </c>
      <c r="G37" s="216">
        <f t="shared" si="30"/>
        <v>3069381.9505024184</v>
      </c>
      <c r="H37" s="217">
        <f t="shared" si="30"/>
        <v>8730478.1405580267</v>
      </c>
      <c r="I37" s="218">
        <f t="shared" si="30"/>
        <v>10667555.971892556</v>
      </c>
      <c r="J37" s="216">
        <f t="shared" si="30"/>
        <v>10880907.091330407</v>
      </c>
      <c r="K37" s="217">
        <f t="shared" si="30"/>
        <v>11407135.15588259</v>
      </c>
      <c r="L37" s="217">
        <f t="shared" si="30"/>
        <v>11732410.627821524</v>
      </c>
      <c r="M37" s="218">
        <f t="shared" si="30"/>
        <v>11967058.840377953</v>
      </c>
    </row>
    <row r="38" spans="1:13" ht="18" customHeight="1" x14ac:dyDescent="0.15">
      <c r="A38" s="54" t="s">
        <v>2</v>
      </c>
      <c r="B38" s="61"/>
      <c r="C38" s="130"/>
      <c r="D38" s="184"/>
      <c r="E38" s="36"/>
      <c r="F38" s="185"/>
      <c r="G38" s="184"/>
      <c r="H38" s="36"/>
      <c r="I38" s="185"/>
      <c r="J38" s="184"/>
      <c r="K38" s="36"/>
      <c r="L38" s="36"/>
      <c r="M38" s="185"/>
    </row>
    <row r="39" spans="1:13" ht="14.25" customHeight="1" x14ac:dyDescent="0.15">
      <c r="A39" s="29" t="s">
        <v>14</v>
      </c>
      <c r="B39" s="28"/>
      <c r="C39" s="131"/>
      <c r="D39" s="221"/>
      <c r="E39" s="77"/>
      <c r="F39" s="222"/>
      <c r="G39" s="221"/>
      <c r="H39" s="77"/>
      <c r="I39" s="222"/>
      <c r="J39" s="221"/>
      <c r="K39" s="77"/>
      <c r="L39" s="77"/>
      <c r="M39" s="222"/>
    </row>
    <row r="40" spans="1:13" ht="14.25" customHeight="1" x14ac:dyDescent="0.15">
      <c r="A40" s="29" t="s">
        <v>178</v>
      </c>
      <c r="B40" s="28"/>
      <c r="C40" s="132">
        <f>'Summary Board'!G114</f>
        <v>164.67200000000003</v>
      </c>
      <c r="D40" s="194">
        <f>C40*(1+$B$7)</f>
        <v>167.96544000000003</v>
      </c>
      <c r="E40" s="194">
        <f t="shared" ref="E40:M40" si="31">D40*(1+$B$7)</f>
        <v>171.32474880000004</v>
      </c>
      <c r="F40" s="223">
        <f t="shared" si="31"/>
        <v>174.75124377600005</v>
      </c>
      <c r="G40" s="194">
        <f t="shared" si="31"/>
        <v>178.24626865152007</v>
      </c>
      <c r="H40" s="194">
        <f t="shared" si="31"/>
        <v>181.81119402455047</v>
      </c>
      <c r="I40" s="223">
        <f t="shared" si="31"/>
        <v>185.44741790504148</v>
      </c>
      <c r="J40" s="194">
        <f t="shared" si="31"/>
        <v>189.1563662631423</v>
      </c>
      <c r="K40" s="194">
        <f t="shared" si="31"/>
        <v>192.93949358840516</v>
      </c>
      <c r="L40" s="194">
        <f t="shared" si="31"/>
        <v>196.79828346017325</v>
      </c>
      <c r="M40" s="223">
        <f t="shared" si="31"/>
        <v>200.73424912937671</v>
      </c>
    </row>
    <row r="41" spans="1:13" ht="14.25" customHeight="1" x14ac:dyDescent="0.15">
      <c r="A41" s="29" t="s">
        <v>2</v>
      </c>
      <c r="B41" s="28"/>
      <c r="C41" s="131"/>
      <c r="D41" s="714">
        <f>'Development Schedule'!E57*'7.Market-rate Retail'!D40</f>
        <v>0</v>
      </c>
      <c r="E41" s="715">
        <f>'Development Schedule'!F57*'7.Market-rate Retail'!E40</f>
        <v>29176604.720640007</v>
      </c>
      <c r="F41" s="715">
        <f>'Development Schedule'!G57*'7.Market-rate Retail'!F40</f>
        <v>0</v>
      </c>
      <c r="G41" s="714">
        <f>'Development Schedule'!H57*'7.Market-rate Retail'!G40</f>
        <v>53285385.16635704</v>
      </c>
      <c r="H41" s="715">
        <f>'Development Schedule'!I57*'7.Market-rate Retail'!H40</f>
        <v>18117030.956561394</v>
      </c>
      <c r="I41" s="715">
        <f>'Development Schedule'!J57*'7.Market-rate Retail'!I40</f>
        <v>0</v>
      </c>
      <c r="J41" s="714">
        <f>'Development Schedule'!K57*'7.Market-rate Retail'!J40</f>
        <v>3915536.7816470456</v>
      </c>
      <c r="K41" s="715">
        <f>'Development Schedule'!L57*'7.Market-rate Retail'!K40</f>
        <v>0</v>
      </c>
      <c r="L41" s="715">
        <f>'Development Schedule'!M57*'7.Market-rate Retail'!L40</f>
        <v>0</v>
      </c>
      <c r="M41" s="716">
        <f>'Development Schedule'!N57*'7.Market-rate Retail'!M40</f>
        <v>0</v>
      </c>
    </row>
    <row r="42" spans="1:13" ht="14.25" customHeight="1" x14ac:dyDescent="0.15">
      <c r="A42" s="29" t="s">
        <v>15</v>
      </c>
      <c r="B42" s="28"/>
      <c r="C42" s="131"/>
      <c r="D42" s="717"/>
      <c r="E42" s="718"/>
      <c r="F42" s="719"/>
      <c r="G42" s="717"/>
      <c r="H42" s="718"/>
      <c r="I42" s="719"/>
      <c r="J42" s="717"/>
      <c r="K42" s="718"/>
      <c r="L42" s="718"/>
      <c r="M42" s="719"/>
    </row>
    <row r="43" spans="1:13" ht="14.25" customHeight="1" x14ac:dyDescent="0.15">
      <c r="A43" s="72" t="s">
        <v>3</v>
      </c>
      <c r="B43" s="34"/>
      <c r="C43" s="191"/>
      <c r="D43" s="720">
        <f>D41+D42</f>
        <v>0</v>
      </c>
      <c r="E43" s="721">
        <f t="shared" ref="E43:M43" si="32">E41+E42</f>
        <v>29176604.720640007</v>
      </c>
      <c r="F43" s="721">
        <f t="shared" si="32"/>
        <v>0</v>
      </c>
      <c r="G43" s="720">
        <f t="shared" si="32"/>
        <v>53285385.16635704</v>
      </c>
      <c r="H43" s="721">
        <f t="shared" si="32"/>
        <v>18117030.956561394</v>
      </c>
      <c r="I43" s="721">
        <f t="shared" si="32"/>
        <v>0</v>
      </c>
      <c r="J43" s="720">
        <f t="shared" si="32"/>
        <v>3915536.7816470456</v>
      </c>
      <c r="K43" s="721">
        <f t="shared" si="32"/>
        <v>0</v>
      </c>
      <c r="L43" s="721">
        <f t="shared" si="32"/>
        <v>0</v>
      </c>
      <c r="M43" s="722">
        <f t="shared" si="32"/>
        <v>0</v>
      </c>
    </row>
    <row r="44" spans="1:13" ht="18" customHeight="1" x14ac:dyDescent="0.15">
      <c r="A44" s="54" t="s">
        <v>4</v>
      </c>
      <c r="B44" s="61"/>
      <c r="C44" s="209"/>
      <c r="D44" s="723"/>
      <c r="E44" s="724"/>
      <c r="F44" s="725"/>
      <c r="G44" s="723"/>
      <c r="H44" s="724"/>
      <c r="I44" s="725"/>
      <c r="J44" s="723"/>
      <c r="K44" s="724"/>
      <c r="L44" s="724"/>
      <c r="M44" s="725"/>
    </row>
    <row r="45" spans="1:13" ht="14.25" customHeight="1" x14ac:dyDescent="0.15">
      <c r="A45" s="29" t="s">
        <v>5</v>
      </c>
      <c r="B45" s="31"/>
      <c r="C45" s="228"/>
      <c r="D45" s="726">
        <f>D37</f>
        <v>0</v>
      </c>
      <c r="E45" s="727">
        <f t="shared" ref="E45:M45" si="33">E37</f>
        <v>2254515.1484310003</v>
      </c>
      <c r="F45" s="728">
        <f t="shared" si="33"/>
        <v>3009197.9906886457</v>
      </c>
      <c r="G45" s="726">
        <f t="shared" si="33"/>
        <v>3069381.9505024184</v>
      </c>
      <c r="H45" s="727">
        <f t="shared" si="33"/>
        <v>8730478.1405580267</v>
      </c>
      <c r="I45" s="728">
        <f t="shared" si="33"/>
        <v>10667555.971892556</v>
      </c>
      <c r="J45" s="726">
        <f t="shared" si="33"/>
        <v>10880907.091330407</v>
      </c>
      <c r="K45" s="727">
        <f t="shared" si="33"/>
        <v>11407135.15588259</v>
      </c>
      <c r="L45" s="727">
        <f t="shared" si="33"/>
        <v>11732410.627821524</v>
      </c>
      <c r="M45" s="728">
        <f t="shared" si="33"/>
        <v>11967058.840377953</v>
      </c>
    </row>
    <row r="46" spans="1:13" ht="14.25" customHeight="1" x14ac:dyDescent="0.15">
      <c r="A46" s="29" t="s">
        <v>107</v>
      </c>
      <c r="B46" s="31"/>
      <c r="C46" s="228"/>
      <c r="D46" s="726"/>
      <c r="E46" s="727"/>
      <c r="F46" s="728"/>
      <c r="G46" s="726"/>
      <c r="H46" s="727"/>
      <c r="I46" s="728"/>
      <c r="J46" s="726"/>
      <c r="K46" s="727"/>
      <c r="L46" s="727"/>
      <c r="M46" s="728">
        <f>M45/D64</f>
        <v>199450980.67296588</v>
      </c>
    </row>
    <row r="47" spans="1:13" ht="14.25" customHeight="1" x14ac:dyDescent="0.15">
      <c r="A47" s="29" t="s">
        <v>174</v>
      </c>
      <c r="B47" s="31"/>
      <c r="C47" s="228"/>
      <c r="D47" s="726"/>
      <c r="E47" s="730"/>
      <c r="F47" s="731"/>
      <c r="G47" s="732"/>
      <c r="H47" s="730"/>
      <c r="I47" s="731"/>
      <c r="J47" s="732"/>
      <c r="K47" s="730"/>
      <c r="L47" s="730"/>
      <c r="M47" s="731">
        <f>M46*-D65</f>
        <v>-5983529.4201889765</v>
      </c>
    </row>
    <row r="48" spans="1:13" ht="14.25" customHeight="1" x14ac:dyDescent="0.15">
      <c r="A48" s="29" t="s">
        <v>188</v>
      </c>
      <c r="B48" s="32"/>
      <c r="C48" s="229"/>
      <c r="D48" s="729">
        <f>-D43</f>
        <v>0</v>
      </c>
      <c r="E48" s="733">
        <f t="shared" ref="E48:M48" si="34">-E43</f>
        <v>-29176604.720640007</v>
      </c>
      <c r="F48" s="734">
        <f t="shared" si="34"/>
        <v>0</v>
      </c>
      <c r="G48" s="735">
        <f t="shared" si="34"/>
        <v>-53285385.16635704</v>
      </c>
      <c r="H48" s="733">
        <f t="shared" si="34"/>
        <v>-18117030.956561394</v>
      </c>
      <c r="I48" s="734">
        <f t="shared" si="34"/>
        <v>0</v>
      </c>
      <c r="J48" s="735">
        <f t="shared" si="34"/>
        <v>-3915536.7816470456</v>
      </c>
      <c r="K48" s="733">
        <f t="shared" si="34"/>
        <v>0</v>
      </c>
      <c r="L48" s="733">
        <f t="shared" si="34"/>
        <v>0</v>
      </c>
      <c r="M48" s="734">
        <f t="shared" si="34"/>
        <v>0</v>
      </c>
    </row>
    <row r="49" spans="1:13" ht="14.25" customHeight="1" x14ac:dyDescent="0.15">
      <c r="A49" s="45" t="s">
        <v>6</v>
      </c>
      <c r="B49" s="73"/>
      <c r="C49" s="230"/>
      <c r="D49" s="720">
        <f>SUM(D45:D48)</f>
        <v>0</v>
      </c>
      <c r="E49" s="721">
        <f t="shared" ref="E49:M49" si="35">SUM(E45:E48)</f>
        <v>-26922089.572209008</v>
      </c>
      <c r="F49" s="722">
        <f t="shared" si="35"/>
        <v>3009197.9906886457</v>
      </c>
      <c r="G49" s="720">
        <f t="shared" si="35"/>
        <v>-50216003.215854622</v>
      </c>
      <c r="H49" s="721">
        <f t="shared" si="35"/>
        <v>-9386552.8160033673</v>
      </c>
      <c r="I49" s="722">
        <f t="shared" si="35"/>
        <v>10667555.971892556</v>
      </c>
      <c r="J49" s="720">
        <f t="shared" si="35"/>
        <v>6965370.309683362</v>
      </c>
      <c r="K49" s="721">
        <f t="shared" si="35"/>
        <v>11407135.15588259</v>
      </c>
      <c r="L49" s="721">
        <f t="shared" si="35"/>
        <v>11732410.627821524</v>
      </c>
      <c r="M49" s="722">
        <f t="shared" si="35"/>
        <v>205434510.09315488</v>
      </c>
    </row>
    <row r="50" spans="1:13" ht="18" customHeight="1" x14ac:dyDescent="0.15">
      <c r="A50" s="54" t="s">
        <v>40</v>
      </c>
      <c r="B50" s="74"/>
      <c r="C50" s="231">
        <f>C49+NPV(D66,D49:M49)</f>
        <v>46064523.445399173</v>
      </c>
      <c r="D50" s="184"/>
      <c r="E50" s="36"/>
      <c r="F50" s="185"/>
      <c r="G50" s="184"/>
      <c r="H50" s="36"/>
      <c r="I50" s="185"/>
      <c r="J50" s="184"/>
      <c r="K50" s="36"/>
      <c r="L50" s="36"/>
      <c r="M50" s="185"/>
    </row>
    <row r="51" spans="1:13" ht="18" customHeight="1" x14ac:dyDescent="0.15">
      <c r="A51" s="75" t="s">
        <v>110</v>
      </c>
      <c r="B51" s="34"/>
      <c r="C51" s="167">
        <f>IRR(C49:M49)</f>
        <v>0.19411943706452428</v>
      </c>
      <c r="D51" s="191"/>
      <c r="E51" s="34"/>
      <c r="F51" s="192"/>
      <c r="G51" s="191"/>
      <c r="H51" s="34"/>
      <c r="I51" s="192"/>
      <c r="J51" s="191"/>
      <c r="K51" s="34"/>
      <c r="L51" s="34"/>
      <c r="M51" s="192"/>
    </row>
    <row r="52" spans="1:13" ht="18" customHeight="1" x14ac:dyDescent="0.15">
      <c r="A52" s="75" t="s">
        <v>96</v>
      </c>
      <c r="B52" s="34"/>
      <c r="C52" s="135"/>
      <c r="D52" s="191"/>
      <c r="E52" s="34"/>
      <c r="F52" s="192"/>
      <c r="G52" s="191"/>
      <c r="H52" s="34"/>
      <c r="I52" s="192"/>
      <c r="J52" s="191"/>
      <c r="K52" s="34"/>
      <c r="L52" s="34"/>
      <c r="M52" s="192"/>
    </row>
    <row r="54" spans="1:13" x14ac:dyDescent="0.15">
      <c r="A54" s="873" t="s">
        <v>170</v>
      </c>
      <c r="B54" s="874"/>
      <c r="C54" s="874"/>
      <c r="D54" s="875"/>
    </row>
    <row r="55" spans="1:13" x14ac:dyDescent="0.15">
      <c r="A55" s="170"/>
      <c r="B55" s="170"/>
      <c r="C55" s="170"/>
      <c r="D55" s="170"/>
    </row>
    <row r="56" spans="1:13" x14ac:dyDescent="0.15">
      <c r="C56" s="171" t="s">
        <v>181</v>
      </c>
      <c r="D56" s="171" t="s">
        <v>182</v>
      </c>
    </row>
    <row r="57" spans="1:13" x14ac:dyDescent="0.15">
      <c r="A57" s="1" t="s">
        <v>148</v>
      </c>
      <c r="C57" s="116">
        <f>SUM('Development Schedule'!E57:G57)</f>
        <v>170300</v>
      </c>
      <c r="D57" s="174">
        <f>C57*$B$9</f>
        <v>153270</v>
      </c>
    </row>
    <row r="58" spans="1:13" x14ac:dyDescent="0.15">
      <c r="A58" s="1" t="s">
        <v>151</v>
      </c>
      <c r="C58" s="116">
        <f>SUM('Development Schedule'!H57:J57)</f>
        <v>398590</v>
      </c>
      <c r="D58" s="174">
        <f t="shared" ref="D58:D59" si="36">C58*$B$9</f>
        <v>358731</v>
      </c>
    </row>
    <row r="59" spans="1:13" x14ac:dyDescent="0.15">
      <c r="A59" s="1" t="s">
        <v>152</v>
      </c>
      <c r="C59" s="116">
        <f>SUM('Development Schedule'!K57:N57)</f>
        <v>20700</v>
      </c>
      <c r="D59" s="174">
        <f t="shared" si="36"/>
        <v>18630</v>
      </c>
    </row>
    <row r="61" spans="1:13" x14ac:dyDescent="0.15">
      <c r="A61" s="873" t="s">
        <v>183</v>
      </c>
      <c r="B61" s="874"/>
      <c r="C61" s="874"/>
      <c r="D61" s="875"/>
    </row>
    <row r="63" spans="1:13" x14ac:dyDescent="0.15">
      <c r="A63" s="1" t="s">
        <v>187</v>
      </c>
      <c r="D63" s="712">
        <v>0.25</v>
      </c>
    </row>
    <row r="64" spans="1:13" x14ac:dyDescent="0.15">
      <c r="A64" s="1" t="s">
        <v>173</v>
      </c>
      <c r="D64" s="712">
        <v>0.06</v>
      </c>
    </row>
    <row r="65" spans="1:4" x14ac:dyDescent="0.15">
      <c r="A65" s="1" t="s">
        <v>174</v>
      </c>
      <c r="D65" s="712">
        <v>0.03</v>
      </c>
    </row>
    <row r="66" spans="1:4" x14ac:dyDescent="0.15">
      <c r="A66" s="1" t="s">
        <v>175</v>
      </c>
      <c r="D66" s="712">
        <v>0.09</v>
      </c>
    </row>
  </sheetData>
  <mergeCells count="5">
    <mergeCell ref="D3:F3"/>
    <mergeCell ref="G3:I3"/>
    <mergeCell ref="J3:M3"/>
    <mergeCell ref="A54:D54"/>
    <mergeCell ref="A61:D61"/>
  </mergeCells>
  <phoneticPr fontId="3" type="noConversion"/>
  <pageMargins left="0.5" right="0.5" top="1" bottom="0.5" header="0.5" footer="0.5"/>
  <pageSetup orientation="landscape" r:id="rId1"/>
  <headerFooter alignWithMargins="0">
    <oddHeader>&amp;L&amp;"Arial,Bold"7. Income Statement: Retail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1"/>
  <sheetViews>
    <sheetView zoomScale="140" zoomScaleNormal="140" workbookViewId="0">
      <selection activeCell="B43" sqref="B43"/>
    </sheetView>
  </sheetViews>
  <sheetFormatPr baseColWidth="10" defaultColWidth="9.1640625" defaultRowHeight="13" x14ac:dyDescent="0.15"/>
  <cols>
    <col min="1" max="1" width="23.1640625" style="1" customWidth="1"/>
    <col min="2" max="2" width="8.5" style="3" customWidth="1"/>
    <col min="3" max="3" width="12.33203125" style="3" bestFit="1" customWidth="1"/>
    <col min="4" max="5" width="10.33203125" style="1" customWidth="1"/>
    <col min="6" max="6" width="10.33203125" style="1" bestFit="1" customWidth="1"/>
    <col min="7" max="8" width="9.5" style="1" bestFit="1" customWidth="1"/>
    <col min="9" max="12" width="9.6640625" style="1" bestFit="1" customWidth="1"/>
    <col min="13" max="13" width="10.33203125" style="1" customWidth="1"/>
    <col min="14" max="16384" width="9.1640625" style="1"/>
  </cols>
  <sheetData>
    <row r="1" spans="1:13" ht="14.25" customHeight="1" x14ac:dyDescent="0.15">
      <c r="L1" s="47" t="s">
        <v>352</v>
      </c>
      <c r="M1" s="48"/>
    </row>
    <row r="2" spans="1:13" ht="14.25" customHeight="1" x14ac:dyDescent="0.15">
      <c r="L2" s="49"/>
      <c r="M2" s="50"/>
    </row>
    <row r="3" spans="1:13" ht="14.25" customHeight="1" x14ac:dyDescent="0.15">
      <c r="C3" s="3" t="s">
        <v>105</v>
      </c>
      <c r="D3" s="876" t="s">
        <v>59</v>
      </c>
      <c r="E3" s="877"/>
      <c r="F3" s="878"/>
      <c r="G3" s="867" t="s">
        <v>151</v>
      </c>
      <c r="H3" s="868"/>
      <c r="I3" s="869"/>
      <c r="J3" s="867" t="s">
        <v>152</v>
      </c>
      <c r="K3" s="868"/>
      <c r="L3" s="868"/>
      <c r="M3" s="869"/>
    </row>
    <row r="4" spans="1:13" ht="14.25" customHeight="1" x14ac:dyDescent="0.15">
      <c r="A4" s="5"/>
      <c r="B4" s="21" t="s">
        <v>29</v>
      </c>
      <c r="C4" s="21" t="s">
        <v>130</v>
      </c>
      <c r="D4" s="21">
        <v>2021</v>
      </c>
      <c r="E4" s="21">
        <f t="shared" ref="E4:M4" si="0">D4+1</f>
        <v>2022</v>
      </c>
      <c r="F4" s="21">
        <f t="shared" si="0"/>
        <v>2023</v>
      </c>
      <c r="G4" s="21">
        <f t="shared" si="0"/>
        <v>2024</v>
      </c>
      <c r="H4" s="21">
        <f t="shared" si="0"/>
        <v>2025</v>
      </c>
      <c r="I4" s="21">
        <f t="shared" si="0"/>
        <v>2026</v>
      </c>
      <c r="J4" s="21">
        <f t="shared" si="0"/>
        <v>2027</v>
      </c>
      <c r="K4" s="21">
        <f t="shared" si="0"/>
        <v>2028</v>
      </c>
      <c r="L4" s="21">
        <f t="shared" si="0"/>
        <v>2029</v>
      </c>
      <c r="M4" s="21">
        <f t="shared" si="0"/>
        <v>2030</v>
      </c>
    </row>
    <row r="5" spans="1:13" ht="18" customHeight="1" x14ac:dyDescent="0.15">
      <c r="A5" s="10" t="s">
        <v>16</v>
      </c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customHeight="1" x14ac:dyDescent="0.15">
      <c r="A6" s="11" t="s">
        <v>12</v>
      </c>
      <c r="B6" s="16">
        <v>0.02</v>
      </c>
      <c r="C6" s="16"/>
      <c r="D6" s="25"/>
      <c r="E6" s="25"/>
      <c r="F6" s="239"/>
      <c r="G6" s="25"/>
      <c r="H6" s="25"/>
      <c r="I6" s="25"/>
      <c r="J6" s="239"/>
      <c r="K6" s="25"/>
      <c r="L6" s="25"/>
      <c r="M6" s="25"/>
    </row>
    <row r="7" spans="1:13" ht="14.25" customHeight="1" x14ac:dyDescent="0.15">
      <c r="A7" s="11" t="s">
        <v>74</v>
      </c>
      <c r="B7" s="61"/>
      <c r="C7" s="61"/>
      <c r="D7" s="36"/>
      <c r="E7" s="36"/>
      <c r="F7" s="119"/>
      <c r="G7" s="36"/>
      <c r="H7" s="36"/>
      <c r="I7" s="36"/>
      <c r="J7" s="515">
        <f>B35</f>
        <v>335</v>
      </c>
      <c r="K7" s="36">
        <f t="shared" ref="K7:M7" si="1">J7</f>
        <v>335</v>
      </c>
      <c r="L7" s="36">
        <f t="shared" si="1"/>
        <v>335</v>
      </c>
      <c r="M7" s="36">
        <f t="shared" si="1"/>
        <v>335</v>
      </c>
    </row>
    <row r="8" spans="1:13" ht="14.25" customHeight="1" x14ac:dyDescent="0.15">
      <c r="A8" s="11" t="s">
        <v>64</v>
      </c>
      <c r="B8" s="32"/>
      <c r="C8" s="32"/>
      <c r="D8" s="29"/>
      <c r="E8" s="29"/>
      <c r="F8" s="240">
        <v>0</v>
      </c>
      <c r="G8" s="175">
        <v>0</v>
      </c>
      <c r="H8" s="175">
        <v>0</v>
      </c>
      <c r="I8" s="175">
        <v>0</v>
      </c>
      <c r="J8" s="240">
        <v>0</v>
      </c>
      <c r="K8" s="175">
        <v>0.5</v>
      </c>
      <c r="L8" s="175">
        <v>0.6</v>
      </c>
      <c r="M8" s="175">
        <v>0.75</v>
      </c>
    </row>
    <row r="9" spans="1:13" ht="14.25" customHeight="1" x14ac:dyDescent="0.15">
      <c r="A9" s="18" t="s">
        <v>75</v>
      </c>
      <c r="B9" s="246">
        <v>220</v>
      </c>
      <c r="C9" s="63"/>
      <c r="D9" s="40"/>
      <c r="E9" s="40"/>
      <c r="F9" s="40">
        <f>B9</f>
        <v>220</v>
      </c>
      <c r="G9" s="40">
        <f>F9*(1+$B$6)</f>
        <v>224.4</v>
      </c>
      <c r="H9" s="40">
        <f t="shared" ref="H9:M9" si="2">G9*(1+$B$6)</f>
        <v>228.88800000000001</v>
      </c>
      <c r="I9" s="40">
        <f t="shared" si="2"/>
        <v>233.46576000000002</v>
      </c>
      <c r="J9" s="40">
        <f t="shared" si="2"/>
        <v>238.13507520000002</v>
      </c>
      <c r="K9" s="40">
        <f t="shared" si="2"/>
        <v>242.89777670400002</v>
      </c>
      <c r="L9" s="40">
        <f t="shared" si="2"/>
        <v>247.75573223808001</v>
      </c>
      <c r="M9" s="40">
        <f t="shared" si="2"/>
        <v>252.71084688284162</v>
      </c>
    </row>
    <row r="10" spans="1:13" ht="18" customHeight="1" x14ac:dyDescent="0.15">
      <c r="A10" s="10" t="s">
        <v>0</v>
      </c>
      <c r="B10" s="61"/>
      <c r="C10" s="61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4.25" customHeight="1" x14ac:dyDescent="0.15">
      <c r="A11" s="11" t="s">
        <v>19</v>
      </c>
      <c r="B11" s="28"/>
      <c r="C11" s="28"/>
      <c r="D11" s="41"/>
      <c r="E11" s="41"/>
      <c r="F11" s="41">
        <f>(F7*F8)*F9*365</f>
        <v>0</v>
      </c>
      <c r="G11" s="41">
        <f t="shared" ref="G11:M11" si="3">(G7*G8)*G9*365</f>
        <v>0</v>
      </c>
      <c r="H11" s="41">
        <f t="shared" si="3"/>
        <v>0</v>
      </c>
      <c r="I11" s="41">
        <f t="shared" si="3"/>
        <v>0</v>
      </c>
      <c r="J11" s="41">
        <f t="shared" si="3"/>
        <v>0</v>
      </c>
      <c r="K11" s="41">
        <f t="shared" si="3"/>
        <v>14850162.823240804</v>
      </c>
      <c r="L11" s="41">
        <f t="shared" si="3"/>
        <v>18176599.295646742</v>
      </c>
      <c r="M11" s="41">
        <f t="shared" si="3"/>
        <v>23175164.101949595</v>
      </c>
    </row>
    <row r="12" spans="1:13" s="39" customFormat="1" ht="14.25" customHeight="1" x14ac:dyDescent="0.15">
      <c r="A12" s="37" t="s">
        <v>20</v>
      </c>
      <c r="B12" s="38">
        <v>0.2</v>
      </c>
      <c r="C12" s="38"/>
      <c r="D12" s="64"/>
      <c r="E12" s="64"/>
      <c r="F12" s="241">
        <f>F11*$B$12</f>
        <v>0</v>
      </c>
      <c r="G12" s="241">
        <f t="shared" ref="G12:M12" si="4">G11*$B$12</f>
        <v>0</v>
      </c>
      <c r="H12" s="241">
        <f t="shared" si="4"/>
        <v>0</v>
      </c>
      <c r="I12" s="241">
        <f t="shared" si="4"/>
        <v>0</v>
      </c>
      <c r="J12" s="241">
        <f t="shared" si="4"/>
        <v>0</v>
      </c>
      <c r="K12" s="241">
        <f t="shared" si="4"/>
        <v>2970032.5646481607</v>
      </c>
      <c r="L12" s="241">
        <f t="shared" si="4"/>
        <v>3635319.8591293488</v>
      </c>
      <c r="M12" s="241">
        <f t="shared" si="4"/>
        <v>4635032.820389919</v>
      </c>
    </row>
    <row r="13" spans="1:13" s="39" customFormat="1" ht="14.25" customHeight="1" x14ac:dyDescent="0.15">
      <c r="A13" s="42" t="s">
        <v>21</v>
      </c>
      <c r="B13" s="43"/>
      <c r="C13" s="43"/>
      <c r="D13" s="44"/>
      <c r="E13" s="44"/>
      <c r="F13" s="44">
        <f>SUM(F11:F12)</f>
        <v>0</v>
      </c>
      <c r="G13" s="44">
        <f t="shared" ref="G13:M13" si="5">SUM(G11:G12)</f>
        <v>0</v>
      </c>
      <c r="H13" s="44">
        <f t="shared" si="5"/>
        <v>0</v>
      </c>
      <c r="I13" s="44">
        <f t="shared" si="5"/>
        <v>0</v>
      </c>
      <c r="J13" s="44">
        <f t="shared" si="5"/>
        <v>0</v>
      </c>
      <c r="K13" s="44">
        <f t="shared" si="5"/>
        <v>17820195.387888964</v>
      </c>
      <c r="L13" s="44">
        <f t="shared" si="5"/>
        <v>21811919.154776089</v>
      </c>
      <c r="M13" s="44">
        <f t="shared" si="5"/>
        <v>27810196.922339514</v>
      </c>
    </row>
    <row r="14" spans="1:13" s="39" customFormat="1" ht="14.25" customHeight="1" x14ac:dyDescent="0.15">
      <c r="A14" s="42" t="s">
        <v>192</v>
      </c>
      <c r="B14" s="43">
        <v>0.6</v>
      </c>
      <c r="C14" s="242"/>
      <c r="D14" s="243"/>
      <c r="E14" s="243"/>
      <c r="F14" s="243">
        <f>F13*-$B$14</f>
        <v>0</v>
      </c>
      <c r="G14" s="243">
        <f t="shared" ref="G14:M14" si="6">G13*-$B$14</f>
        <v>0</v>
      </c>
      <c r="H14" s="243">
        <f t="shared" si="6"/>
        <v>0</v>
      </c>
      <c r="I14" s="243">
        <f t="shared" si="6"/>
        <v>0</v>
      </c>
      <c r="J14" s="243">
        <f t="shared" si="6"/>
        <v>0</v>
      </c>
      <c r="K14" s="243">
        <f t="shared" si="6"/>
        <v>-10692117.232733378</v>
      </c>
      <c r="L14" s="243">
        <f t="shared" si="6"/>
        <v>-13087151.492865654</v>
      </c>
      <c r="M14" s="243">
        <f t="shared" si="6"/>
        <v>-16686118.153403707</v>
      </c>
    </row>
    <row r="15" spans="1:13" ht="14.25" customHeight="1" x14ac:dyDescent="0.15">
      <c r="A15" s="22" t="s">
        <v>5</v>
      </c>
      <c r="B15" s="34"/>
      <c r="C15" s="63"/>
      <c r="D15" s="202"/>
      <c r="E15" s="202"/>
      <c r="F15" s="202">
        <f>SUM(F13:F14)</f>
        <v>0</v>
      </c>
      <c r="G15" s="202">
        <f t="shared" ref="G15:M15" si="7">SUM(G13:G14)</f>
        <v>0</v>
      </c>
      <c r="H15" s="202">
        <f t="shared" si="7"/>
        <v>0</v>
      </c>
      <c r="I15" s="202">
        <f t="shared" si="7"/>
        <v>0</v>
      </c>
      <c r="J15" s="202">
        <f t="shared" si="7"/>
        <v>0</v>
      </c>
      <c r="K15" s="202">
        <f t="shared" si="7"/>
        <v>7128078.1551555861</v>
      </c>
      <c r="L15" s="202">
        <f t="shared" si="7"/>
        <v>8724767.6619104352</v>
      </c>
      <c r="M15" s="202">
        <f t="shared" si="7"/>
        <v>11124078.768935807</v>
      </c>
    </row>
    <row r="16" spans="1:13" ht="18" customHeight="1" x14ac:dyDescent="0.15">
      <c r="A16" s="10" t="s">
        <v>2</v>
      </c>
      <c r="B16" s="61"/>
      <c r="C16" s="61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4" ht="14.25" customHeight="1" x14ac:dyDescent="0.15">
      <c r="A17" s="11" t="s">
        <v>14</v>
      </c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4" ht="14.25" customHeight="1" x14ac:dyDescent="0.15">
      <c r="A18" s="11" t="s">
        <v>2</v>
      </c>
      <c r="B18" s="121">
        <f>'Summary Board'!G115</f>
        <v>219.80239999999998</v>
      </c>
      <c r="C18" s="28"/>
      <c r="D18" s="151">
        <f>'Development Schedule'!E55*$B$18</f>
        <v>0</v>
      </c>
      <c r="E18" s="151">
        <f>'Development Schedule'!F55*$B$18</f>
        <v>0</v>
      </c>
      <c r="F18" s="151">
        <f>'Development Schedule'!G55*$B$18</f>
        <v>0</v>
      </c>
      <c r="G18" s="151">
        <f>'Development Schedule'!H55*$B$18</f>
        <v>0</v>
      </c>
      <c r="H18" s="151">
        <f>'Development Schedule'!I55*$B$18</f>
        <v>0</v>
      </c>
      <c r="I18" s="151">
        <f>'Development Schedule'!J55*$B$18</f>
        <v>0</v>
      </c>
      <c r="J18" s="151">
        <f>'Development Schedule'!K55*$B$18</f>
        <v>44180282.399999999</v>
      </c>
      <c r="K18" s="151">
        <f>'Development Schedule'!L55*$B$18</f>
        <v>0</v>
      </c>
      <c r="L18" s="151">
        <f>'Development Schedule'!M55*$B$18</f>
        <v>0</v>
      </c>
      <c r="M18" s="151">
        <f>'Development Schedule'!N55*$B$18</f>
        <v>0</v>
      </c>
    </row>
    <row r="19" spans="1:14" ht="14.25" customHeight="1" x14ac:dyDescent="0.15">
      <c r="A19" s="11" t="s">
        <v>15</v>
      </c>
      <c r="B19" s="2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4" ht="14.25" customHeight="1" x14ac:dyDescent="0.15">
      <c r="A20" s="22" t="s">
        <v>3</v>
      </c>
      <c r="B20" s="34"/>
      <c r="C20" s="34"/>
      <c r="D20" s="150">
        <f>D18+D19</f>
        <v>0</v>
      </c>
      <c r="E20" s="150">
        <f t="shared" ref="E20:M20" si="8">E18+E19</f>
        <v>0</v>
      </c>
      <c r="F20" s="150">
        <f t="shared" si="8"/>
        <v>0</v>
      </c>
      <c r="G20" s="150">
        <f t="shared" si="8"/>
        <v>0</v>
      </c>
      <c r="H20" s="150">
        <f t="shared" si="8"/>
        <v>0</v>
      </c>
      <c r="I20" s="150">
        <f t="shared" si="8"/>
        <v>0</v>
      </c>
      <c r="J20" s="150">
        <f t="shared" si="8"/>
        <v>44180282.399999999</v>
      </c>
      <c r="K20" s="150">
        <f t="shared" si="8"/>
        <v>0</v>
      </c>
      <c r="L20" s="150">
        <f t="shared" si="8"/>
        <v>0</v>
      </c>
      <c r="M20" s="150">
        <f t="shared" si="8"/>
        <v>0</v>
      </c>
    </row>
    <row r="21" spans="1:14" ht="18" customHeight="1" x14ac:dyDescent="0.15">
      <c r="A21" s="10" t="s">
        <v>4</v>
      </c>
      <c r="B21" s="61"/>
      <c r="C21" s="61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4" ht="14.25" customHeight="1" x14ac:dyDescent="0.15">
      <c r="A22" s="11" t="s">
        <v>5</v>
      </c>
      <c r="B22" s="31"/>
      <c r="C22" s="31"/>
      <c r="D22" s="144">
        <f>D15-D20</f>
        <v>0</v>
      </c>
      <c r="E22" s="144">
        <f t="shared" ref="E22:M22" si="9">E15-E20</f>
        <v>0</v>
      </c>
      <c r="F22" s="144">
        <f t="shared" si="9"/>
        <v>0</v>
      </c>
      <c r="G22" s="144">
        <f t="shared" si="9"/>
        <v>0</v>
      </c>
      <c r="H22" s="144">
        <f t="shared" si="9"/>
        <v>0</v>
      </c>
      <c r="I22" s="144">
        <f t="shared" si="9"/>
        <v>0</v>
      </c>
      <c r="J22" s="144">
        <f t="shared" si="9"/>
        <v>-44180282.399999999</v>
      </c>
      <c r="K22" s="144">
        <f t="shared" si="9"/>
        <v>7128078.1551555861</v>
      </c>
      <c r="L22" s="144">
        <f t="shared" si="9"/>
        <v>8724767.6619104352</v>
      </c>
      <c r="M22" s="144">
        <f t="shared" si="9"/>
        <v>11124078.768935807</v>
      </c>
    </row>
    <row r="23" spans="1:14" ht="14.25" customHeight="1" x14ac:dyDescent="0.15">
      <c r="A23" s="11" t="s">
        <v>107</v>
      </c>
      <c r="B23" s="16"/>
      <c r="C23" s="16"/>
      <c r="D23" s="29"/>
      <c r="E23" s="29"/>
      <c r="F23" s="29"/>
      <c r="G23" s="29"/>
      <c r="H23" s="29"/>
      <c r="I23" s="29"/>
      <c r="J23" s="29"/>
      <c r="K23" s="29"/>
      <c r="L23" s="29"/>
      <c r="M23" s="151">
        <f>M22/C39</f>
        <v>185401312.81559679</v>
      </c>
      <c r="N23" s="62"/>
    </row>
    <row r="24" spans="1:14" ht="14.25" customHeight="1" x14ac:dyDescent="0.15">
      <c r="A24" s="11" t="s">
        <v>108</v>
      </c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123">
        <f>M23*-C40</f>
        <v>-9270065.6407798398</v>
      </c>
      <c r="N24" s="62"/>
    </row>
    <row r="25" spans="1:14" ht="14.25" customHeight="1" x14ac:dyDescent="0.15">
      <c r="A25" s="11" t="s">
        <v>3</v>
      </c>
      <c r="B25" s="16"/>
      <c r="C25" s="16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62"/>
    </row>
    <row r="26" spans="1:14" ht="14.25" customHeight="1" x14ac:dyDescent="0.15">
      <c r="A26" s="18" t="s">
        <v>6</v>
      </c>
      <c r="B26" s="27"/>
      <c r="C26" s="27"/>
      <c r="D26" s="150">
        <f>SUM(D22:D25)</f>
        <v>0</v>
      </c>
      <c r="E26" s="150">
        <f t="shared" ref="E26:M26" si="10">SUM(E22:E25)</f>
        <v>0</v>
      </c>
      <c r="F26" s="150">
        <f t="shared" si="10"/>
        <v>0</v>
      </c>
      <c r="G26" s="150">
        <f t="shared" si="10"/>
        <v>0</v>
      </c>
      <c r="H26" s="150">
        <f t="shared" si="10"/>
        <v>0</v>
      </c>
      <c r="I26" s="150">
        <f t="shared" si="10"/>
        <v>0</v>
      </c>
      <c r="J26" s="150">
        <f t="shared" si="10"/>
        <v>-44180282.399999999</v>
      </c>
      <c r="K26" s="150">
        <f t="shared" si="10"/>
        <v>7128078.1551555861</v>
      </c>
      <c r="L26" s="150">
        <f t="shared" si="10"/>
        <v>8724767.6619104352</v>
      </c>
      <c r="M26" s="150">
        <f t="shared" si="10"/>
        <v>187255325.94375274</v>
      </c>
      <c r="N26" s="62"/>
    </row>
    <row r="27" spans="1:14" ht="18" customHeight="1" x14ac:dyDescent="0.15">
      <c r="A27" s="10" t="s">
        <v>40</v>
      </c>
      <c r="B27" s="35"/>
      <c r="C27" s="244">
        <f>C26+NPV(C41,D26:M26)</f>
        <v>62525013.374081045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62"/>
    </row>
    <row r="28" spans="1:14" ht="18" customHeight="1" x14ac:dyDescent="0.15">
      <c r="A28" s="20" t="s">
        <v>110</v>
      </c>
      <c r="B28" s="19"/>
      <c r="C28" s="245">
        <f>IRR(C26:M26)</f>
        <v>0.71592294880897644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62"/>
    </row>
    <row r="29" spans="1:14" ht="18" customHeight="1" x14ac:dyDescent="0.15">
      <c r="A29" s="20" t="s">
        <v>96</v>
      </c>
      <c r="B29" s="19"/>
      <c r="C29" s="19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62"/>
    </row>
    <row r="32" spans="1:14" x14ac:dyDescent="0.15">
      <c r="A32" s="870" t="s">
        <v>170</v>
      </c>
      <c r="B32" s="871"/>
      <c r="C32" s="872"/>
    </row>
    <row r="34" spans="1:3" x14ac:dyDescent="0.15">
      <c r="B34" s="3" t="s">
        <v>313</v>
      </c>
      <c r="C34" s="3" t="s">
        <v>162</v>
      </c>
    </row>
    <row r="35" spans="1:3" x14ac:dyDescent="0.15">
      <c r="A35" s="1" t="s">
        <v>83</v>
      </c>
      <c r="B35" s="736">
        <f>ROUND(C35/600,0)</f>
        <v>335</v>
      </c>
      <c r="C35" s="116">
        <f>'Development Schedule'!O55</f>
        <v>201000</v>
      </c>
    </row>
    <row r="37" spans="1:3" x14ac:dyDescent="0.15">
      <c r="A37" s="870" t="s">
        <v>171</v>
      </c>
      <c r="B37" s="871"/>
      <c r="C37" s="872"/>
    </row>
    <row r="39" spans="1:3" x14ac:dyDescent="0.15">
      <c r="A39" s="1" t="s">
        <v>173</v>
      </c>
      <c r="C39" s="112">
        <v>0.06</v>
      </c>
    </row>
    <row r="40" spans="1:3" x14ac:dyDescent="0.15">
      <c r="A40" s="1" t="s">
        <v>174</v>
      </c>
      <c r="C40" s="112">
        <v>0.05</v>
      </c>
    </row>
    <row r="41" spans="1:3" x14ac:dyDescent="0.15">
      <c r="A41" s="1" t="s">
        <v>175</v>
      </c>
      <c r="C41" s="112">
        <v>0.09</v>
      </c>
    </row>
  </sheetData>
  <mergeCells count="5">
    <mergeCell ref="D3:F3"/>
    <mergeCell ref="G3:I3"/>
    <mergeCell ref="J3:M3"/>
    <mergeCell ref="A32:C32"/>
    <mergeCell ref="A37:C37"/>
  </mergeCells>
  <phoneticPr fontId="3" type="noConversion"/>
  <pageMargins left="0.5" right="0.5" top="1" bottom="0.5" header="0.5" footer="0.5"/>
  <pageSetup orientation="landscape" r:id="rId1"/>
  <headerFooter alignWithMargins="0">
    <oddHeader>&amp;L&amp;"Arial,Bold"9. Income Statement: Hotel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6"/>
  <sheetViews>
    <sheetView topLeftCell="A38" zoomScale="150" zoomScaleNormal="150" workbookViewId="0">
      <selection activeCell="L2" sqref="L2"/>
    </sheetView>
  </sheetViews>
  <sheetFormatPr baseColWidth="10" defaultColWidth="9.1640625" defaultRowHeight="13" x14ac:dyDescent="0.15"/>
  <cols>
    <col min="1" max="1" width="27.1640625" style="1" customWidth="1"/>
    <col min="2" max="2" width="10.33203125" style="3" bestFit="1" customWidth="1"/>
    <col min="3" max="3" width="8.83203125" style="3" customWidth="1"/>
    <col min="4" max="12" width="8.83203125" style="1" customWidth="1"/>
    <col min="13" max="13" width="10.33203125" style="1" bestFit="1" customWidth="1"/>
    <col min="14" max="16384" width="9.1640625" style="1"/>
  </cols>
  <sheetData>
    <row r="1" spans="1:15" ht="14.25" customHeight="1" x14ac:dyDescent="0.15">
      <c r="L1" s="47" t="s">
        <v>352</v>
      </c>
      <c r="M1" s="48"/>
    </row>
    <row r="2" spans="1:15" ht="14.25" customHeight="1" thickBot="1" x14ac:dyDescent="0.2">
      <c r="L2" s="49"/>
      <c r="M2" s="50"/>
    </row>
    <row r="3" spans="1:15" ht="14.25" customHeight="1" thickBot="1" x14ac:dyDescent="0.2">
      <c r="B3" s="65"/>
      <c r="C3" s="65" t="s">
        <v>105</v>
      </c>
      <c r="D3" s="856" t="s">
        <v>59</v>
      </c>
      <c r="E3" s="857"/>
      <c r="F3" s="858"/>
      <c r="G3" s="856" t="s">
        <v>151</v>
      </c>
      <c r="H3" s="857"/>
      <c r="I3" s="858"/>
      <c r="J3" s="856" t="s">
        <v>152</v>
      </c>
      <c r="K3" s="857"/>
      <c r="L3" s="857"/>
      <c r="M3" s="858"/>
      <c r="N3" s="62"/>
      <c r="O3" s="62"/>
    </row>
    <row r="4" spans="1:15" ht="14.25" customHeight="1" x14ac:dyDescent="0.15">
      <c r="A4" s="5"/>
      <c r="B4" s="68" t="s">
        <v>29</v>
      </c>
      <c r="C4" s="68" t="s">
        <v>130</v>
      </c>
      <c r="D4" s="68">
        <v>2021</v>
      </c>
      <c r="E4" s="68">
        <f t="shared" ref="E4:M4" si="0">D4+1</f>
        <v>2022</v>
      </c>
      <c r="F4" s="68">
        <f t="shared" si="0"/>
        <v>2023</v>
      </c>
      <c r="G4" s="68">
        <f t="shared" si="0"/>
        <v>2024</v>
      </c>
      <c r="H4" s="68">
        <f t="shared" si="0"/>
        <v>2025</v>
      </c>
      <c r="I4" s="68">
        <f t="shared" si="0"/>
        <v>2026</v>
      </c>
      <c r="J4" s="68">
        <f t="shared" si="0"/>
        <v>2027</v>
      </c>
      <c r="K4" s="68">
        <f t="shared" si="0"/>
        <v>2028</v>
      </c>
      <c r="L4" s="68">
        <f t="shared" si="0"/>
        <v>2029</v>
      </c>
      <c r="M4" s="68">
        <f t="shared" si="0"/>
        <v>2030</v>
      </c>
      <c r="N4" s="62"/>
      <c r="O4" s="62"/>
    </row>
    <row r="5" spans="1:15" ht="18" customHeight="1" x14ac:dyDescent="0.15">
      <c r="A5" s="14" t="s">
        <v>16</v>
      </c>
      <c r="B5" s="46"/>
      <c r="C5" s="46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5" ht="14.25" customHeight="1" x14ac:dyDescent="0.15">
      <c r="A6" s="13" t="s">
        <v>12</v>
      </c>
      <c r="B6" s="16">
        <v>0.02</v>
      </c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5" ht="14.25" customHeight="1" x14ac:dyDescent="0.15">
      <c r="A7" s="13" t="s">
        <v>41</v>
      </c>
      <c r="B7" s="12"/>
      <c r="C7" s="12"/>
      <c r="D7" s="13"/>
      <c r="E7" s="506">
        <f>B48</f>
        <v>217</v>
      </c>
      <c r="F7" s="506">
        <f>E7</f>
        <v>217</v>
      </c>
      <c r="G7" s="506">
        <f t="shared" ref="G7:M7" si="1">F7</f>
        <v>217</v>
      </c>
      <c r="H7" s="506">
        <f t="shared" si="1"/>
        <v>217</v>
      </c>
      <c r="I7" s="506">
        <f t="shared" si="1"/>
        <v>217</v>
      </c>
      <c r="J7" s="506">
        <f t="shared" si="1"/>
        <v>217</v>
      </c>
      <c r="K7" s="506">
        <f t="shared" si="1"/>
        <v>217</v>
      </c>
      <c r="L7" s="506">
        <f t="shared" si="1"/>
        <v>217</v>
      </c>
      <c r="M7" s="506">
        <f t="shared" si="1"/>
        <v>217</v>
      </c>
    </row>
    <row r="8" spans="1:15" ht="14.25" customHeight="1" x14ac:dyDescent="0.15">
      <c r="A8" s="13" t="s">
        <v>154</v>
      </c>
      <c r="B8" s="12"/>
      <c r="C8" s="12"/>
      <c r="D8" s="13"/>
      <c r="E8" s="506">
        <f>C48</f>
        <v>65000</v>
      </c>
      <c r="F8" s="506">
        <f>E8</f>
        <v>65000</v>
      </c>
      <c r="G8" s="506">
        <f t="shared" ref="G8:M8" si="2">F8</f>
        <v>65000</v>
      </c>
      <c r="H8" s="506">
        <f t="shared" si="2"/>
        <v>65000</v>
      </c>
      <c r="I8" s="506">
        <f t="shared" si="2"/>
        <v>65000</v>
      </c>
      <c r="J8" s="506">
        <f t="shared" si="2"/>
        <v>65000</v>
      </c>
      <c r="K8" s="506">
        <f t="shared" si="2"/>
        <v>65000</v>
      </c>
      <c r="L8" s="506">
        <f t="shared" si="2"/>
        <v>65000</v>
      </c>
      <c r="M8" s="506">
        <f t="shared" si="2"/>
        <v>65000</v>
      </c>
    </row>
    <row r="9" spans="1:15" ht="14.25" customHeight="1" x14ac:dyDescent="0.15">
      <c r="A9" s="13" t="s">
        <v>22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5" ht="14.25" customHeight="1" x14ac:dyDescent="0.15">
      <c r="A10" s="11" t="s">
        <v>30</v>
      </c>
      <c r="B10" s="157">
        <f>'Summary Board'!J142</f>
        <v>96</v>
      </c>
      <c r="C10" s="12"/>
      <c r="D10" s="509">
        <f>B10*(1+$B$6)</f>
        <v>97.92</v>
      </c>
      <c r="E10" s="509">
        <f>D10*(1+$B$6)</f>
        <v>99.878399999999999</v>
      </c>
      <c r="F10" s="509">
        <f t="shared" ref="F10:M10" si="3">E10*(1+$B$6)</f>
        <v>101.875968</v>
      </c>
      <c r="G10" s="509">
        <f t="shared" si="3"/>
        <v>103.91348736</v>
      </c>
      <c r="H10" s="509">
        <f t="shared" si="3"/>
        <v>105.9917571072</v>
      </c>
      <c r="I10" s="509">
        <f t="shared" si="3"/>
        <v>108.111592249344</v>
      </c>
      <c r="J10" s="509">
        <f t="shared" si="3"/>
        <v>110.27382409433088</v>
      </c>
      <c r="K10" s="509">
        <f t="shared" si="3"/>
        <v>112.4793005762175</v>
      </c>
      <c r="L10" s="509">
        <f t="shared" si="3"/>
        <v>114.72888658774185</v>
      </c>
      <c r="M10" s="509">
        <f t="shared" si="3"/>
        <v>117.0234643194967</v>
      </c>
    </row>
    <row r="11" spans="1:15" ht="14.25" customHeight="1" x14ac:dyDescent="0.15">
      <c r="A11" s="11" t="s">
        <v>31</v>
      </c>
      <c r="B11" s="142">
        <v>0.4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5" ht="14.25" customHeight="1" x14ac:dyDescent="0.15">
      <c r="A12" s="11" t="s">
        <v>32</v>
      </c>
      <c r="B12" s="32">
        <v>0.4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5" ht="14.25" customHeight="1" x14ac:dyDescent="0.15">
      <c r="A13" s="13" t="s">
        <v>23</v>
      </c>
      <c r="B13" s="28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5" ht="14.25" customHeight="1" x14ac:dyDescent="0.15">
      <c r="A14" s="11" t="s">
        <v>33</v>
      </c>
      <c r="B14" s="28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5" ht="14.25" customHeight="1" x14ac:dyDescent="0.15">
      <c r="A15" s="11" t="s">
        <v>34</v>
      </c>
      <c r="B15" s="28">
        <v>113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5" ht="14.25" customHeight="1" x14ac:dyDescent="0.15">
      <c r="A16" s="11" t="s">
        <v>35</v>
      </c>
      <c r="B16" s="28">
        <v>24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4.25" customHeight="1" x14ac:dyDescent="0.15">
      <c r="A17" s="11" t="s">
        <v>36</v>
      </c>
      <c r="B17" s="32">
        <v>0.25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4.25" customHeight="1" x14ac:dyDescent="0.15">
      <c r="A18" s="11" t="s">
        <v>37</v>
      </c>
      <c r="B18" s="28">
        <v>252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4.25" customHeight="1" x14ac:dyDescent="0.15">
      <c r="A19" s="11" t="s">
        <v>35</v>
      </c>
      <c r="B19" s="28">
        <v>24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4.25" customHeight="1" x14ac:dyDescent="0.15">
      <c r="A20" s="11" t="s">
        <v>36</v>
      </c>
      <c r="B20" s="32">
        <v>0.25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4.25" customHeight="1" x14ac:dyDescent="0.15">
      <c r="A21" s="11" t="s">
        <v>38</v>
      </c>
      <c r="B21" s="737">
        <f>'Summary Board'!J143</f>
        <v>2.75</v>
      </c>
      <c r="C21" s="12"/>
      <c r="D21" s="507">
        <f>B21*(1+B6)</f>
        <v>2.8050000000000002</v>
      </c>
      <c r="E21" s="510">
        <f>D21*(1+$B$6)</f>
        <v>2.8611000000000004</v>
      </c>
      <c r="F21" s="510">
        <f t="shared" ref="F21:M21" si="4">E21*(1+$B$6)</f>
        <v>2.9183220000000003</v>
      </c>
      <c r="G21" s="510">
        <f t="shared" si="4"/>
        <v>2.9766884400000002</v>
      </c>
      <c r="H21" s="510">
        <f t="shared" si="4"/>
        <v>3.0362222088000004</v>
      </c>
      <c r="I21" s="510">
        <f t="shared" si="4"/>
        <v>3.0969466529760004</v>
      </c>
      <c r="J21" s="510">
        <f t="shared" si="4"/>
        <v>3.1588855860355203</v>
      </c>
      <c r="K21" s="510">
        <f t="shared" si="4"/>
        <v>3.2220632977562307</v>
      </c>
      <c r="L21" s="510">
        <f t="shared" si="4"/>
        <v>3.2865045637113552</v>
      </c>
      <c r="M21" s="510">
        <f t="shared" si="4"/>
        <v>3.3522346549855824</v>
      </c>
    </row>
    <row r="22" spans="1:13" ht="14.25" customHeight="1" x14ac:dyDescent="0.15">
      <c r="A22" s="13" t="s">
        <v>24</v>
      </c>
      <c r="B22" s="28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4.25" customHeight="1" x14ac:dyDescent="0.15">
      <c r="A23" s="24" t="s">
        <v>316</v>
      </c>
      <c r="B23" s="162">
        <v>0.05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8" customHeight="1" x14ac:dyDescent="0.15">
      <c r="A24" s="14" t="s">
        <v>5</v>
      </c>
      <c r="B24" s="46"/>
      <c r="C24" s="46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4.25" customHeight="1" x14ac:dyDescent="0.15">
      <c r="A25" s="13" t="s">
        <v>25</v>
      </c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4.25" customHeight="1" x14ac:dyDescent="0.15">
      <c r="A26" s="11" t="s">
        <v>26</v>
      </c>
      <c r="B26" s="12"/>
      <c r="C26" s="12"/>
      <c r="D26" s="13"/>
      <c r="E26" s="508">
        <f>E7*E10*$B$12*12</f>
        <v>104033.34144</v>
      </c>
      <c r="F26" s="508">
        <f t="shared" ref="F26:M26" si="5">F7*F10*$B$12*12</f>
        <v>106114.00826880001</v>
      </c>
      <c r="G26" s="508">
        <f t="shared" si="5"/>
        <v>108236.28843417602</v>
      </c>
      <c r="H26" s="508">
        <f t="shared" si="5"/>
        <v>110401.01420285953</v>
      </c>
      <c r="I26" s="508">
        <f t="shared" si="5"/>
        <v>112609.0344869167</v>
      </c>
      <c r="J26" s="508">
        <f t="shared" si="5"/>
        <v>114861.21517665504</v>
      </c>
      <c r="K26" s="508">
        <f t="shared" si="5"/>
        <v>117158.43948018816</v>
      </c>
      <c r="L26" s="508">
        <f t="shared" si="5"/>
        <v>119501.60826979193</v>
      </c>
      <c r="M26" s="508">
        <f t="shared" si="5"/>
        <v>121891.64043518776</v>
      </c>
    </row>
    <row r="27" spans="1:13" ht="14.25" customHeight="1" x14ac:dyDescent="0.15">
      <c r="A27" s="11" t="s">
        <v>27</v>
      </c>
      <c r="B27" s="12"/>
      <c r="C27" s="19"/>
      <c r="D27" s="511"/>
      <c r="E27" s="512">
        <f>(E7*$B$15*$B$16*$B$17*E21)+(E7*$B$18*$B$19*$B$20*E21)</f>
        <v>1359680.5530000003</v>
      </c>
      <c r="F27" s="512">
        <f>(F7*$B$15*$B$16*$B$17*F21)+(F7*$B$18*$B$19*$B$20*F21)</f>
        <v>1386874.1640600003</v>
      </c>
      <c r="G27" s="512">
        <f t="shared" ref="G27:M27" si="6">(G7*$B$15*$B$16*$B$17*G21)+(G7*$B$18*$B$19*$B$20*G21)</f>
        <v>1414611.6473412002</v>
      </c>
      <c r="H27" s="512">
        <f t="shared" si="6"/>
        <v>1442903.8802880242</v>
      </c>
      <c r="I27" s="512">
        <f t="shared" si="6"/>
        <v>1471761.9578937846</v>
      </c>
      <c r="J27" s="512">
        <f t="shared" si="6"/>
        <v>1501197.1970516602</v>
      </c>
      <c r="K27" s="512">
        <f t="shared" si="6"/>
        <v>1531221.1409926936</v>
      </c>
      <c r="L27" s="512">
        <f t="shared" si="6"/>
        <v>1561845.5638125474</v>
      </c>
      <c r="M27" s="512">
        <f t="shared" si="6"/>
        <v>1593082.4750887982</v>
      </c>
    </row>
    <row r="28" spans="1:13" ht="14.25" customHeight="1" x14ac:dyDescent="0.15">
      <c r="A28" s="13" t="s">
        <v>28</v>
      </c>
      <c r="B28" s="12"/>
      <c r="C28" s="244">
        <f>SUM(C26:C27)</f>
        <v>0</v>
      </c>
      <c r="D28" s="244">
        <f t="shared" ref="D28:M28" si="7">SUM(D26:D27)</f>
        <v>0</v>
      </c>
      <c r="E28" s="244">
        <f t="shared" si="7"/>
        <v>1463713.8944400004</v>
      </c>
      <c r="F28" s="244">
        <f t="shared" si="7"/>
        <v>1492988.1723288004</v>
      </c>
      <c r="G28" s="244">
        <f t="shared" si="7"/>
        <v>1522847.9357753762</v>
      </c>
      <c r="H28" s="244">
        <f t="shared" si="7"/>
        <v>1553304.8944908837</v>
      </c>
      <c r="I28" s="244">
        <f t="shared" si="7"/>
        <v>1584370.9923807012</v>
      </c>
      <c r="J28" s="244">
        <f t="shared" si="7"/>
        <v>1616058.4122283151</v>
      </c>
      <c r="K28" s="244">
        <f t="shared" si="7"/>
        <v>1648379.5804728817</v>
      </c>
      <c r="L28" s="244">
        <f t="shared" si="7"/>
        <v>1681347.1720823394</v>
      </c>
      <c r="M28" s="244">
        <f t="shared" si="7"/>
        <v>1714974.1155239861</v>
      </c>
    </row>
    <row r="29" spans="1:13" ht="14.25" customHeight="1" x14ac:dyDescent="0.15">
      <c r="A29" s="13" t="s">
        <v>24</v>
      </c>
      <c r="B29" s="12"/>
      <c r="C29" s="513">
        <f>C28*-$B$23</f>
        <v>0</v>
      </c>
      <c r="D29" s="513">
        <f t="shared" ref="D29:M29" si="8">D28*-$B$23</f>
        <v>0</v>
      </c>
      <c r="E29" s="513">
        <f t="shared" si="8"/>
        <v>-73185.694722000029</v>
      </c>
      <c r="F29" s="513">
        <f t="shared" si="8"/>
        <v>-74649.408616440021</v>
      </c>
      <c r="G29" s="513">
        <f t="shared" si="8"/>
        <v>-76142.396788768805</v>
      </c>
      <c r="H29" s="513">
        <f t="shared" si="8"/>
        <v>-77665.244724544187</v>
      </c>
      <c r="I29" s="513">
        <f t="shared" si="8"/>
        <v>-79218.549619035068</v>
      </c>
      <c r="J29" s="513">
        <f t="shared" si="8"/>
        <v>-80802.920611415757</v>
      </c>
      <c r="K29" s="513">
        <f t="shared" si="8"/>
        <v>-82418.979023644089</v>
      </c>
      <c r="L29" s="513">
        <f t="shared" si="8"/>
        <v>-84067.358604116976</v>
      </c>
      <c r="M29" s="513">
        <f t="shared" si="8"/>
        <v>-85748.705776199306</v>
      </c>
    </row>
    <row r="30" spans="1:13" ht="14.25" customHeight="1" x14ac:dyDescent="0.15">
      <c r="A30" s="5" t="s">
        <v>5</v>
      </c>
      <c r="B30" s="4"/>
      <c r="C30" s="514">
        <f>SUM(C28:C29)</f>
        <v>0</v>
      </c>
      <c r="D30" s="514">
        <f t="shared" ref="D30:M30" si="9">SUM(D28:D29)</f>
        <v>0</v>
      </c>
      <c r="E30" s="514">
        <f t="shared" si="9"/>
        <v>1390528.1997180004</v>
      </c>
      <c r="F30" s="514">
        <f t="shared" si="9"/>
        <v>1418338.7637123605</v>
      </c>
      <c r="G30" s="514">
        <f t="shared" si="9"/>
        <v>1446705.5389866075</v>
      </c>
      <c r="H30" s="514">
        <f t="shared" si="9"/>
        <v>1475639.6497663395</v>
      </c>
      <c r="I30" s="514">
        <f t="shared" si="9"/>
        <v>1505152.4427616661</v>
      </c>
      <c r="J30" s="514">
        <f t="shared" si="9"/>
        <v>1535255.4916168994</v>
      </c>
      <c r="K30" s="514">
        <f t="shared" si="9"/>
        <v>1565960.6014492377</v>
      </c>
      <c r="L30" s="514">
        <f t="shared" si="9"/>
        <v>1597279.8134782223</v>
      </c>
      <c r="M30" s="514">
        <f t="shared" si="9"/>
        <v>1629225.4097477868</v>
      </c>
    </row>
    <row r="31" spans="1:13" ht="18" customHeight="1" x14ac:dyDescent="0.15">
      <c r="A31" s="14" t="s">
        <v>2</v>
      </c>
      <c r="B31" s="46"/>
      <c r="C31" s="46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4.25" customHeight="1" x14ac:dyDescent="0.15">
      <c r="A32" s="13" t="s">
        <v>14</v>
      </c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4.25" customHeight="1" x14ac:dyDescent="0.15">
      <c r="A33" s="13" t="s">
        <v>2</v>
      </c>
      <c r="B33" s="517">
        <f>'Summary Board'!G116</f>
        <v>71.5852</v>
      </c>
      <c r="C33" s="12"/>
      <c r="D33" s="13"/>
      <c r="E33" s="508">
        <f>E8*B33</f>
        <v>4653038</v>
      </c>
      <c r="F33" s="13"/>
      <c r="G33" s="13"/>
      <c r="H33" s="13"/>
      <c r="I33" s="13"/>
      <c r="J33" s="13"/>
      <c r="K33" s="13"/>
      <c r="L33" s="13"/>
      <c r="M33" s="13"/>
    </row>
    <row r="34" spans="1:13" ht="14.25" customHeight="1" x14ac:dyDescent="0.15">
      <c r="A34" s="13" t="s">
        <v>15</v>
      </c>
      <c r="B34" s="12"/>
      <c r="C34" s="19"/>
      <c r="D34" s="511"/>
      <c r="E34" s="511"/>
      <c r="F34" s="511"/>
      <c r="G34" s="511"/>
      <c r="H34" s="511"/>
      <c r="I34" s="511"/>
      <c r="J34" s="511"/>
      <c r="K34" s="511"/>
      <c r="L34" s="511"/>
      <c r="M34" s="511"/>
    </row>
    <row r="35" spans="1:13" ht="14.25" customHeight="1" x14ac:dyDescent="0.15">
      <c r="A35" s="5" t="s">
        <v>3</v>
      </c>
      <c r="B35" s="4"/>
      <c r="C35" s="518">
        <f>SUM(C33:C34)</f>
        <v>0</v>
      </c>
      <c r="D35" s="518">
        <f t="shared" ref="D35:M35" si="10">SUM(D33:D34)</f>
        <v>0</v>
      </c>
      <c r="E35" s="518">
        <f t="shared" si="10"/>
        <v>4653038</v>
      </c>
      <c r="F35" s="518">
        <f t="shared" si="10"/>
        <v>0</v>
      </c>
      <c r="G35" s="518">
        <f t="shared" si="10"/>
        <v>0</v>
      </c>
      <c r="H35" s="518">
        <f t="shared" si="10"/>
        <v>0</v>
      </c>
      <c r="I35" s="518">
        <f t="shared" si="10"/>
        <v>0</v>
      </c>
      <c r="J35" s="518">
        <f t="shared" si="10"/>
        <v>0</v>
      </c>
      <c r="K35" s="518">
        <f t="shared" si="10"/>
        <v>0</v>
      </c>
      <c r="L35" s="518">
        <f t="shared" si="10"/>
        <v>0</v>
      </c>
      <c r="M35" s="518">
        <f t="shared" si="10"/>
        <v>0</v>
      </c>
    </row>
    <row r="36" spans="1:13" ht="18" customHeight="1" x14ac:dyDescent="0.15">
      <c r="A36" s="14" t="s">
        <v>4</v>
      </c>
      <c r="B36" s="46"/>
      <c r="C36" s="46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4.25" customHeight="1" x14ac:dyDescent="0.15">
      <c r="A37" s="13" t="s">
        <v>5</v>
      </c>
      <c r="B37" s="12"/>
      <c r="C37" s="519">
        <f>C30</f>
        <v>0</v>
      </c>
      <c r="D37" s="519">
        <f t="shared" ref="D37:M37" si="11">D30</f>
        <v>0</v>
      </c>
      <c r="E37" s="519">
        <f t="shared" si="11"/>
        <v>1390528.1997180004</v>
      </c>
      <c r="F37" s="519">
        <f t="shared" si="11"/>
        <v>1418338.7637123605</v>
      </c>
      <c r="G37" s="519">
        <f t="shared" si="11"/>
        <v>1446705.5389866075</v>
      </c>
      <c r="H37" s="519">
        <f t="shared" si="11"/>
        <v>1475639.6497663395</v>
      </c>
      <c r="I37" s="519">
        <f t="shared" si="11"/>
        <v>1505152.4427616661</v>
      </c>
      <c r="J37" s="519">
        <f t="shared" si="11"/>
        <v>1535255.4916168994</v>
      </c>
      <c r="K37" s="519">
        <f t="shared" si="11"/>
        <v>1565960.6014492377</v>
      </c>
      <c r="L37" s="519">
        <f t="shared" si="11"/>
        <v>1597279.8134782223</v>
      </c>
      <c r="M37" s="519">
        <f t="shared" si="11"/>
        <v>1629225.4097477868</v>
      </c>
    </row>
    <row r="38" spans="1:13" ht="14.25" customHeight="1" x14ac:dyDescent="0.15">
      <c r="A38" s="13" t="s">
        <v>107</v>
      </c>
      <c r="B38" s="16">
        <f>C54</f>
        <v>0.1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520">
        <f>M37/C54</f>
        <v>16292254.097477868</v>
      </c>
    </row>
    <row r="39" spans="1:13" ht="14.25" customHeight="1" x14ac:dyDescent="0.15">
      <c r="A39" s="13" t="s">
        <v>108</v>
      </c>
      <c r="B39" s="16">
        <f>C55</f>
        <v>0.03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526">
        <f>M38*-C55</f>
        <v>-488767.622924336</v>
      </c>
    </row>
    <row r="40" spans="1:13" ht="14.25" customHeight="1" x14ac:dyDescent="0.15">
      <c r="A40" s="13" t="s">
        <v>3</v>
      </c>
      <c r="B40" s="12"/>
      <c r="C40" s="521">
        <f>-C35</f>
        <v>0</v>
      </c>
      <c r="D40" s="521">
        <f t="shared" ref="D40:M40" si="12">-D35</f>
        <v>0</v>
      </c>
      <c r="E40" s="527">
        <f t="shared" si="12"/>
        <v>-4653038</v>
      </c>
      <c r="F40" s="521">
        <f t="shared" si="12"/>
        <v>0</v>
      </c>
      <c r="G40" s="521">
        <f t="shared" si="12"/>
        <v>0</v>
      </c>
      <c r="H40" s="521">
        <f t="shared" si="12"/>
        <v>0</v>
      </c>
      <c r="I40" s="521">
        <f t="shared" si="12"/>
        <v>0</v>
      </c>
      <c r="J40" s="521">
        <f t="shared" si="12"/>
        <v>0</v>
      </c>
      <c r="K40" s="521">
        <f t="shared" si="12"/>
        <v>0</v>
      </c>
      <c r="L40" s="521">
        <f t="shared" si="12"/>
        <v>0</v>
      </c>
      <c r="M40" s="521">
        <f t="shared" si="12"/>
        <v>0</v>
      </c>
    </row>
    <row r="41" spans="1:13" ht="14.25" customHeight="1" x14ac:dyDescent="0.15">
      <c r="A41" s="13" t="s">
        <v>6</v>
      </c>
      <c r="B41" s="12"/>
      <c r="C41" s="522">
        <f>SUM(C37:C40)</f>
        <v>0</v>
      </c>
      <c r="D41" s="522">
        <f t="shared" ref="D41:M41" si="13">SUM(D37:D40)</f>
        <v>0</v>
      </c>
      <c r="E41" s="522">
        <f t="shared" si="13"/>
        <v>-3262509.8002819996</v>
      </c>
      <c r="F41" s="522">
        <f t="shared" si="13"/>
        <v>1418338.7637123605</v>
      </c>
      <c r="G41" s="522">
        <f t="shared" si="13"/>
        <v>1446705.5389866075</v>
      </c>
      <c r="H41" s="522">
        <f t="shared" si="13"/>
        <v>1475639.6497663395</v>
      </c>
      <c r="I41" s="522">
        <f t="shared" si="13"/>
        <v>1505152.4427616661</v>
      </c>
      <c r="J41" s="522">
        <f t="shared" si="13"/>
        <v>1535255.4916168994</v>
      </c>
      <c r="K41" s="522">
        <f t="shared" si="13"/>
        <v>1565960.6014492377</v>
      </c>
      <c r="L41" s="522">
        <f t="shared" si="13"/>
        <v>1597279.8134782223</v>
      </c>
      <c r="M41" s="522">
        <f t="shared" si="13"/>
        <v>17432711.88430132</v>
      </c>
    </row>
    <row r="42" spans="1:13" ht="14.25" customHeight="1" x14ac:dyDescent="0.15">
      <c r="A42" s="5" t="s">
        <v>40</v>
      </c>
      <c r="B42" s="518">
        <f>B41+NPV(C56,C41:M41)</f>
        <v>10050997.24794253</v>
      </c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8" customHeight="1" x14ac:dyDescent="0.15">
      <c r="A43" s="7" t="s">
        <v>110</v>
      </c>
      <c r="B43" s="6">
        <f>IRR(B41:M41)</f>
        <v>0.52157457292057496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8" customHeight="1" x14ac:dyDescent="0.15">
      <c r="A44" s="7" t="s">
        <v>96</v>
      </c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4" thickBot="1" x14ac:dyDescent="0.2"/>
    <row r="46" spans="1:13" ht="14" thickBot="1" x14ac:dyDescent="0.2">
      <c r="A46" s="879" t="s">
        <v>170</v>
      </c>
      <c r="B46" s="880"/>
      <c r="C46" s="881"/>
    </row>
    <row r="47" spans="1:13" ht="14" thickBot="1" x14ac:dyDescent="0.2">
      <c r="A47" s="492"/>
      <c r="B47" s="493" t="s">
        <v>315</v>
      </c>
      <c r="C47" s="494" t="s">
        <v>162</v>
      </c>
    </row>
    <row r="48" spans="1:13" x14ac:dyDescent="0.15">
      <c r="A48" s="489" t="s">
        <v>148</v>
      </c>
      <c r="B48" s="498">
        <f>ROUND(C48/C53,0)</f>
        <v>217</v>
      </c>
      <c r="C48" s="495">
        <f>SUM('Development Schedule'!E53:G53)</f>
        <v>65000</v>
      </c>
      <c r="E48" s="642"/>
      <c r="F48" s="642"/>
      <c r="G48" s="642"/>
      <c r="H48" s="642"/>
      <c r="I48" s="642"/>
    </row>
    <row r="49" spans="1:3" x14ac:dyDescent="0.15">
      <c r="A49" s="489" t="s">
        <v>151</v>
      </c>
      <c r="B49" s="503">
        <f>C49/C53</f>
        <v>0</v>
      </c>
      <c r="C49" s="496">
        <f>SUM('Development Schedule'!H53:J53)</f>
        <v>0</v>
      </c>
    </row>
    <row r="50" spans="1:3" ht="14" thickBot="1" x14ac:dyDescent="0.2">
      <c r="A50" s="490" t="s">
        <v>152</v>
      </c>
      <c r="B50" s="505">
        <f>C50/C53</f>
        <v>0</v>
      </c>
      <c r="C50" s="497">
        <f>SUM('Development Schedule'!K53:N53)</f>
        <v>0</v>
      </c>
    </row>
    <row r="51" spans="1:3" ht="14" thickBot="1" x14ac:dyDescent="0.2"/>
    <row r="52" spans="1:3" ht="14" thickBot="1" x14ac:dyDescent="0.2">
      <c r="A52" s="882" t="s">
        <v>171</v>
      </c>
      <c r="B52" s="883"/>
      <c r="C52" s="884"/>
    </row>
    <row r="53" spans="1:3" x14ac:dyDescent="0.15">
      <c r="A53" s="499" t="s">
        <v>314</v>
      </c>
      <c r="B53" s="500"/>
      <c r="C53" s="504">
        <v>300</v>
      </c>
    </row>
    <row r="54" spans="1:3" x14ac:dyDescent="0.15">
      <c r="A54" s="489" t="s">
        <v>173</v>
      </c>
      <c r="B54" s="9"/>
      <c r="C54" s="501">
        <v>0.1</v>
      </c>
    </row>
    <row r="55" spans="1:3" x14ac:dyDescent="0.15">
      <c r="A55" s="489" t="s">
        <v>174</v>
      </c>
      <c r="B55" s="9"/>
      <c r="C55" s="501">
        <v>0.03</v>
      </c>
    </row>
    <row r="56" spans="1:3" ht="14" thickBot="1" x14ac:dyDescent="0.2">
      <c r="A56" s="490" t="s">
        <v>175</v>
      </c>
      <c r="B56" s="491"/>
      <c r="C56" s="502">
        <v>0.09</v>
      </c>
    </row>
  </sheetData>
  <mergeCells count="5">
    <mergeCell ref="D3:F3"/>
    <mergeCell ref="G3:I3"/>
    <mergeCell ref="J3:M3"/>
    <mergeCell ref="A46:C46"/>
    <mergeCell ref="A52:C52"/>
  </mergeCells>
  <phoneticPr fontId="3" type="noConversion"/>
  <pageMargins left="0.5" right="0.5" top="1" bottom="0.5" header="0.5" footer="0.5"/>
  <pageSetup paperSize="4" orientation="landscape" r:id="rId1"/>
  <headerFooter alignWithMargins="0">
    <oddHeader>&amp;L&amp;"Arial,Bold"10. Income Statement: Structured Parking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A1491-28FB-9940-AEF8-4415CAB85F00}">
  <dimension ref="A1:O58"/>
  <sheetViews>
    <sheetView topLeftCell="A37" zoomScale="150" zoomScaleNormal="150" workbookViewId="0">
      <selection activeCell="B35" sqref="B35"/>
    </sheetView>
  </sheetViews>
  <sheetFormatPr baseColWidth="10" defaultColWidth="9.1640625" defaultRowHeight="13" x14ac:dyDescent="0.15"/>
  <cols>
    <col min="1" max="1" width="27.1640625" style="1" customWidth="1"/>
    <col min="2" max="2" width="10.33203125" style="3" bestFit="1" customWidth="1"/>
    <col min="3" max="3" width="8.83203125" style="3" customWidth="1"/>
    <col min="4" max="12" width="8.83203125" style="1" customWidth="1"/>
    <col min="13" max="13" width="11.1640625" style="1" bestFit="1" customWidth="1"/>
    <col min="14" max="16384" width="9.1640625" style="1"/>
  </cols>
  <sheetData>
    <row r="1" spans="1:15" ht="14.25" customHeight="1" x14ac:dyDescent="0.15">
      <c r="L1" s="47" t="s">
        <v>352</v>
      </c>
      <c r="M1" s="48"/>
    </row>
    <row r="2" spans="1:15" ht="14.25" customHeight="1" thickBot="1" x14ac:dyDescent="0.2">
      <c r="L2" s="49"/>
      <c r="M2" s="50"/>
    </row>
    <row r="3" spans="1:15" ht="14.25" customHeight="1" thickBot="1" x14ac:dyDescent="0.2">
      <c r="B3" s="65"/>
      <c r="C3" s="65" t="s">
        <v>105</v>
      </c>
      <c r="D3" s="856" t="s">
        <v>59</v>
      </c>
      <c r="E3" s="857"/>
      <c r="F3" s="858"/>
      <c r="G3" s="856" t="s">
        <v>151</v>
      </c>
      <c r="H3" s="857"/>
      <c r="I3" s="858"/>
      <c r="J3" s="856" t="s">
        <v>152</v>
      </c>
      <c r="K3" s="857"/>
      <c r="L3" s="857"/>
      <c r="M3" s="858"/>
      <c r="N3" s="62"/>
      <c r="O3" s="62"/>
    </row>
    <row r="4" spans="1:15" ht="14.25" customHeight="1" x14ac:dyDescent="0.15">
      <c r="A4" s="5"/>
      <c r="B4" s="68" t="s">
        <v>29</v>
      </c>
      <c r="C4" s="68" t="s">
        <v>130</v>
      </c>
      <c r="D4" s="68">
        <v>2021</v>
      </c>
      <c r="E4" s="68">
        <f t="shared" ref="E4:M4" si="0">D4+1</f>
        <v>2022</v>
      </c>
      <c r="F4" s="68">
        <f t="shared" si="0"/>
        <v>2023</v>
      </c>
      <c r="G4" s="68">
        <f t="shared" si="0"/>
        <v>2024</v>
      </c>
      <c r="H4" s="68">
        <f t="shared" si="0"/>
        <v>2025</v>
      </c>
      <c r="I4" s="68">
        <f t="shared" si="0"/>
        <v>2026</v>
      </c>
      <c r="J4" s="68">
        <f t="shared" si="0"/>
        <v>2027</v>
      </c>
      <c r="K4" s="68">
        <f t="shared" si="0"/>
        <v>2028</v>
      </c>
      <c r="L4" s="68">
        <f t="shared" si="0"/>
        <v>2029</v>
      </c>
      <c r="M4" s="68">
        <f t="shared" si="0"/>
        <v>2030</v>
      </c>
      <c r="N4" s="62"/>
      <c r="O4" s="62"/>
    </row>
    <row r="5" spans="1:15" ht="18" customHeight="1" x14ac:dyDescent="0.15">
      <c r="A5" s="14" t="s">
        <v>16</v>
      </c>
      <c r="B5" s="46"/>
      <c r="C5" s="46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5" ht="14.25" customHeight="1" x14ac:dyDescent="0.15">
      <c r="A6" s="13" t="s">
        <v>12</v>
      </c>
      <c r="B6" s="16">
        <v>0.02</v>
      </c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5" ht="14.25" customHeight="1" x14ac:dyDescent="0.15">
      <c r="A7" s="13" t="s">
        <v>41</v>
      </c>
      <c r="B7" s="12"/>
      <c r="C7" s="12"/>
      <c r="D7" s="13"/>
      <c r="E7" s="506">
        <f>B50</f>
        <v>0</v>
      </c>
      <c r="F7" s="506">
        <f>E7</f>
        <v>0</v>
      </c>
      <c r="G7" s="506">
        <f t="shared" ref="G7:M8" si="1">F7</f>
        <v>0</v>
      </c>
      <c r="H7" s="506">
        <f>B51</f>
        <v>573</v>
      </c>
      <c r="I7" s="506">
        <f t="shared" si="1"/>
        <v>573</v>
      </c>
      <c r="J7" s="506">
        <f t="shared" si="1"/>
        <v>573</v>
      </c>
      <c r="K7" s="506">
        <f t="shared" si="1"/>
        <v>573</v>
      </c>
      <c r="L7" s="506">
        <f t="shared" si="1"/>
        <v>573</v>
      </c>
      <c r="M7" s="506">
        <f t="shared" si="1"/>
        <v>573</v>
      </c>
    </row>
    <row r="8" spans="1:15" ht="14.25" customHeight="1" x14ac:dyDescent="0.15">
      <c r="A8" s="13" t="s">
        <v>154</v>
      </c>
      <c r="B8" s="12"/>
      <c r="C8" s="12"/>
      <c r="D8" s="13"/>
      <c r="E8" s="506">
        <f>C50</f>
        <v>0</v>
      </c>
      <c r="F8" s="506">
        <f>E8</f>
        <v>0</v>
      </c>
      <c r="G8" s="506">
        <f t="shared" si="1"/>
        <v>0</v>
      </c>
      <c r="H8" s="506">
        <f>C51</f>
        <v>172000</v>
      </c>
      <c r="I8" s="506">
        <f t="shared" si="1"/>
        <v>172000</v>
      </c>
      <c r="J8" s="506">
        <f t="shared" si="1"/>
        <v>172000</v>
      </c>
      <c r="K8" s="506">
        <f t="shared" si="1"/>
        <v>172000</v>
      </c>
      <c r="L8" s="506">
        <f t="shared" si="1"/>
        <v>172000</v>
      </c>
      <c r="M8" s="506">
        <f t="shared" si="1"/>
        <v>172000</v>
      </c>
    </row>
    <row r="9" spans="1:15" ht="14.25" customHeight="1" x14ac:dyDescent="0.15">
      <c r="A9" s="13" t="s">
        <v>22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5" ht="14.25" customHeight="1" x14ac:dyDescent="0.15">
      <c r="A10" s="86" t="s">
        <v>30</v>
      </c>
      <c r="B10" s="157">
        <f>'Summary Board'!J142</f>
        <v>96</v>
      </c>
      <c r="C10" s="12"/>
      <c r="D10" s="509">
        <f>B10*(1+$B$6)</f>
        <v>97.92</v>
      </c>
      <c r="E10" s="509">
        <f>D10*(1+$B$6)</f>
        <v>99.878399999999999</v>
      </c>
      <c r="F10" s="509">
        <f t="shared" ref="F10:M10" si="2">E10*(1+$B$6)</f>
        <v>101.875968</v>
      </c>
      <c r="G10" s="509">
        <f t="shared" si="2"/>
        <v>103.91348736</v>
      </c>
      <c r="H10" s="509">
        <f t="shared" si="2"/>
        <v>105.9917571072</v>
      </c>
      <c r="I10" s="509">
        <f t="shared" si="2"/>
        <v>108.111592249344</v>
      </c>
      <c r="J10" s="509">
        <f t="shared" si="2"/>
        <v>110.27382409433088</v>
      </c>
      <c r="K10" s="509">
        <f t="shared" si="2"/>
        <v>112.4793005762175</v>
      </c>
      <c r="L10" s="509">
        <f t="shared" si="2"/>
        <v>114.72888658774185</v>
      </c>
      <c r="M10" s="509">
        <f t="shared" si="2"/>
        <v>117.0234643194967</v>
      </c>
    </row>
    <row r="11" spans="1:15" ht="14.25" customHeight="1" x14ac:dyDescent="0.15">
      <c r="A11" s="86" t="s">
        <v>31</v>
      </c>
      <c r="B11" s="142">
        <v>0.1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5" ht="14.25" customHeight="1" x14ac:dyDescent="0.15">
      <c r="A12" s="86" t="s">
        <v>32</v>
      </c>
      <c r="B12" s="32">
        <v>0.1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5" ht="14.25" customHeight="1" x14ac:dyDescent="0.15">
      <c r="A13" s="13" t="s">
        <v>23</v>
      </c>
      <c r="B13" s="28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5" ht="14.25" customHeight="1" x14ac:dyDescent="0.15">
      <c r="A14" s="86" t="s">
        <v>33</v>
      </c>
      <c r="B14" s="28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5" ht="14.25" customHeight="1" x14ac:dyDescent="0.15">
      <c r="A15" s="86" t="s">
        <v>34</v>
      </c>
      <c r="B15" s="28">
        <v>113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5" ht="14.25" customHeight="1" x14ac:dyDescent="0.15">
      <c r="A16" s="86" t="s">
        <v>35</v>
      </c>
      <c r="B16" s="28">
        <v>24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4.25" customHeight="1" x14ac:dyDescent="0.15">
      <c r="A17" s="86" t="s">
        <v>36</v>
      </c>
      <c r="B17" s="32">
        <v>0.25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4.25" customHeight="1" x14ac:dyDescent="0.15">
      <c r="A18" s="86" t="s">
        <v>37</v>
      </c>
      <c r="B18" s="28">
        <v>252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4.25" customHeight="1" x14ac:dyDescent="0.15">
      <c r="A19" s="86" t="s">
        <v>35</v>
      </c>
      <c r="B19" s="28">
        <v>24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4.25" customHeight="1" x14ac:dyDescent="0.15">
      <c r="A20" s="86" t="s">
        <v>36</v>
      </c>
      <c r="B20" s="32">
        <v>0.25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4.25" customHeight="1" x14ac:dyDescent="0.15">
      <c r="A21" s="86" t="s">
        <v>38</v>
      </c>
      <c r="B21" s="737">
        <f>'Summary Board'!J143</f>
        <v>2.75</v>
      </c>
      <c r="C21" s="12"/>
      <c r="D21" s="507">
        <f>B21*(1+B6)</f>
        <v>2.8050000000000002</v>
      </c>
      <c r="E21" s="510">
        <f>D21*(1+$B$6)</f>
        <v>2.8611000000000004</v>
      </c>
      <c r="F21" s="510">
        <f t="shared" ref="F21:M21" si="3">E21*(1+$B$6)</f>
        <v>2.9183220000000003</v>
      </c>
      <c r="G21" s="510">
        <f t="shared" si="3"/>
        <v>2.9766884400000002</v>
      </c>
      <c r="H21" s="510">
        <f t="shared" si="3"/>
        <v>3.0362222088000004</v>
      </c>
      <c r="I21" s="510">
        <f t="shared" si="3"/>
        <v>3.0969466529760004</v>
      </c>
      <c r="J21" s="510">
        <f t="shared" si="3"/>
        <v>3.1588855860355203</v>
      </c>
      <c r="K21" s="510">
        <f t="shared" si="3"/>
        <v>3.2220632977562307</v>
      </c>
      <c r="L21" s="510">
        <f t="shared" si="3"/>
        <v>3.2865045637113552</v>
      </c>
      <c r="M21" s="510">
        <f t="shared" si="3"/>
        <v>3.3522346549855824</v>
      </c>
    </row>
    <row r="22" spans="1:13" ht="14.25" customHeight="1" x14ac:dyDescent="0.15">
      <c r="A22" s="13" t="s">
        <v>24</v>
      </c>
      <c r="B22" s="28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4.25" customHeight="1" x14ac:dyDescent="0.15">
      <c r="A23" s="24" t="s">
        <v>316</v>
      </c>
      <c r="B23" s="162">
        <v>0.05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8" customHeight="1" x14ac:dyDescent="0.15">
      <c r="A24" s="14" t="s">
        <v>5</v>
      </c>
      <c r="B24" s="51"/>
      <c r="C24" s="46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4.25" customHeight="1" x14ac:dyDescent="0.15">
      <c r="A25" s="13" t="s">
        <v>25</v>
      </c>
      <c r="B25" s="28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4.25" customHeight="1" x14ac:dyDescent="0.15">
      <c r="A26" s="86" t="s">
        <v>26</v>
      </c>
      <c r="B26" s="28"/>
      <c r="C26" s="12"/>
      <c r="D26" s="13"/>
      <c r="E26" s="508">
        <f>E7*E10*$B$12*12</f>
        <v>0</v>
      </c>
      <c r="F26" s="508">
        <f t="shared" ref="F26:M26" si="4">F7*F10*$B$12*12</f>
        <v>0</v>
      </c>
      <c r="G26" s="508">
        <f t="shared" si="4"/>
        <v>0</v>
      </c>
      <c r="H26" s="508">
        <f t="shared" si="4"/>
        <v>72879.932186910723</v>
      </c>
      <c r="I26" s="508">
        <f t="shared" si="4"/>
        <v>74337.530830648931</v>
      </c>
      <c r="J26" s="508">
        <f t="shared" si="4"/>
        <v>75824.281447261907</v>
      </c>
      <c r="K26" s="508">
        <f t="shared" si="4"/>
        <v>77340.76707620715</v>
      </c>
      <c r="L26" s="508">
        <f t="shared" si="4"/>
        <v>78887.582417731319</v>
      </c>
      <c r="M26" s="508">
        <f t="shared" si="4"/>
        <v>80465.334066085939</v>
      </c>
    </row>
    <row r="27" spans="1:13" ht="14.25" customHeight="1" x14ac:dyDescent="0.15">
      <c r="A27" s="86" t="s">
        <v>27</v>
      </c>
      <c r="B27" s="28"/>
      <c r="C27" s="19"/>
      <c r="D27" s="511"/>
      <c r="E27" s="512">
        <f>(E7*$B$15*$B$16*$B$17*E21)+(E7*$B$18*$B$19*$B$20*E21)</f>
        <v>0</v>
      </c>
      <c r="F27" s="512">
        <f>(F7*$B$15*$B$16*$B$17*F21)+(F7*$B$18*$B$19*$B$20*F21)</f>
        <v>0</v>
      </c>
      <c r="G27" s="512">
        <f t="shared" ref="G27:M27" si="5">(G7*$B$15*$B$16*$B$17*G21)+(G7*$B$18*$B$19*$B$20*G21)</f>
        <v>0</v>
      </c>
      <c r="H27" s="512">
        <f t="shared" si="5"/>
        <v>3810064.1631568568</v>
      </c>
      <c r="I27" s="512">
        <f t="shared" si="5"/>
        <v>3886265.4464199934</v>
      </c>
      <c r="J27" s="512">
        <f t="shared" si="5"/>
        <v>3963990.7553483937</v>
      </c>
      <c r="K27" s="512">
        <f t="shared" si="5"/>
        <v>4043270.5704553612</v>
      </c>
      <c r="L27" s="512">
        <f t="shared" si="5"/>
        <v>4124135.9818644682</v>
      </c>
      <c r="M27" s="512">
        <f t="shared" si="5"/>
        <v>4206618.7015017578</v>
      </c>
    </row>
    <row r="28" spans="1:13" ht="14.25" customHeight="1" x14ac:dyDescent="0.15">
      <c r="A28" s="13" t="s">
        <v>28</v>
      </c>
      <c r="B28" s="28"/>
      <c r="C28" s="244">
        <f>SUM(C26:C27)</f>
        <v>0</v>
      </c>
      <c r="D28" s="244">
        <f t="shared" ref="D28:M28" si="6">SUM(D26:D27)</f>
        <v>0</v>
      </c>
      <c r="E28" s="244">
        <f t="shared" si="6"/>
        <v>0</v>
      </c>
      <c r="F28" s="244">
        <f t="shared" si="6"/>
        <v>0</v>
      </c>
      <c r="G28" s="244">
        <f t="shared" si="6"/>
        <v>0</v>
      </c>
      <c r="H28" s="244">
        <f t="shared" si="6"/>
        <v>3882944.0953437677</v>
      </c>
      <c r="I28" s="244">
        <f t="shared" si="6"/>
        <v>3960602.9772506421</v>
      </c>
      <c r="J28" s="244">
        <f t="shared" si="6"/>
        <v>4039815.0367956557</v>
      </c>
      <c r="K28" s="244">
        <f t="shared" si="6"/>
        <v>4120611.3375315685</v>
      </c>
      <c r="L28" s="244">
        <f t="shared" si="6"/>
        <v>4203023.5642821994</v>
      </c>
      <c r="M28" s="244">
        <f t="shared" si="6"/>
        <v>4287084.0355678434</v>
      </c>
    </row>
    <row r="29" spans="1:13" ht="14.25" customHeight="1" x14ac:dyDescent="0.15">
      <c r="A29" s="13" t="s">
        <v>24</v>
      </c>
      <c r="B29" s="28"/>
      <c r="C29" s="513">
        <f>C28*-$B$23</f>
        <v>0</v>
      </c>
      <c r="D29" s="513">
        <f t="shared" ref="D29:M29" si="7">D28*-$B$23</f>
        <v>0</v>
      </c>
      <c r="E29" s="513">
        <f t="shared" si="7"/>
        <v>0</v>
      </c>
      <c r="F29" s="513">
        <f t="shared" si="7"/>
        <v>0</v>
      </c>
      <c r="G29" s="513">
        <f t="shared" si="7"/>
        <v>0</v>
      </c>
      <c r="H29" s="513">
        <f t="shared" si="7"/>
        <v>-194147.20476718841</v>
      </c>
      <c r="I29" s="513">
        <f t="shared" si="7"/>
        <v>-198030.14886253211</v>
      </c>
      <c r="J29" s="513">
        <f t="shared" si="7"/>
        <v>-201990.75183978281</v>
      </c>
      <c r="K29" s="513">
        <f t="shared" si="7"/>
        <v>-206030.56687657844</v>
      </c>
      <c r="L29" s="513">
        <f t="shared" si="7"/>
        <v>-210151.17821410997</v>
      </c>
      <c r="M29" s="513">
        <f t="shared" si="7"/>
        <v>-214354.20177839219</v>
      </c>
    </row>
    <row r="30" spans="1:13" ht="14.25" customHeight="1" x14ac:dyDescent="0.15">
      <c r="A30" s="5" t="s">
        <v>5</v>
      </c>
      <c r="B30" s="63"/>
      <c r="C30" s="514">
        <f>SUM(C28:C29)</f>
        <v>0</v>
      </c>
      <c r="D30" s="514">
        <f t="shared" ref="D30:M30" si="8">SUM(D28:D29)</f>
        <v>0</v>
      </c>
      <c r="E30" s="514">
        <f t="shared" si="8"/>
        <v>0</v>
      </c>
      <c r="F30" s="514">
        <f t="shared" si="8"/>
        <v>0</v>
      </c>
      <c r="G30" s="514">
        <f t="shared" si="8"/>
        <v>0</v>
      </c>
      <c r="H30" s="514">
        <f t="shared" si="8"/>
        <v>3688796.8905765791</v>
      </c>
      <c r="I30" s="514">
        <f t="shared" si="8"/>
        <v>3762572.8283881098</v>
      </c>
      <c r="J30" s="514">
        <f t="shared" si="8"/>
        <v>3837824.2849558732</v>
      </c>
      <c r="K30" s="514">
        <f t="shared" si="8"/>
        <v>3914580.7706549899</v>
      </c>
      <c r="L30" s="514">
        <f t="shared" si="8"/>
        <v>3992872.3860680894</v>
      </c>
      <c r="M30" s="514">
        <f t="shared" si="8"/>
        <v>4072729.833789451</v>
      </c>
    </row>
    <row r="31" spans="1:13" ht="14.25" customHeight="1" x14ac:dyDescent="0.15">
      <c r="A31" s="8" t="s">
        <v>344</v>
      </c>
      <c r="B31" s="193">
        <v>0.25</v>
      </c>
      <c r="C31" s="660">
        <f>C30*-$B$31</f>
        <v>0</v>
      </c>
      <c r="D31" s="660">
        <f t="shared" ref="D31:M31" si="9">D30*-$B$31</f>
        <v>0</v>
      </c>
      <c r="E31" s="660">
        <f t="shared" si="9"/>
        <v>0</v>
      </c>
      <c r="F31" s="660">
        <f t="shared" si="9"/>
        <v>0</v>
      </c>
      <c r="G31" s="660">
        <f t="shared" si="9"/>
        <v>0</v>
      </c>
      <c r="H31" s="660">
        <f t="shared" si="9"/>
        <v>-922199.22264414479</v>
      </c>
      <c r="I31" s="660">
        <f t="shared" si="9"/>
        <v>-940643.20709702745</v>
      </c>
      <c r="J31" s="660">
        <f t="shared" si="9"/>
        <v>-959456.07123896829</v>
      </c>
      <c r="K31" s="660">
        <f t="shared" si="9"/>
        <v>-978645.19266374747</v>
      </c>
      <c r="L31" s="660">
        <f t="shared" si="9"/>
        <v>-998218.09651702235</v>
      </c>
      <c r="M31" s="660">
        <f t="shared" si="9"/>
        <v>-1018182.4584473628</v>
      </c>
    </row>
    <row r="32" spans="1:13" ht="14.25" customHeight="1" x14ac:dyDescent="0.15">
      <c r="A32" s="8" t="s">
        <v>345</v>
      </c>
      <c r="B32" s="69"/>
      <c r="C32" s="660">
        <f>SUM(C30:C31)</f>
        <v>0</v>
      </c>
      <c r="D32" s="660">
        <f t="shared" ref="D32:M32" si="10">SUM(D30:D31)</f>
        <v>0</v>
      </c>
      <c r="E32" s="660">
        <f t="shared" si="10"/>
        <v>0</v>
      </c>
      <c r="F32" s="660">
        <f t="shared" si="10"/>
        <v>0</v>
      </c>
      <c r="G32" s="660">
        <f t="shared" si="10"/>
        <v>0</v>
      </c>
      <c r="H32" s="660">
        <f t="shared" si="10"/>
        <v>2766597.6679324345</v>
      </c>
      <c r="I32" s="660">
        <f t="shared" si="10"/>
        <v>2821929.6212910824</v>
      </c>
      <c r="J32" s="660">
        <f t="shared" si="10"/>
        <v>2878368.2137169046</v>
      </c>
      <c r="K32" s="660">
        <f t="shared" si="10"/>
        <v>2935935.5779912425</v>
      </c>
      <c r="L32" s="660">
        <f t="shared" si="10"/>
        <v>2994654.2895510672</v>
      </c>
      <c r="M32" s="660">
        <f t="shared" si="10"/>
        <v>3054547.3753420883</v>
      </c>
    </row>
    <row r="33" spans="1:13" ht="18" customHeight="1" x14ac:dyDescent="0.15">
      <c r="A33" s="14" t="s">
        <v>2</v>
      </c>
      <c r="B33" s="51"/>
      <c r="C33" s="46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4.25" customHeight="1" x14ac:dyDescent="0.15">
      <c r="A34" s="13" t="s">
        <v>14</v>
      </c>
      <c r="B34" s="28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4.25" customHeight="1" x14ac:dyDescent="0.15">
      <c r="A35" s="13" t="s">
        <v>2</v>
      </c>
      <c r="B35" s="122">
        <v>45</v>
      </c>
      <c r="C35" s="12"/>
      <c r="D35" s="13"/>
      <c r="E35" s="508"/>
      <c r="F35" s="13"/>
      <c r="G35" s="520">
        <f>B35*C51</f>
        <v>7740000</v>
      </c>
      <c r="H35" s="13"/>
      <c r="I35" s="13"/>
      <c r="J35" s="13"/>
      <c r="K35" s="13"/>
      <c r="L35" s="13"/>
      <c r="M35" s="13"/>
    </row>
    <row r="36" spans="1:13" ht="14.25" customHeight="1" x14ac:dyDescent="0.15">
      <c r="A36" s="13" t="s">
        <v>15</v>
      </c>
      <c r="B36" s="12"/>
      <c r="C36" s="19"/>
      <c r="D36" s="511"/>
      <c r="E36" s="511"/>
      <c r="F36" s="511"/>
      <c r="G36" s="511"/>
      <c r="H36" s="511"/>
      <c r="I36" s="511"/>
      <c r="J36" s="511"/>
      <c r="K36" s="511"/>
      <c r="L36" s="511"/>
      <c r="M36" s="511"/>
    </row>
    <row r="37" spans="1:13" ht="14.25" customHeight="1" x14ac:dyDescent="0.15">
      <c r="A37" s="5" t="s">
        <v>3</v>
      </c>
      <c r="B37" s="4"/>
      <c r="C37" s="518">
        <f>SUM(C35:C36)</f>
        <v>0</v>
      </c>
      <c r="D37" s="518">
        <f t="shared" ref="D37:M37" si="11">SUM(D35:D36)</f>
        <v>0</v>
      </c>
      <c r="E37" s="518">
        <f t="shared" si="11"/>
        <v>0</v>
      </c>
      <c r="F37" s="518">
        <f t="shared" si="11"/>
        <v>0</v>
      </c>
      <c r="G37" s="518">
        <f t="shared" si="11"/>
        <v>7740000</v>
      </c>
      <c r="H37" s="518">
        <f t="shared" si="11"/>
        <v>0</v>
      </c>
      <c r="I37" s="518">
        <f t="shared" si="11"/>
        <v>0</v>
      </c>
      <c r="J37" s="518">
        <f t="shared" si="11"/>
        <v>0</v>
      </c>
      <c r="K37" s="518">
        <f t="shared" si="11"/>
        <v>0</v>
      </c>
      <c r="L37" s="518">
        <f t="shared" si="11"/>
        <v>0</v>
      </c>
      <c r="M37" s="518">
        <f t="shared" si="11"/>
        <v>0</v>
      </c>
    </row>
    <row r="38" spans="1:13" ht="18" customHeight="1" x14ac:dyDescent="0.15">
      <c r="A38" s="14" t="s">
        <v>4</v>
      </c>
      <c r="B38" s="46"/>
      <c r="C38" s="46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4.25" customHeight="1" x14ac:dyDescent="0.15">
      <c r="A39" s="13" t="s">
        <v>5</v>
      </c>
      <c r="B39" s="12"/>
      <c r="C39" s="519">
        <f>C32</f>
        <v>0</v>
      </c>
      <c r="D39" s="519">
        <f t="shared" ref="D39:M39" si="12">D32</f>
        <v>0</v>
      </c>
      <c r="E39" s="519">
        <f t="shared" si="12"/>
        <v>0</v>
      </c>
      <c r="F39" s="519">
        <f t="shared" si="12"/>
        <v>0</v>
      </c>
      <c r="G39" s="519">
        <f t="shared" si="12"/>
        <v>0</v>
      </c>
      <c r="H39" s="519">
        <f t="shared" si="12"/>
        <v>2766597.6679324345</v>
      </c>
      <c r="I39" s="519">
        <f t="shared" si="12"/>
        <v>2821929.6212910824</v>
      </c>
      <c r="J39" s="519">
        <f t="shared" si="12"/>
        <v>2878368.2137169046</v>
      </c>
      <c r="K39" s="519">
        <f t="shared" si="12"/>
        <v>2935935.5779912425</v>
      </c>
      <c r="L39" s="519">
        <f t="shared" si="12"/>
        <v>2994654.2895510672</v>
      </c>
      <c r="M39" s="519">
        <f t="shared" si="12"/>
        <v>3054547.3753420883</v>
      </c>
    </row>
    <row r="40" spans="1:13" ht="14.25" customHeight="1" x14ac:dyDescent="0.15">
      <c r="A40" s="13" t="s">
        <v>107</v>
      </c>
      <c r="B40" s="16">
        <f>C56</f>
        <v>0.1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520">
        <f>M39/C56</f>
        <v>30545473.753420882</v>
      </c>
    </row>
    <row r="41" spans="1:13" ht="14.25" customHeight="1" x14ac:dyDescent="0.15">
      <c r="A41" s="13" t="s">
        <v>108</v>
      </c>
      <c r="B41" s="16">
        <f>C57</f>
        <v>0.03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528">
        <f>M40*-C57</f>
        <v>-916364.21260262642</v>
      </c>
    </row>
    <row r="42" spans="1:13" ht="14.25" customHeight="1" x14ac:dyDescent="0.15">
      <c r="A42" s="13" t="s">
        <v>3</v>
      </c>
      <c r="B42" s="12"/>
      <c r="C42" s="521">
        <f>-C37</f>
        <v>0</v>
      </c>
      <c r="D42" s="521">
        <f t="shared" ref="D42:M42" si="13">-D37</f>
        <v>0</v>
      </c>
      <c r="E42" s="521">
        <f t="shared" si="13"/>
        <v>0</v>
      </c>
      <c r="F42" s="521">
        <f t="shared" si="13"/>
        <v>0</v>
      </c>
      <c r="G42" s="527">
        <f t="shared" si="13"/>
        <v>-7740000</v>
      </c>
      <c r="H42" s="521">
        <f t="shared" si="13"/>
        <v>0</v>
      </c>
      <c r="I42" s="521">
        <f t="shared" si="13"/>
        <v>0</v>
      </c>
      <c r="J42" s="521">
        <f t="shared" si="13"/>
        <v>0</v>
      </c>
      <c r="K42" s="521">
        <f t="shared" si="13"/>
        <v>0</v>
      </c>
      <c r="L42" s="521">
        <f t="shared" si="13"/>
        <v>0</v>
      </c>
      <c r="M42" s="521">
        <f t="shared" si="13"/>
        <v>0</v>
      </c>
    </row>
    <row r="43" spans="1:13" ht="14.25" customHeight="1" x14ac:dyDescent="0.15">
      <c r="A43" s="13" t="s">
        <v>6</v>
      </c>
      <c r="B43" s="12"/>
      <c r="C43" s="522">
        <f>SUM(C39:C42)</f>
        <v>0</v>
      </c>
      <c r="D43" s="522">
        <f t="shared" ref="D43:M43" si="14">SUM(D39:D42)</f>
        <v>0</v>
      </c>
      <c r="E43" s="522">
        <f t="shared" si="14"/>
        <v>0</v>
      </c>
      <c r="F43" s="522">
        <f t="shared" si="14"/>
        <v>0</v>
      </c>
      <c r="G43" s="529">
        <f t="shared" si="14"/>
        <v>-7740000</v>
      </c>
      <c r="H43" s="522">
        <f t="shared" si="14"/>
        <v>2766597.6679324345</v>
      </c>
      <c r="I43" s="522">
        <f t="shared" si="14"/>
        <v>2821929.6212910824</v>
      </c>
      <c r="J43" s="522">
        <f t="shared" si="14"/>
        <v>2878368.2137169046</v>
      </c>
      <c r="K43" s="522">
        <f t="shared" si="14"/>
        <v>2935935.5779912425</v>
      </c>
      <c r="L43" s="522">
        <f t="shared" si="14"/>
        <v>2994654.2895510672</v>
      </c>
      <c r="M43" s="522">
        <f t="shared" si="14"/>
        <v>32683656.916160341</v>
      </c>
    </row>
    <row r="44" spans="1:13" ht="14.25" customHeight="1" x14ac:dyDescent="0.15">
      <c r="A44" s="5" t="s">
        <v>40</v>
      </c>
      <c r="B44" s="518">
        <f>B43+NPV(C58,C43:M43)</f>
        <v>14890162.311196441</v>
      </c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8" customHeight="1" x14ac:dyDescent="0.15">
      <c r="A45" s="7" t="s">
        <v>110</v>
      </c>
      <c r="B45" s="6">
        <f>IRR(B43:M43)</f>
        <v>0.50292382552696613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8" customHeight="1" x14ac:dyDescent="0.15">
      <c r="A46" s="7" t="s">
        <v>96</v>
      </c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4" thickBot="1" x14ac:dyDescent="0.2"/>
    <row r="48" spans="1:13" ht="14" thickBot="1" x14ac:dyDescent="0.2">
      <c r="A48" s="879" t="s">
        <v>170</v>
      </c>
      <c r="B48" s="880"/>
      <c r="C48" s="881"/>
    </row>
    <row r="49" spans="1:3" ht="14" thickBot="1" x14ac:dyDescent="0.2">
      <c r="A49" s="492"/>
      <c r="B49" s="493" t="s">
        <v>315</v>
      </c>
      <c r="C49" s="494" t="s">
        <v>162</v>
      </c>
    </row>
    <row r="50" spans="1:3" x14ac:dyDescent="0.15">
      <c r="A50" s="489" t="s">
        <v>148</v>
      </c>
      <c r="B50" s="498">
        <f>ROUND(C50/C55,0)</f>
        <v>0</v>
      </c>
      <c r="C50" s="495">
        <v>0</v>
      </c>
    </row>
    <row r="51" spans="1:3" x14ac:dyDescent="0.15">
      <c r="A51" s="489" t="s">
        <v>151</v>
      </c>
      <c r="B51" s="525">
        <f>ROUND(C51/C55,0)</f>
        <v>573</v>
      </c>
      <c r="C51" s="496">
        <f>117000+55000</f>
        <v>172000</v>
      </c>
    </row>
    <row r="52" spans="1:3" ht="14" thickBot="1" x14ac:dyDescent="0.2">
      <c r="A52" s="490" t="s">
        <v>152</v>
      </c>
      <c r="B52" s="505">
        <f>C52/C55</f>
        <v>0</v>
      </c>
      <c r="C52" s="497">
        <f>SUM('Development Schedule'!K53:N53)</f>
        <v>0</v>
      </c>
    </row>
    <row r="53" spans="1:3" ht="14" thickBot="1" x14ac:dyDescent="0.2"/>
    <row r="54" spans="1:3" ht="14" thickBot="1" x14ac:dyDescent="0.2">
      <c r="A54" s="882" t="s">
        <v>171</v>
      </c>
      <c r="B54" s="883"/>
      <c r="C54" s="884"/>
    </row>
    <row r="55" spans="1:3" x14ac:dyDescent="0.15">
      <c r="A55" s="499" t="s">
        <v>314</v>
      </c>
      <c r="B55" s="500"/>
      <c r="C55" s="504">
        <v>300</v>
      </c>
    </row>
    <row r="56" spans="1:3" x14ac:dyDescent="0.15">
      <c r="A56" s="489" t="s">
        <v>173</v>
      </c>
      <c r="B56" s="9"/>
      <c r="C56" s="501">
        <v>0.1</v>
      </c>
    </row>
    <row r="57" spans="1:3" x14ac:dyDescent="0.15">
      <c r="A57" s="489" t="s">
        <v>174</v>
      </c>
      <c r="B57" s="9"/>
      <c r="C57" s="501">
        <v>0.03</v>
      </c>
    </row>
    <row r="58" spans="1:3" ht="14" thickBot="1" x14ac:dyDescent="0.2">
      <c r="A58" s="490" t="s">
        <v>175</v>
      </c>
      <c r="B58" s="491"/>
      <c r="C58" s="502">
        <v>0.09</v>
      </c>
    </row>
  </sheetData>
  <mergeCells count="5">
    <mergeCell ref="D3:F3"/>
    <mergeCell ref="G3:I3"/>
    <mergeCell ref="J3:M3"/>
    <mergeCell ref="A48:C48"/>
    <mergeCell ref="A54:C54"/>
  </mergeCells>
  <pageMargins left="0.5" right="0.5" top="1" bottom="0.5" header="0.5" footer="0.5"/>
  <pageSetup paperSize="4" orientation="landscape" r:id="rId1"/>
  <headerFooter alignWithMargins="0">
    <oddHeader>&amp;L&amp;"Arial,Bold"10. Income Statement: Structured Parking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A312A-F090-6146-BB24-E37565786DF8}">
  <dimension ref="A1:M72"/>
  <sheetViews>
    <sheetView topLeftCell="A50" zoomScale="140" zoomScaleNormal="140" workbookViewId="0">
      <selection activeCell="G69" sqref="G69"/>
    </sheetView>
  </sheetViews>
  <sheetFormatPr baseColWidth="10" defaultColWidth="9.1640625" defaultRowHeight="13" x14ac:dyDescent="0.15"/>
  <cols>
    <col min="1" max="1" width="25" style="1" customWidth="1"/>
    <col min="2" max="3" width="8.6640625" style="3" customWidth="1"/>
    <col min="4" max="12" width="8.6640625" style="1" customWidth="1"/>
    <col min="13" max="13" width="11.1640625" style="1" bestFit="1" customWidth="1"/>
    <col min="14" max="16384" width="9.1640625" style="1"/>
  </cols>
  <sheetData>
    <row r="1" spans="1:13" ht="14.25" customHeight="1" x14ac:dyDescent="0.15">
      <c r="L1" s="47" t="s">
        <v>352</v>
      </c>
      <c r="M1" s="48"/>
    </row>
    <row r="2" spans="1:13" ht="14.25" customHeight="1" x14ac:dyDescent="0.15">
      <c r="A2" s="62"/>
      <c r="B2" s="65"/>
      <c r="C2" s="65"/>
      <c r="D2" s="62"/>
      <c r="E2" s="62"/>
      <c r="F2" s="62"/>
      <c r="G2" s="62"/>
      <c r="H2" s="62"/>
      <c r="I2" s="62"/>
      <c r="J2" s="62"/>
      <c r="K2" s="62"/>
      <c r="L2" s="66"/>
      <c r="M2" s="67"/>
    </row>
    <row r="3" spans="1:13" ht="14.25" customHeight="1" x14ac:dyDescent="0.15">
      <c r="A3" s="62"/>
      <c r="B3" s="65"/>
      <c r="C3" s="65" t="s">
        <v>105</v>
      </c>
      <c r="D3" s="867" t="s">
        <v>59</v>
      </c>
      <c r="E3" s="868"/>
      <c r="F3" s="869"/>
      <c r="G3" s="867" t="s">
        <v>151</v>
      </c>
      <c r="H3" s="868"/>
      <c r="I3" s="869"/>
      <c r="J3" s="867" t="s">
        <v>152</v>
      </c>
      <c r="K3" s="868"/>
      <c r="L3" s="868"/>
      <c r="M3" s="869"/>
    </row>
    <row r="4" spans="1:13" ht="14.25" customHeight="1" x14ac:dyDescent="0.15">
      <c r="A4" s="58"/>
      <c r="B4" s="68" t="s">
        <v>29</v>
      </c>
      <c r="C4" s="127" t="s">
        <v>130</v>
      </c>
      <c r="D4" s="126">
        <v>2021</v>
      </c>
      <c r="E4" s="178">
        <f t="shared" ref="E4:M4" si="0">D4+1</f>
        <v>2022</v>
      </c>
      <c r="F4" s="179">
        <f t="shared" si="0"/>
        <v>2023</v>
      </c>
      <c r="G4" s="126">
        <f t="shared" si="0"/>
        <v>2024</v>
      </c>
      <c r="H4" s="178">
        <f t="shared" si="0"/>
        <v>2025</v>
      </c>
      <c r="I4" s="179">
        <f t="shared" si="0"/>
        <v>2026</v>
      </c>
      <c r="J4" s="126">
        <f t="shared" si="0"/>
        <v>2027</v>
      </c>
      <c r="K4" s="178">
        <f t="shared" si="0"/>
        <v>2028</v>
      </c>
      <c r="L4" s="178">
        <f t="shared" si="0"/>
        <v>2029</v>
      </c>
      <c r="M4" s="179">
        <f t="shared" si="0"/>
        <v>2030</v>
      </c>
    </row>
    <row r="5" spans="1:13" ht="18" customHeight="1" x14ac:dyDescent="0.15">
      <c r="A5" s="54" t="s">
        <v>16</v>
      </c>
      <c r="B5" s="69"/>
      <c r="C5" s="128"/>
      <c r="D5" s="180"/>
      <c r="E5" s="70"/>
      <c r="F5" s="181"/>
      <c r="G5" s="180"/>
      <c r="H5" s="70"/>
      <c r="I5" s="181"/>
      <c r="J5" s="180"/>
      <c r="K5" s="70"/>
      <c r="L5" s="70"/>
      <c r="M5" s="181"/>
    </row>
    <row r="6" spans="1:13" ht="18" customHeight="1" x14ac:dyDescent="0.15">
      <c r="A6" s="169" t="s">
        <v>327</v>
      </c>
      <c r="B6" s="69"/>
      <c r="C6" s="128"/>
      <c r="D6" s="180"/>
      <c r="E6" s="70"/>
      <c r="F6" s="181"/>
      <c r="G6" s="180"/>
      <c r="H6" s="70"/>
      <c r="I6" s="181"/>
      <c r="J6" s="180"/>
      <c r="K6" s="70"/>
      <c r="L6" s="70"/>
      <c r="M6" s="181"/>
    </row>
    <row r="7" spans="1:13" ht="14.25" customHeight="1" x14ac:dyDescent="0.15">
      <c r="A7" s="29" t="s">
        <v>12</v>
      </c>
      <c r="B7" s="32">
        <v>0.02</v>
      </c>
      <c r="C7" s="129"/>
      <c r="D7" s="182"/>
      <c r="E7" s="71"/>
      <c r="F7" s="183"/>
      <c r="G7" s="182"/>
      <c r="H7" s="71"/>
      <c r="I7" s="183"/>
      <c r="J7" s="182"/>
      <c r="K7" s="71"/>
      <c r="L7" s="71"/>
      <c r="M7" s="183"/>
    </row>
    <row r="8" spans="1:13" ht="14.25" customHeight="1" x14ac:dyDescent="0.15">
      <c r="A8" s="29" t="s">
        <v>70</v>
      </c>
      <c r="B8" s="61" t="s">
        <v>47</v>
      </c>
      <c r="C8" s="130"/>
      <c r="D8" s="184"/>
      <c r="E8" s="125"/>
      <c r="F8" s="197">
        <f>E8</f>
        <v>0</v>
      </c>
      <c r="G8" s="199"/>
      <c r="H8" s="125"/>
      <c r="I8" s="197"/>
      <c r="J8" s="199">
        <f>C65</f>
        <v>26000</v>
      </c>
      <c r="K8" s="125">
        <f t="shared" ref="K8:M9" si="1">J8</f>
        <v>26000</v>
      </c>
      <c r="L8" s="125">
        <f t="shared" si="1"/>
        <v>26000</v>
      </c>
      <c r="M8" s="197">
        <f t="shared" si="1"/>
        <v>26000</v>
      </c>
    </row>
    <row r="9" spans="1:13" ht="14.25" customHeight="1" x14ac:dyDescent="0.15">
      <c r="A9" s="29" t="s">
        <v>62</v>
      </c>
      <c r="B9" s="32">
        <v>0.9</v>
      </c>
      <c r="C9" s="129"/>
      <c r="D9" s="186"/>
      <c r="E9" s="141"/>
      <c r="F9" s="198">
        <f>F8*$B$9</f>
        <v>0</v>
      </c>
      <c r="G9" s="200">
        <f t="shared" ref="G9:I10" si="2">F9</f>
        <v>0</v>
      </c>
      <c r="H9" s="141">
        <f t="shared" si="2"/>
        <v>0</v>
      </c>
      <c r="I9" s="198">
        <f t="shared" si="2"/>
        <v>0</v>
      </c>
      <c r="J9" s="200">
        <f>J8*B9</f>
        <v>23400</v>
      </c>
      <c r="K9" s="141">
        <f t="shared" si="1"/>
        <v>23400</v>
      </c>
      <c r="L9" s="141">
        <f t="shared" si="1"/>
        <v>23400</v>
      </c>
      <c r="M9" s="198">
        <f t="shared" si="1"/>
        <v>23400</v>
      </c>
    </row>
    <row r="10" spans="1:13" ht="14.25" customHeight="1" x14ac:dyDescent="0.15">
      <c r="A10" s="29" t="s">
        <v>71</v>
      </c>
      <c r="B10" s="32"/>
      <c r="C10" s="129">
        <v>1</v>
      </c>
      <c r="D10" s="220">
        <v>0</v>
      </c>
      <c r="E10" s="175">
        <v>1</v>
      </c>
      <c r="F10" s="709">
        <v>1</v>
      </c>
      <c r="G10" s="710">
        <f t="shared" si="2"/>
        <v>1</v>
      </c>
      <c r="H10" s="711">
        <f t="shared" si="2"/>
        <v>1</v>
      </c>
      <c r="I10" s="709">
        <f t="shared" si="2"/>
        <v>1</v>
      </c>
      <c r="J10" s="710">
        <v>0.3</v>
      </c>
      <c r="K10" s="711">
        <v>0.2</v>
      </c>
      <c r="L10" s="711">
        <v>0.1</v>
      </c>
      <c r="M10" s="709">
        <f>L10</f>
        <v>0.1</v>
      </c>
    </row>
    <row r="11" spans="1:13" ht="14.25" customHeight="1" x14ac:dyDescent="0.15">
      <c r="A11" s="45" t="s">
        <v>72</v>
      </c>
      <c r="B11" s="63"/>
      <c r="C11" s="176">
        <f>'Summary Board'!J135</f>
        <v>26.93</v>
      </c>
      <c r="D11" s="187">
        <f>C11*(1+$B$7)</f>
        <v>27.468599999999999</v>
      </c>
      <c r="E11" s="177">
        <f t="shared" ref="E11:M11" si="3">D11*(1+$B$7)</f>
        <v>28.017972</v>
      </c>
      <c r="F11" s="188">
        <f t="shared" si="3"/>
        <v>28.578331439999999</v>
      </c>
      <c r="G11" s="187">
        <f t="shared" si="3"/>
        <v>29.149898068799999</v>
      </c>
      <c r="H11" s="177">
        <f t="shared" si="3"/>
        <v>29.732896030176001</v>
      </c>
      <c r="I11" s="188">
        <f t="shared" si="3"/>
        <v>30.327553950779521</v>
      </c>
      <c r="J11" s="187">
        <f t="shared" si="3"/>
        <v>30.934105029795113</v>
      </c>
      <c r="K11" s="177">
        <f t="shared" si="3"/>
        <v>31.552787130391014</v>
      </c>
      <c r="L11" s="177">
        <f t="shared" si="3"/>
        <v>32.183842872998838</v>
      </c>
      <c r="M11" s="188">
        <f t="shared" si="3"/>
        <v>32.827519730458818</v>
      </c>
    </row>
    <row r="12" spans="1:13" ht="14.25" customHeight="1" x14ac:dyDescent="0.15">
      <c r="A12" s="119" t="s">
        <v>18</v>
      </c>
      <c r="B12" s="69"/>
      <c r="C12" s="128"/>
      <c r="D12" s="203"/>
      <c r="E12" s="204">
        <f>E9*(1-E10)*E11</f>
        <v>0</v>
      </c>
      <c r="F12" s="196">
        <f t="shared" ref="F12:M12" si="4">F9*(1-F10)*F11</f>
        <v>0</v>
      </c>
      <c r="G12" s="206">
        <f t="shared" si="4"/>
        <v>0</v>
      </c>
      <c r="H12" s="204">
        <f t="shared" si="4"/>
        <v>0</v>
      </c>
      <c r="I12" s="196">
        <f t="shared" si="4"/>
        <v>0</v>
      </c>
      <c r="J12" s="206">
        <f t="shared" si="4"/>
        <v>506700.64038804389</v>
      </c>
      <c r="K12" s="204">
        <f t="shared" si="4"/>
        <v>590668.17508091975</v>
      </c>
      <c r="L12" s="204">
        <f t="shared" si="4"/>
        <v>677791.73090535554</v>
      </c>
      <c r="M12" s="196">
        <f t="shared" si="4"/>
        <v>691347.56552346272</v>
      </c>
    </row>
    <row r="13" spans="1:13" ht="14.25" customHeight="1" x14ac:dyDescent="0.15">
      <c r="A13" s="119" t="s">
        <v>185</v>
      </c>
      <c r="B13" s="69"/>
      <c r="C13" s="128"/>
      <c r="D13" s="189"/>
      <c r="E13" s="172"/>
      <c r="F13" s="190"/>
      <c r="G13" s="189"/>
      <c r="H13" s="172"/>
      <c r="I13" s="190"/>
      <c r="J13" s="189"/>
      <c r="K13" s="172"/>
      <c r="L13" s="172"/>
      <c r="M13" s="190"/>
    </row>
    <row r="14" spans="1:13" ht="14.25" customHeight="1" x14ac:dyDescent="0.15">
      <c r="A14" s="146" t="s">
        <v>186</v>
      </c>
      <c r="B14" s="162"/>
      <c r="C14" s="173"/>
      <c r="D14" s="201"/>
      <c r="E14" s="202">
        <f t="shared" ref="E14:M14" si="5">E12*-$D$69</f>
        <v>0</v>
      </c>
      <c r="F14" s="205">
        <f t="shared" si="5"/>
        <v>0</v>
      </c>
      <c r="G14" s="201">
        <f t="shared" si="5"/>
        <v>0</v>
      </c>
      <c r="H14" s="202">
        <f t="shared" si="5"/>
        <v>0</v>
      </c>
      <c r="I14" s="205">
        <f t="shared" si="5"/>
        <v>0</v>
      </c>
      <c r="J14" s="201">
        <f t="shared" si="5"/>
        <v>-126675.16009701097</v>
      </c>
      <c r="K14" s="202">
        <f t="shared" si="5"/>
        <v>-147667.04377022994</v>
      </c>
      <c r="L14" s="202">
        <f t="shared" si="5"/>
        <v>-169447.93272633888</v>
      </c>
      <c r="M14" s="205">
        <f t="shared" si="5"/>
        <v>-172836.89138086568</v>
      </c>
    </row>
    <row r="15" spans="1:13" ht="18" customHeight="1" x14ac:dyDescent="0.15">
      <c r="A15" s="169" t="s">
        <v>350</v>
      </c>
      <c r="B15" s="69"/>
      <c r="C15" s="128"/>
      <c r="D15" s="180"/>
      <c r="E15" s="70"/>
      <c r="F15" s="181"/>
      <c r="G15" s="180"/>
      <c r="H15" s="70"/>
      <c r="I15" s="181"/>
      <c r="J15" s="180"/>
      <c r="K15" s="70"/>
      <c r="L15" s="70"/>
      <c r="M15" s="181"/>
    </row>
    <row r="16" spans="1:13" ht="14.25" customHeight="1" x14ac:dyDescent="0.15">
      <c r="A16" s="29" t="s">
        <v>12</v>
      </c>
      <c r="B16" s="32">
        <v>0.02</v>
      </c>
      <c r="C16" s="129"/>
      <c r="D16" s="182"/>
      <c r="E16" s="71"/>
      <c r="F16" s="183"/>
      <c r="G16" s="182"/>
      <c r="H16" s="71"/>
      <c r="I16" s="183"/>
      <c r="J16" s="182"/>
      <c r="K16" s="71"/>
      <c r="L16" s="71"/>
      <c r="M16" s="183"/>
    </row>
    <row r="17" spans="1:13" ht="14.25" customHeight="1" x14ac:dyDescent="0.15">
      <c r="A17" s="29" t="s">
        <v>336</v>
      </c>
      <c r="B17" s="61">
        <v>10</v>
      </c>
      <c r="C17" s="130"/>
      <c r="D17" s="184"/>
      <c r="E17" s="125">
        <v>0</v>
      </c>
      <c r="F17" s="197">
        <v>10</v>
      </c>
      <c r="G17" s="199">
        <f t="shared" ref="G17:M17" si="6">F17</f>
        <v>10</v>
      </c>
      <c r="H17" s="125">
        <f t="shared" si="6"/>
        <v>10</v>
      </c>
      <c r="I17" s="197">
        <f t="shared" si="6"/>
        <v>10</v>
      </c>
      <c r="J17" s="199">
        <f t="shared" si="6"/>
        <v>10</v>
      </c>
      <c r="K17" s="125">
        <f t="shared" si="6"/>
        <v>10</v>
      </c>
      <c r="L17" s="125">
        <f t="shared" si="6"/>
        <v>10</v>
      </c>
      <c r="M17" s="197">
        <f t="shared" si="6"/>
        <v>10</v>
      </c>
    </row>
    <row r="18" spans="1:13" ht="14.25" customHeight="1" x14ac:dyDescent="0.15">
      <c r="A18" s="29" t="s">
        <v>338</v>
      </c>
      <c r="B18" s="61">
        <v>60</v>
      </c>
      <c r="C18" s="129"/>
      <c r="D18" s="186"/>
      <c r="E18" s="141"/>
      <c r="F18" s="198"/>
      <c r="G18" s="200"/>
      <c r="H18" s="141"/>
      <c r="I18" s="198"/>
      <c r="J18" s="200"/>
      <c r="K18" s="141"/>
      <c r="L18" s="141"/>
      <c r="M18" s="198"/>
    </row>
    <row r="19" spans="1:13" ht="14.25" customHeight="1" x14ac:dyDescent="0.15">
      <c r="A19" s="45" t="s">
        <v>337</v>
      </c>
      <c r="B19" s="63"/>
      <c r="C19" s="176">
        <v>1000</v>
      </c>
      <c r="D19" s="187">
        <f>C19*(1+$B$7)</f>
        <v>1020</v>
      </c>
      <c r="E19" s="177">
        <f t="shared" ref="E19:M19" si="7">D19*(1+$B$7)</f>
        <v>1040.4000000000001</v>
      </c>
      <c r="F19" s="188">
        <f t="shared" si="7"/>
        <v>1061.2080000000001</v>
      </c>
      <c r="G19" s="187">
        <f t="shared" si="7"/>
        <v>1082.4321600000001</v>
      </c>
      <c r="H19" s="177">
        <f t="shared" si="7"/>
        <v>1104.0808032</v>
      </c>
      <c r="I19" s="188">
        <f t="shared" si="7"/>
        <v>1126.1624192639999</v>
      </c>
      <c r="J19" s="187">
        <f t="shared" si="7"/>
        <v>1148.68566764928</v>
      </c>
      <c r="K19" s="177">
        <f t="shared" si="7"/>
        <v>1171.6593810022657</v>
      </c>
      <c r="L19" s="177">
        <f t="shared" si="7"/>
        <v>1195.0925686223111</v>
      </c>
      <c r="M19" s="188">
        <f t="shared" si="7"/>
        <v>1218.9944199947574</v>
      </c>
    </row>
    <row r="20" spans="1:13" ht="14.25" customHeight="1" x14ac:dyDescent="0.15">
      <c r="A20" s="119" t="s">
        <v>335</v>
      </c>
      <c r="B20" s="69"/>
      <c r="C20" s="128"/>
      <c r="D20" s="203"/>
      <c r="E20" s="204">
        <f>E17*E19*$B$18</f>
        <v>0</v>
      </c>
      <c r="F20" s="196">
        <f t="shared" ref="F20:M20" si="8">F17*F19*$B$18</f>
        <v>636724.80000000005</v>
      </c>
      <c r="G20" s="204">
        <f t="shared" si="8"/>
        <v>649459.29600000009</v>
      </c>
      <c r="H20" s="204">
        <f t="shared" si="8"/>
        <v>662448.48192000005</v>
      </c>
      <c r="I20" s="196">
        <f t="shared" si="8"/>
        <v>675697.45155839995</v>
      </c>
      <c r="J20" s="204">
        <f t="shared" si="8"/>
        <v>689211.40058956796</v>
      </c>
      <c r="K20" s="204">
        <f t="shared" si="8"/>
        <v>702995.62860135944</v>
      </c>
      <c r="L20" s="204">
        <f t="shared" si="8"/>
        <v>717055.54117338662</v>
      </c>
      <c r="M20" s="196">
        <f t="shared" si="8"/>
        <v>731396.65199685446</v>
      </c>
    </row>
    <row r="21" spans="1:13" ht="14.25" customHeight="1" x14ac:dyDescent="0.15">
      <c r="A21" s="119" t="s">
        <v>185</v>
      </c>
      <c r="B21" s="69"/>
      <c r="C21" s="128"/>
      <c r="D21" s="189"/>
      <c r="E21" s="172"/>
      <c r="F21" s="190"/>
      <c r="G21" s="189"/>
      <c r="H21" s="172"/>
      <c r="I21" s="190"/>
      <c r="J21" s="189"/>
      <c r="K21" s="172"/>
      <c r="L21" s="172"/>
      <c r="M21" s="190"/>
    </row>
    <row r="22" spans="1:13" ht="14.25" customHeight="1" x14ac:dyDescent="0.15">
      <c r="A22" s="146" t="s">
        <v>186</v>
      </c>
      <c r="B22" s="162"/>
      <c r="C22" s="173"/>
      <c r="D22" s="201"/>
      <c r="E22" s="202">
        <f t="shared" ref="E22:M22" si="9">E20*-$D$69</f>
        <v>0</v>
      </c>
      <c r="F22" s="205">
        <f t="shared" si="9"/>
        <v>-159181.20000000001</v>
      </c>
      <c r="G22" s="201">
        <f t="shared" si="9"/>
        <v>-162364.82400000002</v>
      </c>
      <c r="H22" s="202">
        <f t="shared" si="9"/>
        <v>-165612.12048000001</v>
      </c>
      <c r="I22" s="205">
        <f t="shared" si="9"/>
        <v>-168924.36288959999</v>
      </c>
      <c r="J22" s="201">
        <f t="shared" si="9"/>
        <v>-172302.85014739199</v>
      </c>
      <c r="K22" s="202">
        <f t="shared" si="9"/>
        <v>-175748.90715033986</v>
      </c>
      <c r="L22" s="202">
        <f t="shared" si="9"/>
        <v>-179263.88529334666</v>
      </c>
      <c r="M22" s="205">
        <f t="shared" si="9"/>
        <v>-182849.16299921361</v>
      </c>
    </row>
    <row r="23" spans="1:13" ht="18" customHeight="1" x14ac:dyDescent="0.15">
      <c r="A23" s="169" t="s">
        <v>346</v>
      </c>
      <c r="B23" s="69"/>
      <c r="C23" s="128"/>
      <c r="D23" s="180"/>
      <c r="E23" s="70"/>
      <c r="F23" s="181"/>
      <c r="G23" s="180"/>
      <c r="H23" s="70"/>
      <c r="I23" s="181"/>
      <c r="J23" s="180"/>
      <c r="K23" s="70"/>
      <c r="L23" s="70"/>
      <c r="M23" s="181"/>
    </row>
    <row r="24" spans="1:13" ht="14.25" customHeight="1" x14ac:dyDescent="0.15">
      <c r="A24" s="29" t="s">
        <v>12</v>
      </c>
      <c r="B24" s="32">
        <v>0.02</v>
      </c>
      <c r="C24" s="129"/>
      <c r="D24" s="182"/>
      <c r="E24" s="71"/>
      <c r="F24" s="183"/>
      <c r="G24" s="182"/>
      <c r="H24" s="71"/>
      <c r="I24" s="183"/>
      <c r="J24" s="182"/>
      <c r="K24" s="71"/>
      <c r="L24" s="71"/>
      <c r="M24" s="183"/>
    </row>
    <row r="25" spans="1:13" ht="14.25" customHeight="1" x14ac:dyDescent="0.15">
      <c r="A25" s="29" t="s">
        <v>340</v>
      </c>
      <c r="B25" s="61">
        <v>4</v>
      </c>
      <c r="C25" s="130"/>
      <c r="D25" s="184"/>
      <c r="E25" s="125"/>
      <c r="F25" s="197">
        <f>B25</f>
        <v>4</v>
      </c>
      <c r="G25" s="199">
        <f>F25</f>
        <v>4</v>
      </c>
      <c r="H25" s="125">
        <f>G25</f>
        <v>4</v>
      </c>
      <c r="I25" s="197">
        <f>H25</f>
        <v>4</v>
      </c>
      <c r="J25" s="199">
        <f>I25</f>
        <v>4</v>
      </c>
      <c r="K25" s="125"/>
      <c r="L25" s="125">
        <f>K25</f>
        <v>0</v>
      </c>
      <c r="M25" s="197">
        <f>L25</f>
        <v>0</v>
      </c>
    </row>
    <row r="26" spans="1:13" ht="14.25" customHeight="1" x14ac:dyDescent="0.15">
      <c r="A26" s="29" t="s">
        <v>338</v>
      </c>
      <c r="B26" s="61">
        <v>40</v>
      </c>
      <c r="C26" s="129"/>
      <c r="D26" s="186"/>
      <c r="E26" s="141"/>
      <c r="F26" s="198"/>
      <c r="G26" s="200"/>
      <c r="H26" s="141"/>
      <c r="I26" s="198"/>
      <c r="J26" s="200"/>
      <c r="K26" s="141"/>
      <c r="L26" s="141"/>
      <c r="M26" s="198"/>
    </row>
    <row r="27" spans="1:13" ht="14.25" customHeight="1" x14ac:dyDescent="0.15">
      <c r="A27" s="45" t="s">
        <v>341</v>
      </c>
      <c r="B27" s="63"/>
      <c r="C27" s="656">
        <v>2000</v>
      </c>
      <c r="D27" s="187">
        <f>C27*(1+$B$7)</f>
        <v>2040</v>
      </c>
      <c r="E27" s="177">
        <f t="shared" ref="E27:M27" si="10">D27*(1+$B$7)</f>
        <v>2080.8000000000002</v>
      </c>
      <c r="F27" s="188">
        <f t="shared" si="10"/>
        <v>2122.4160000000002</v>
      </c>
      <c r="G27" s="187">
        <f t="shared" si="10"/>
        <v>2164.8643200000001</v>
      </c>
      <c r="H27" s="177">
        <f t="shared" si="10"/>
        <v>2208.1616064</v>
      </c>
      <c r="I27" s="188">
        <f t="shared" si="10"/>
        <v>2252.3248385279999</v>
      </c>
      <c r="J27" s="187">
        <f t="shared" si="10"/>
        <v>2297.3713352985601</v>
      </c>
      <c r="K27" s="177">
        <f t="shared" si="10"/>
        <v>2343.3187620045314</v>
      </c>
      <c r="L27" s="177">
        <f t="shared" si="10"/>
        <v>2390.1851372446222</v>
      </c>
      <c r="M27" s="188">
        <f t="shared" si="10"/>
        <v>2437.9888399895149</v>
      </c>
    </row>
    <row r="28" spans="1:13" ht="14.25" customHeight="1" x14ac:dyDescent="0.15">
      <c r="A28" s="119" t="s">
        <v>342</v>
      </c>
      <c r="B28" s="69"/>
      <c r="C28" s="128"/>
      <c r="D28" s="189"/>
      <c r="E28" s="195"/>
      <c r="F28" s="196">
        <f>F25*$B$34*F27</f>
        <v>203751.93600000002</v>
      </c>
      <c r="G28" s="195">
        <f t="shared" ref="G28" si="11">G25*$B$34*G27</f>
        <v>207826.97472</v>
      </c>
      <c r="H28" s="195">
        <f t="shared" ref="H28" si="12">H25*$B$34*H27</f>
        <v>211983.5142144</v>
      </c>
      <c r="I28" s="196">
        <f t="shared" ref="I28" si="13">I25*$B$34*I27</f>
        <v>216223.18449868797</v>
      </c>
      <c r="J28" s="195">
        <f t="shared" ref="J28" si="14">J25*$B$34*J27</f>
        <v>220547.64818866178</v>
      </c>
      <c r="K28" s="195">
        <f t="shared" ref="K28" si="15">K25*$B$34*K27</f>
        <v>0</v>
      </c>
      <c r="L28" s="195">
        <f t="shared" ref="L28" si="16">L25*$B$34*L27</f>
        <v>0</v>
      </c>
      <c r="M28" s="196">
        <f t="shared" ref="M28" si="17">M25*$B$34*M27</f>
        <v>0</v>
      </c>
    </row>
    <row r="29" spans="1:13" ht="14.25" customHeight="1" x14ac:dyDescent="0.15">
      <c r="A29" s="119" t="s">
        <v>185</v>
      </c>
      <c r="B29" s="69"/>
      <c r="C29" s="128"/>
      <c r="D29" s="189"/>
      <c r="E29" s="172"/>
      <c r="F29" s="190"/>
      <c r="G29" s="189"/>
      <c r="H29" s="172"/>
      <c r="I29" s="190"/>
      <c r="J29" s="189"/>
      <c r="K29" s="172"/>
      <c r="L29" s="172"/>
      <c r="M29" s="190"/>
    </row>
    <row r="30" spans="1:13" ht="14.25" customHeight="1" x14ac:dyDescent="0.15">
      <c r="A30" s="146" t="s">
        <v>186</v>
      </c>
      <c r="B30" s="162"/>
      <c r="C30" s="173"/>
      <c r="D30" s="201"/>
      <c r="E30" s="202">
        <f>E28*-$D$69</f>
        <v>0</v>
      </c>
      <c r="F30" s="205">
        <f t="shared" ref="F30:M30" si="18">F28*-$D$69</f>
        <v>-50937.984000000004</v>
      </c>
      <c r="G30" s="201">
        <f t="shared" si="18"/>
        <v>-51956.74368</v>
      </c>
      <c r="H30" s="202">
        <f t="shared" si="18"/>
        <v>-52995.8785536</v>
      </c>
      <c r="I30" s="205">
        <f t="shared" si="18"/>
        <v>-54055.796124671993</v>
      </c>
      <c r="J30" s="201">
        <f t="shared" si="18"/>
        <v>-55136.912047165446</v>
      </c>
      <c r="K30" s="202">
        <f t="shared" si="18"/>
        <v>0</v>
      </c>
      <c r="L30" s="202">
        <f t="shared" si="18"/>
        <v>0</v>
      </c>
      <c r="M30" s="205">
        <f t="shared" si="18"/>
        <v>0</v>
      </c>
    </row>
    <row r="31" spans="1:13" ht="18" customHeight="1" x14ac:dyDescent="0.15">
      <c r="A31" s="169" t="s">
        <v>347</v>
      </c>
      <c r="B31" s="69"/>
      <c r="C31" s="128"/>
      <c r="D31" s="180"/>
      <c r="E31" s="70"/>
      <c r="F31" s="181"/>
      <c r="G31" s="180"/>
      <c r="H31" s="70"/>
      <c r="I31" s="181"/>
      <c r="J31" s="180"/>
      <c r="K31" s="70"/>
      <c r="L31" s="70"/>
      <c r="M31" s="181"/>
    </row>
    <row r="32" spans="1:13" ht="14.25" customHeight="1" x14ac:dyDescent="0.15">
      <c r="A32" s="29" t="s">
        <v>12</v>
      </c>
      <c r="B32" s="32">
        <v>0.02</v>
      </c>
      <c r="C32" s="129"/>
      <c r="D32" s="182"/>
      <c r="E32" s="71"/>
      <c r="F32" s="183"/>
      <c r="G32" s="182"/>
      <c r="H32" s="71"/>
      <c r="I32" s="183"/>
      <c r="J32" s="182"/>
      <c r="K32" s="71"/>
      <c r="L32" s="71"/>
      <c r="M32" s="183"/>
    </row>
    <row r="33" spans="1:13" ht="14.25" customHeight="1" x14ac:dyDescent="0.15">
      <c r="A33" s="29" t="s">
        <v>348</v>
      </c>
      <c r="B33" s="61">
        <v>300</v>
      </c>
      <c r="C33" s="130"/>
      <c r="D33" s="184"/>
      <c r="E33" s="125"/>
      <c r="F33" s="197">
        <f>B33</f>
        <v>300</v>
      </c>
      <c r="G33" s="199">
        <f>F33</f>
        <v>300</v>
      </c>
      <c r="H33" s="125">
        <f>G33</f>
        <v>300</v>
      </c>
      <c r="I33" s="197">
        <f>H33</f>
        <v>300</v>
      </c>
      <c r="J33" s="199">
        <f>I33</f>
        <v>300</v>
      </c>
      <c r="K33" s="125"/>
      <c r="L33" s="125">
        <f>K33</f>
        <v>0</v>
      </c>
      <c r="M33" s="197">
        <f>L33</f>
        <v>0</v>
      </c>
    </row>
    <row r="34" spans="1:13" ht="14.25" customHeight="1" x14ac:dyDescent="0.15">
      <c r="A34" s="29" t="s">
        <v>351</v>
      </c>
      <c r="B34" s="61">
        <v>24</v>
      </c>
      <c r="C34" s="129"/>
      <c r="D34" s="186"/>
      <c r="E34" s="141"/>
      <c r="F34" s="198"/>
      <c r="G34" s="200"/>
      <c r="H34" s="141"/>
      <c r="I34" s="198"/>
      <c r="J34" s="200"/>
      <c r="K34" s="141"/>
      <c r="L34" s="141"/>
      <c r="M34" s="198"/>
    </row>
    <row r="35" spans="1:13" ht="14.25" customHeight="1" x14ac:dyDescent="0.15">
      <c r="A35" s="45" t="s">
        <v>349</v>
      </c>
      <c r="B35" s="63"/>
      <c r="C35" s="656">
        <v>5</v>
      </c>
      <c r="D35" s="187">
        <f>C35*(1+$B$7)</f>
        <v>5.0999999999999996</v>
      </c>
      <c r="E35" s="177">
        <f t="shared" ref="E35:M35" si="19">D35*(1+$B$7)</f>
        <v>5.202</v>
      </c>
      <c r="F35" s="188">
        <f t="shared" si="19"/>
        <v>5.3060400000000003</v>
      </c>
      <c r="G35" s="187">
        <f t="shared" si="19"/>
        <v>5.4121608000000005</v>
      </c>
      <c r="H35" s="177">
        <f t="shared" si="19"/>
        <v>5.5204040160000005</v>
      </c>
      <c r="I35" s="188">
        <f t="shared" si="19"/>
        <v>5.6308120963200006</v>
      </c>
      <c r="J35" s="187">
        <f t="shared" si="19"/>
        <v>5.7434283382464004</v>
      </c>
      <c r="K35" s="177">
        <f t="shared" si="19"/>
        <v>5.8582969050113283</v>
      </c>
      <c r="L35" s="177">
        <f t="shared" si="19"/>
        <v>5.9754628431115551</v>
      </c>
      <c r="M35" s="188">
        <f t="shared" si="19"/>
        <v>6.094972099973786</v>
      </c>
    </row>
    <row r="36" spans="1:13" ht="14.25" customHeight="1" x14ac:dyDescent="0.15">
      <c r="A36" s="119" t="s">
        <v>342</v>
      </c>
      <c r="B36" s="69"/>
      <c r="C36" s="128"/>
      <c r="D36" s="189"/>
      <c r="E36" s="195"/>
      <c r="F36" s="196">
        <f>F33*$B$34*F35</f>
        <v>38203.488000000005</v>
      </c>
      <c r="G36" s="195">
        <f t="shared" ref="G36:M36" si="20">G33*$B$34*G35</f>
        <v>38967.557760000003</v>
      </c>
      <c r="H36" s="195">
        <f t="shared" si="20"/>
        <v>39746.908915200002</v>
      </c>
      <c r="I36" s="196">
        <f t="shared" si="20"/>
        <v>40541.847093504002</v>
      </c>
      <c r="J36" s="195">
        <f t="shared" si="20"/>
        <v>41352.684035374084</v>
      </c>
      <c r="K36" s="195">
        <f t="shared" si="20"/>
        <v>0</v>
      </c>
      <c r="L36" s="195">
        <f t="shared" si="20"/>
        <v>0</v>
      </c>
      <c r="M36" s="196">
        <f t="shared" si="20"/>
        <v>0</v>
      </c>
    </row>
    <row r="37" spans="1:13" ht="14.25" customHeight="1" x14ac:dyDescent="0.15">
      <c r="A37" s="119" t="s">
        <v>185</v>
      </c>
      <c r="B37" s="69"/>
      <c r="C37" s="128"/>
      <c r="D37" s="189"/>
      <c r="E37" s="172"/>
      <c r="F37" s="190"/>
      <c r="G37" s="189"/>
      <c r="H37" s="172"/>
      <c r="I37" s="190"/>
      <c r="J37" s="189"/>
      <c r="K37" s="172"/>
      <c r="L37" s="172"/>
      <c r="M37" s="190"/>
    </row>
    <row r="38" spans="1:13" ht="14.25" customHeight="1" x14ac:dyDescent="0.15">
      <c r="A38" s="146" t="s">
        <v>186</v>
      </c>
      <c r="B38" s="162"/>
      <c r="C38" s="173"/>
      <c r="D38" s="201"/>
      <c r="E38" s="202">
        <f>E36*-$D$69</f>
        <v>0</v>
      </c>
      <c r="F38" s="205">
        <f t="shared" ref="F38:M38" si="21">F36*-$D$69</f>
        <v>-9550.8720000000012</v>
      </c>
      <c r="G38" s="201">
        <f t="shared" si="21"/>
        <v>-9741.8894400000008</v>
      </c>
      <c r="H38" s="202">
        <f t="shared" si="21"/>
        <v>-9936.7272288000004</v>
      </c>
      <c r="I38" s="205">
        <f t="shared" si="21"/>
        <v>-10135.461773376001</v>
      </c>
      <c r="J38" s="201">
        <f t="shared" si="21"/>
        <v>-10338.171008843521</v>
      </c>
      <c r="K38" s="202">
        <f t="shared" si="21"/>
        <v>0</v>
      </c>
      <c r="L38" s="202">
        <f t="shared" si="21"/>
        <v>0</v>
      </c>
      <c r="M38" s="205">
        <f t="shared" si="21"/>
        <v>0</v>
      </c>
    </row>
    <row r="39" spans="1:13" ht="18" customHeight="1" x14ac:dyDescent="0.15">
      <c r="A39" s="54" t="s">
        <v>0</v>
      </c>
      <c r="B39" s="61"/>
      <c r="C39" s="209"/>
      <c r="D39" s="210"/>
      <c r="E39" s="211"/>
      <c r="F39" s="212"/>
      <c r="G39" s="210"/>
      <c r="H39" s="211"/>
      <c r="I39" s="212"/>
      <c r="J39" s="210"/>
      <c r="K39" s="211"/>
      <c r="L39" s="211"/>
      <c r="M39" s="212"/>
    </row>
    <row r="40" spans="1:13" ht="14.25" customHeight="1" x14ac:dyDescent="0.15">
      <c r="A40" s="29" t="s">
        <v>339</v>
      </c>
      <c r="B40" s="28"/>
      <c r="C40" s="207"/>
      <c r="D40" s="213">
        <f>SUM(D12,D20,D28,D36)</f>
        <v>0</v>
      </c>
      <c r="E40" s="195">
        <f t="shared" ref="E40:M40" si="22">SUM(E12,E20,E28,E36)</f>
        <v>0</v>
      </c>
      <c r="F40" s="195">
        <f t="shared" si="22"/>
        <v>878680.22400000005</v>
      </c>
      <c r="G40" s="213">
        <f t="shared" si="22"/>
        <v>896253.82848000014</v>
      </c>
      <c r="H40" s="195">
        <f t="shared" si="22"/>
        <v>914178.90504960006</v>
      </c>
      <c r="I40" s="195">
        <f t="shared" si="22"/>
        <v>932462.48315059196</v>
      </c>
      <c r="J40" s="213">
        <f t="shared" si="22"/>
        <v>1457812.3732016478</v>
      </c>
      <c r="K40" s="195">
        <f t="shared" si="22"/>
        <v>1293663.8036822793</v>
      </c>
      <c r="L40" s="195">
        <f t="shared" si="22"/>
        <v>1394847.2720787423</v>
      </c>
      <c r="M40" s="214">
        <f t="shared" si="22"/>
        <v>1422744.2175203171</v>
      </c>
    </row>
    <row r="41" spans="1:13" ht="14.25" hidden="1" customHeight="1" x14ac:dyDescent="0.15">
      <c r="A41" s="219" t="s">
        <v>293</v>
      </c>
      <c r="B41" s="143">
        <v>0</v>
      </c>
      <c r="C41" s="427"/>
      <c r="D41" s="428"/>
      <c r="E41" s="429"/>
      <c r="F41" s="430"/>
      <c r="G41" s="428"/>
      <c r="H41" s="429"/>
      <c r="I41" s="430"/>
      <c r="J41" s="428"/>
      <c r="K41" s="429"/>
      <c r="L41" s="429"/>
      <c r="M41" s="430"/>
    </row>
    <row r="42" spans="1:13" s="39" customFormat="1" ht="28" x14ac:dyDescent="0.15">
      <c r="A42" s="64" t="s">
        <v>109</v>
      </c>
      <c r="B42" s="38"/>
      <c r="C42" s="208"/>
      <c r="D42" s="646">
        <f t="shared" ref="D42:M42" si="23">SUM(D14,D22,D30,D38)</f>
        <v>0</v>
      </c>
      <c r="E42" s="647">
        <f t="shared" si="23"/>
        <v>0</v>
      </c>
      <c r="F42" s="648">
        <f t="shared" si="23"/>
        <v>-219670.05600000001</v>
      </c>
      <c r="G42" s="646">
        <f t="shared" si="23"/>
        <v>-224063.45712000004</v>
      </c>
      <c r="H42" s="647">
        <f t="shared" si="23"/>
        <v>-228544.72626240001</v>
      </c>
      <c r="I42" s="648">
        <f t="shared" si="23"/>
        <v>-233115.62078764799</v>
      </c>
      <c r="J42" s="646">
        <f t="shared" si="23"/>
        <v>-364453.09330041194</v>
      </c>
      <c r="K42" s="647">
        <f t="shared" si="23"/>
        <v>-323415.95092056983</v>
      </c>
      <c r="L42" s="647">
        <f t="shared" si="23"/>
        <v>-348711.81801968557</v>
      </c>
      <c r="M42" s="648">
        <f t="shared" si="23"/>
        <v>-355686.05438007927</v>
      </c>
    </row>
    <row r="43" spans="1:13" ht="14.25" customHeight="1" x14ac:dyDescent="0.15">
      <c r="A43" s="72" t="s">
        <v>5</v>
      </c>
      <c r="B43" s="34"/>
      <c r="C43" s="191"/>
      <c r="D43" s="216">
        <f t="shared" ref="D43:M43" si="24">SUM(D40:D42)</f>
        <v>0</v>
      </c>
      <c r="E43" s="217">
        <f t="shared" si="24"/>
        <v>0</v>
      </c>
      <c r="F43" s="218">
        <f t="shared" si="24"/>
        <v>659010.16800000006</v>
      </c>
      <c r="G43" s="216">
        <f t="shared" si="24"/>
        <v>672190.37136000011</v>
      </c>
      <c r="H43" s="217">
        <f t="shared" si="24"/>
        <v>685634.17878720001</v>
      </c>
      <c r="I43" s="218">
        <f t="shared" si="24"/>
        <v>699346.86236294394</v>
      </c>
      <c r="J43" s="216">
        <f t="shared" si="24"/>
        <v>1093359.2799012358</v>
      </c>
      <c r="K43" s="217">
        <f t="shared" si="24"/>
        <v>970247.85276170948</v>
      </c>
      <c r="L43" s="217">
        <f t="shared" si="24"/>
        <v>1046135.4540590567</v>
      </c>
      <c r="M43" s="218">
        <f t="shared" si="24"/>
        <v>1067058.1631402378</v>
      </c>
    </row>
    <row r="44" spans="1:13" ht="18" customHeight="1" x14ac:dyDescent="0.15">
      <c r="A44" s="54" t="s">
        <v>2</v>
      </c>
      <c r="B44" s="61"/>
      <c r="C44" s="130"/>
      <c r="D44" s="184"/>
      <c r="E44" s="36"/>
      <c r="F44" s="185"/>
      <c r="G44" s="184"/>
      <c r="H44" s="36"/>
      <c r="I44" s="185"/>
      <c r="J44" s="184"/>
      <c r="K44" s="36"/>
      <c r="L44" s="36"/>
      <c r="M44" s="185"/>
    </row>
    <row r="45" spans="1:13" ht="14.25" customHeight="1" x14ac:dyDescent="0.15">
      <c r="A45" s="29" t="s">
        <v>14</v>
      </c>
      <c r="B45" s="28"/>
      <c r="C45" s="131"/>
      <c r="D45" s="221"/>
      <c r="E45" s="77"/>
      <c r="F45" s="222"/>
      <c r="G45" s="221"/>
      <c r="H45" s="77"/>
      <c r="I45" s="222"/>
      <c r="J45" s="221"/>
      <c r="K45" s="77"/>
      <c r="L45" s="77"/>
      <c r="M45" s="222"/>
    </row>
    <row r="46" spans="1:13" ht="14.25" customHeight="1" x14ac:dyDescent="0.15">
      <c r="A46" s="29" t="s">
        <v>178</v>
      </c>
      <c r="B46" s="28"/>
      <c r="C46" s="713">
        <f>'Summary Board'!G114</f>
        <v>164.67200000000003</v>
      </c>
      <c r="D46" s="194">
        <f>C46*(1+$B$7)</f>
        <v>167.96544000000003</v>
      </c>
      <c r="E46" s="194">
        <f t="shared" ref="E46:M46" si="25">D46*(1+$B$7)</f>
        <v>171.32474880000004</v>
      </c>
      <c r="F46" s="223">
        <f t="shared" si="25"/>
        <v>174.75124377600005</v>
      </c>
      <c r="G46" s="194">
        <f t="shared" si="25"/>
        <v>178.24626865152007</v>
      </c>
      <c r="H46" s="194">
        <f t="shared" si="25"/>
        <v>181.81119402455047</v>
      </c>
      <c r="I46" s="223">
        <f t="shared" si="25"/>
        <v>185.44741790504148</v>
      </c>
      <c r="J46" s="194">
        <f t="shared" si="25"/>
        <v>189.1563662631423</v>
      </c>
      <c r="K46" s="194">
        <f t="shared" si="25"/>
        <v>192.93949358840516</v>
      </c>
      <c r="L46" s="194">
        <f t="shared" si="25"/>
        <v>196.79828346017325</v>
      </c>
      <c r="M46" s="223">
        <f t="shared" si="25"/>
        <v>200.73424912937671</v>
      </c>
    </row>
    <row r="47" spans="1:13" ht="14.25" customHeight="1" x14ac:dyDescent="0.15">
      <c r="A47" s="29" t="s">
        <v>2</v>
      </c>
      <c r="B47" s="28"/>
      <c r="C47" s="131"/>
      <c r="D47" s="225">
        <f>'Development Schedule'!E56*'10.Other'!D46</f>
        <v>0</v>
      </c>
      <c r="E47" s="224">
        <f>'Development Schedule'!F56*'10.Other'!E46</f>
        <v>0</v>
      </c>
      <c r="F47" s="224">
        <f>'Development Schedule'!G56*'10.Other'!F46</f>
        <v>0</v>
      </c>
      <c r="G47" s="225">
        <f>'Development Schedule'!H56*'10.Other'!G46</f>
        <v>0</v>
      </c>
      <c r="H47" s="224">
        <f>'Development Schedule'!I56*'10.Other'!H46</f>
        <v>0</v>
      </c>
      <c r="I47" s="224">
        <f>'Development Schedule'!J56*'10.Other'!I46</f>
        <v>0</v>
      </c>
      <c r="J47" s="225">
        <f>'Development Schedule'!K56*'10.Other'!J46</f>
        <v>4918065.5228416994</v>
      </c>
      <c r="K47" s="224">
        <f>'Development Schedule'!L56*'10.Other'!K46</f>
        <v>0</v>
      </c>
      <c r="L47" s="224">
        <f>'Development Schedule'!M56*'10.Other'!L46</f>
        <v>0</v>
      </c>
      <c r="M47" s="524">
        <f>'Development Schedule'!N56*'10.Other'!M46</f>
        <v>0</v>
      </c>
    </row>
    <row r="48" spans="1:13" ht="14.25" customHeight="1" x14ac:dyDescent="0.15">
      <c r="A48" s="29" t="s">
        <v>15</v>
      </c>
      <c r="B48" s="28"/>
      <c r="C48" s="131"/>
      <c r="D48" s="221"/>
      <c r="E48" s="77"/>
      <c r="F48" s="222"/>
      <c r="G48" s="221"/>
      <c r="H48" s="77"/>
      <c r="I48" s="222"/>
      <c r="J48" s="221"/>
      <c r="K48" s="77"/>
      <c r="L48" s="77"/>
      <c r="M48" s="222"/>
    </row>
    <row r="49" spans="1:13" ht="14.25" customHeight="1" x14ac:dyDescent="0.15">
      <c r="A49" s="72" t="s">
        <v>3</v>
      </c>
      <c r="B49" s="34"/>
      <c r="C49" s="191"/>
      <c r="D49" s="226">
        <f>D47+D48</f>
        <v>0</v>
      </c>
      <c r="E49" s="149">
        <f t="shared" ref="E49:M49" si="26">E47+E48</f>
        <v>0</v>
      </c>
      <c r="F49" s="149">
        <f t="shared" si="26"/>
        <v>0</v>
      </c>
      <c r="G49" s="226">
        <f t="shared" si="26"/>
        <v>0</v>
      </c>
      <c r="H49" s="149">
        <f t="shared" si="26"/>
        <v>0</v>
      </c>
      <c r="I49" s="149">
        <f t="shared" si="26"/>
        <v>0</v>
      </c>
      <c r="J49" s="226">
        <f t="shared" si="26"/>
        <v>4918065.5228416994</v>
      </c>
      <c r="K49" s="149">
        <f t="shared" si="26"/>
        <v>0</v>
      </c>
      <c r="L49" s="149">
        <f t="shared" si="26"/>
        <v>0</v>
      </c>
      <c r="M49" s="227">
        <f t="shared" si="26"/>
        <v>0</v>
      </c>
    </row>
    <row r="50" spans="1:13" ht="18" customHeight="1" x14ac:dyDescent="0.15">
      <c r="A50" s="54" t="s">
        <v>4</v>
      </c>
      <c r="B50" s="61"/>
      <c r="C50" s="209"/>
      <c r="D50" s="210"/>
      <c r="E50" s="211"/>
      <c r="F50" s="212"/>
      <c r="G50" s="210"/>
      <c r="H50" s="211"/>
      <c r="I50" s="212"/>
      <c r="J50" s="210"/>
      <c r="K50" s="211"/>
      <c r="L50" s="211"/>
      <c r="M50" s="212"/>
    </row>
    <row r="51" spans="1:13" ht="14.25" customHeight="1" x14ac:dyDescent="0.15">
      <c r="A51" s="29" t="s">
        <v>5</v>
      </c>
      <c r="B51" s="31"/>
      <c r="C51" s="228"/>
      <c r="D51" s="213">
        <f>D43</f>
        <v>0</v>
      </c>
      <c r="E51" s="195">
        <f t="shared" ref="E51:M51" si="27">E43</f>
        <v>0</v>
      </c>
      <c r="F51" s="214">
        <f t="shared" si="27"/>
        <v>659010.16800000006</v>
      </c>
      <c r="G51" s="213">
        <f t="shared" si="27"/>
        <v>672190.37136000011</v>
      </c>
      <c r="H51" s="195">
        <f t="shared" si="27"/>
        <v>685634.17878720001</v>
      </c>
      <c r="I51" s="214">
        <f t="shared" si="27"/>
        <v>699346.86236294394</v>
      </c>
      <c r="J51" s="213">
        <f t="shared" si="27"/>
        <v>1093359.2799012358</v>
      </c>
      <c r="K51" s="195">
        <f t="shared" si="27"/>
        <v>970247.85276170948</v>
      </c>
      <c r="L51" s="195">
        <f t="shared" si="27"/>
        <v>1046135.4540590567</v>
      </c>
      <c r="M51" s="214">
        <f t="shared" si="27"/>
        <v>1067058.1631402378</v>
      </c>
    </row>
    <row r="52" spans="1:13" ht="14.25" customHeight="1" x14ac:dyDescent="0.15">
      <c r="A52" s="29" t="s">
        <v>107</v>
      </c>
      <c r="B52" s="31"/>
      <c r="C52" s="228"/>
      <c r="D52" s="213"/>
      <c r="E52" s="195"/>
      <c r="F52" s="214"/>
      <c r="G52" s="213"/>
      <c r="H52" s="195"/>
      <c r="I52" s="214"/>
      <c r="J52" s="213"/>
      <c r="K52" s="195"/>
      <c r="L52" s="195"/>
      <c r="M52" s="214">
        <f>M51/D70</f>
        <v>15243688.044860538</v>
      </c>
    </row>
    <row r="53" spans="1:13" ht="14.25" customHeight="1" x14ac:dyDescent="0.15">
      <c r="A53" s="29" t="s">
        <v>174</v>
      </c>
      <c r="B53" s="31"/>
      <c r="C53" s="228"/>
      <c r="D53" s="213"/>
      <c r="E53" s="195"/>
      <c r="F53" s="214"/>
      <c r="G53" s="213"/>
      <c r="H53" s="195"/>
      <c r="I53" s="214"/>
      <c r="J53" s="213"/>
      <c r="K53" s="195"/>
      <c r="L53" s="195"/>
      <c r="M53" s="652">
        <f>M52*-D71</f>
        <v>-457310.64134581614</v>
      </c>
    </row>
    <row r="54" spans="1:13" ht="14.25" customHeight="1" x14ac:dyDescent="0.15">
      <c r="A54" s="29" t="s">
        <v>188</v>
      </c>
      <c r="B54" s="32"/>
      <c r="C54" s="229"/>
      <c r="D54" s="649">
        <f>-D49</f>
        <v>0</v>
      </c>
      <c r="E54" s="650">
        <f t="shared" ref="E54:M54" si="28">-E49</f>
        <v>0</v>
      </c>
      <c r="F54" s="651">
        <f t="shared" si="28"/>
        <v>0</v>
      </c>
      <c r="G54" s="649">
        <f t="shared" si="28"/>
        <v>0</v>
      </c>
      <c r="H54" s="650">
        <f t="shared" si="28"/>
        <v>0</v>
      </c>
      <c r="I54" s="651">
        <f t="shared" si="28"/>
        <v>0</v>
      </c>
      <c r="J54" s="649">
        <f t="shared" si="28"/>
        <v>-4918065.5228416994</v>
      </c>
      <c r="K54" s="650">
        <f t="shared" si="28"/>
        <v>0</v>
      </c>
      <c r="L54" s="650">
        <f t="shared" si="28"/>
        <v>0</v>
      </c>
      <c r="M54" s="651">
        <f t="shared" si="28"/>
        <v>0</v>
      </c>
    </row>
    <row r="55" spans="1:13" ht="14.25" customHeight="1" x14ac:dyDescent="0.15">
      <c r="A55" s="45" t="s">
        <v>6</v>
      </c>
      <c r="B55" s="73"/>
      <c r="C55" s="230"/>
      <c r="D55" s="653">
        <f>SUM(D51:D54)</f>
        <v>0</v>
      </c>
      <c r="E55" s="654">
        <f t="shared" ref="E55:M55" si="29">SUM(E51:E54)</f>
        <v>0</v>
      </c>
      <c r="F55" s="655">
        <f t="shared" si="29"/>
        <v>659010.16800000006</v>
      </c>
      <c r="G55" s="653">
        <f t="shared" si="29"/>
        <v>672190.37136000011</v>
      </c>
      <c r="H55" s="654">
        <f t="shared" si="29"/>
        <v>685634.17878720001</v>
      </c>
      <c r="I55" s="655">
        <f t="shared" si="29"/>
        <v>699346.86236294394</v>
      </c>
      <c r="J55" s="653">
        <f t="shared" si="29"/>
        <v>-3824706.2429404636</v>
      </c>
      <c r="K55" s="654">
        <f t="shared" si="29"/>
        <v>970247.85276170948</v>
      </c>
      <c r="L55" s="654">
        <f t="shared" si="29"/>
        <v>1046135.4540590567</v>
      </c>
      <c r="M55" s="655">
        <f t="shared" si="29"/>
        <v>15853435.56665496</v>
      </c>
    </row>
    <row r="56" spans="1:13" ht="18" customHeight="1" x14ac:dyDescent="0.15">
      <c r="A56" s="54" t="s">
        <v>40</v>
      </c>
      <c r="B56" s="74"/>
      <c r="C56" s="231">
        <f>C55+NPV(D72,D55:M55)</f>
        <v>7420707.9499605568</v>
      </c>
      <c r="D56" s="184"/>
      <c r="E56" s="36"/>
      <c r="F56" s="185"/>
      <c r="G56" s="184"/>
      <c r="H56" s="36"/>
      <c r="I56" s="185"/>
      <c r="J56" s="184"/>
      <c r="K56" s="36"/>
      <c r="L56" s="36"/>
      <c r="M56" s="185"/>
    </row>
    <row r="57" spans="1:13" ht="18" customHeight="1" x14ac:dyDescent="0.15">
      <c r="A57" s="75" t="s">
        <v>110</v>
      </c>
      <c r="B57" s="34"/>
      <c r="C57" s="657" t="s">
        <v>317</v>
      </c>
      <c r="D57" s="191"/>
      <c r="E57" s="34"/>
      <c r="F57" s="192"/>
      <c r="G57" s="191"/>
      <c r="H57" s="34"/>
      <c r="I57" s="192"/>
      <c r="J57" s="191"/>
      <c r="K57" s="34"/>
      <c r="L57" s="34"/>
      <c r="M57" s="192"/>
    </row>
    <row r="58" spans="1:13" ht="18" customHeight="1" x14ac:dyDescent="0.15">
      <c r="A58" s="75" t="s">
        <v>96</v>
      </c>
      <c r="B58" s="34"/>
      <c r="C58" s="135"/>
      <c r="D58" s="191"/>
      <c r="E58" s="34"/>
      <c r="F58" s="192"/>
      <c r="G58" s="191"/>
      <c r="H58" s="34"/>
      <c r="I58" s="192"/>
      <c r="J58" s="191"/>
      <c r="K58" s="34"/>
      <c r="L58" s="34"/>
      <c r="M58" s="192"/>
    </row>
    <row r="60" spans="1:13" x14ac:dyDescent="0.15">
      <c r="A60" s="873" t="s">
        <v>170</v>
      </c>
      <c r="B60" s="874"/>
      <c r="C60" s="874"/>
      <c r="D60" s="875"/>
    </row>
    <row r="61" spans="1:13" x14ac:dyDescent="0.15">
      <c r="A61" s="170"/>
      <c r="B61" s="170"/>
      <c r="C61" s="170"/>
      <c r="D61" s="170"/>
    </row>
    <row r="62" spans="1:13" x14ac:dyDescent="0.15">
      <c r="C62" s="171" t="s">
        <v>162</v>
      </c>
      <c r="D62" s="171"/>
    </row>
    <row r="63" spans="1:13" x14ac:dyDescent="0.15">
      <c r="A63" s="1" t="s">
        <v>148</v>
      </c>
      <c r="C63" s="116">
        <f>SUM('Development Schedule'!E56:G56)</f>
        <v>0</v>
      </c>
      <c r="D63" s="174"/>
    </row>
    <row r="64" spans="1:13" x14ac:dyDescent="0.15">
      <c r="A64" s="1" t="s">
        <v>151</v>
      </c>
      <c r="C64" s="116">
        <f>SUM('Development Schedule'!H56:J56)</f>
        <v>0</v>
      </c>
      <c r="D64" s="174"/>
    </row>
    <row r="65" spans="1:4" x14ac:dyDescent="0.15">
      <c r="A65" s="1" t="s">
        <v>152</v>
      </c>
      <c r="C65" s="116">
        <f>SUM('Development Schedule'!K56:N56)</f>
        <v>26000</v>
      </c>
      <c r="D65" s="174"/>
    </row>
    <row r="67" spans="1:4" x14ac:dyDescent="0.15">
      <c r="A67" s="873" t="s">
        <v>183</v>
      </c>
      <c r="B67" s="874"/>
      <c r="C67" s="874"/>
      <c r="D67" s="875"/>
    </row>
    <row r="69" spans="1:4" x14ac:dyDescent="0.15">
      <c r="A69" s="1" t="s">
        <v>187</v>
      </c>
      <c r="D69" s="712">
        <v>0.25</v>
      </c>
    </row>
    <row r="70" spans="1:4" x14ac:dyDescent="0.15">
      <c r="A70" s="1" t="s">
        <v>173</v>
      </c>
      <c r="D70" s="712">
        <v>7.0000000000000007E-2</v>
      </c>
    </row>
    <row r="71" spans="1:4" x14ac:dyDescent="0.15">
      <c r="A71" s="1" t="s">
        <v>174</v>
      </c>
      <c r="D71" s="712">
        <v>0.03</v>
      </c>
    </row>
    <row r="72" spans="1:4" x14ac:dyDescent="0.15">
      <c r="A72" s="1" t="s">
        <v>175</v>
      </c>
      <c r="D72" s="712">
        <v>0.09</v>
      </c>
    </row>
  </sheetData>
  <mergeCells count="5">
    <mergeCell ref="D3:F3"/>
    <mergeCell ref="G3:I3"/>
    <mergeCell ref="J3:M3"/>
    <mergeCell ref="A60:D60"/>
    <mergeCell ref="A67:D67"/>
  </mergeCells>
  <pageMargins left="0.5" right="0.5" top="1" bottom="0.5" header="0.5" footer="0.5"/>
  <pageSetup orientation="landscape" r:id="rId1"/>
  <headerFooter alignWithMargins="0">
    <oddHeader>&amp;L&amp;"Arial,Bold"7. Income Statement: Retail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3"/>
  <sheetViews>
    <sheetView view="pageLayout" zoomScaleNormal="100" workbookViewId="0">
      <selection activeCell="A9" sqref="A9"/>
    </sheetView>
  </sheetViews>
  <sheetFormatPr baseColWidth="10" defaultColWidth="9.1640625" defaultRowHeight="13" x14ac:dyDescent="0.15"/>
  <cols>
    <col min="1" max="1" width="23.5" style="1" customWidth="1"/>
    <col min="2" max="3" width="8.5" style="3" customWidth="1"/>
    <col min="4" max="13" width="8.5" style="1" customWidth="1"/>
    <col min="14" max="16384" width="9.1640625" style="1"/>
  </cols>
  <sheetData>
    <row r="1" spans="1:13" ht="14.25" customHeight="1" x14ac:dyDescent="0.15">
      <c r="L1" s="47" t="s">
        <v>76</v>
      </c>
      <c r="M1" s="48"/>
    </row>
    <row r="2" spans="1:13" ht="14.25" customHeight="1" x14ac:dyDescent="0.15"/>
    <row r="3" spans="1:13" ht="14.25" customHeight="1" x14ac:dyDescent="0.15">
      <c r="C3" s="3" t="s">
        <v>105</v>
      </c>
      <c r="D3" s="54" t="s">
        <v>59</v>
      </c>
      <c r="E3" s="54"/>
      <c r="F3" s="54"/>
      <c r="G3" s="54"/>
      <c r="H3" s="54"/>
      <c r="I3" s="54"/>
      <c r="J3" s="54"/>
      <c r="K3" s="54"/>
      <c r="L3" s="54"/>
      <c r="M3" s="54"/>
    </row>
    <row r="4" spans="1:13" ht="14.25" customHeight="1" x14ac:dyDescent="0.15">
      <c r="A4" s="5"/>
      <c r="B4" s="21" t="s">
        <v>29</v>
      </c>
      <c r="C4" s="21" t="s">
        <v>130</v>
      </c>
      <c r="D4" s="21">
        <v>2021</v>
      </c>
      <c r="E4" s="21">
        <f t="shared" ref="E4:M4" si="0">D4+1</f>
        <v>2022</v>
      </c>
      <c r="F4" s="21">
        <f t="shared" si="0"/>
        <v>2023</v>
      </c>
      <c r="G4" s="21">
        <f t="shared" si="0"/>
        <v>2024</v>
      </c>
      <c r="H4" s="21">
        <f t="shared" si="0"/>
        <v>2025</v>
      </c>
      <c r="I4" s="21">
        <f t="shared" si="0"/>
        <v>2026</v>
      </c>
      <c r="J4" s="21">
        <f t="shared" si="0"/>
        <v>2027</v>
      </c>
      <c r="K4" s="21">
        <f t="shared" si="0"/>
        <v>2028</v>
      </c>
      <c r="L4" s="21">
        <f t="shared" si="0"/>
        <v>2029</v>
      </c>
      <c r="M4" s="21">
        <f t="shared" si="0"/>
        <v>2030</v>
      </c>
    </row>
    <row r="5" spans="1:13" ht="18" customHeight="1" x14ac:dyDescent="0.15">
      <c r="A5" s="14" t="s">
        <v>16</v>
      </c>
      <c r="B5" s="46"/>
      <c r="C5" s="46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4.25" customHeight="1" x14ac:dyDescent="0.15">
      <c r="A6" s="13" t="s">
        <v>12</v>
      </c>
      <c r="B6" s="16">
        <v>0.02</v>
      </c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4.25" customHeight="1" x14ac:dyDescent="0.15">
      <c r="A7" s="13" t="s">
        <v>42</v>
      </c>
      <c r="B7" s="12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4.25" customHeight="1" x14ac:dyDescent="0.15">
      <c r="A8" s="13" t="s">
        <v>22</v>
      </c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4.25" customHeight="1" x14ac:dyDescent="0.15">
      <c r="A9" s="11" t="s">
        <v>30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4.25" customHeight="1" x14ac:dyDescent="0.15">
      <c r="A10" s="11" t="s">
        <v>31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4.25" customHeight="1" x14ac:dyDescent="0.15">
      <c r="A11" s="11" t="s">
        <v>32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4.25" customHeight="1" x14ac:dyDescent="0.15">
      <c r="A12" s="13" t="s">
        <v>23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4.25" customHeight="1" x14ac:dyDescent="0.15">
      <c r="A13" s="11" t="s">
        <v>33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4.25" customHeight="1" x14ac:dyDescent="0.15">
      <c r="A14" s="11" t="s">
        <v>34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4.25" customHeight="1" x14ac:dyDescent="0.15">
      <c r="A15" s="11" t="s">
        <v>35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4.25" customHeight="1" x14ac:dyDescent="0.15">
      <c r="A16" s="11" t="s">
        <v>36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4.25" customHeight="1" x14ac:dyDescent="0.15">
      <c r="A17" s="11" t="s">
        <v>37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4.25" customHeight="1" x14ac:dyDescent="0.15">
      <c r="A18" s="11" t="s">
        <v>35</v>
      </c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4.25" customHeight="1" x14ac:dyDescent="0.15">
      <c r="A19" s="11" t="s">
        <v>36</v>
      </c>
      <c r="B19" s="12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4.25" customHeight="1" x14ac:dyDescent="0.15">
      <c r="A20" s="11" t="s">
        <v>38</v>
      </c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4.25" customHeight="1" x14ac:dyDescent="0.15">
      <c r="A21" s="13" t="s">
        <v>24</v>
      </c>
      <c r="B21" s="12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4.25" customHeight="1" x14ac:dyDescent="0.15">
      <c r="A22" s="24" t="s">
        <v>39</v>
      </c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8" customHeight="1" x14ac:dyDescent="0.15">
      <c r="A23" s="14" t="s">
        <v>5</v>
      </c>
      <c r="B23" s="46"/>
      <c r="C23" s="46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4.25" customHeight="1" x14ac:dyDescent="0.15">
      <c r="A24" s="13" t="s">
        <v>25</v>
      </c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4.25" customHeight="1" x14ac:dyDescent="0.15">
      <c r="A25" s="11" t="s">
        <v>26</v>
      </c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4.25" customHeight="1" x14ac:dyDescent="0.15">
      <c r="A26" s="11" t="s">
        <v>27</v>
      </c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4.25" customHeight="1" x14ac:dyDescent="0.15">
      <c r="A27" s="13" t="s">
        <v>28</v>
      </c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4.25" customHeight="1" x14ac:dyDescent="0.15">
      <c r="A28" s="13" t="s">
        <v>24</v>
      </c>
      <c r="B28" s="12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4.25" customHeight="1" x14ac:dyDescent="0.15">
      <c r="A29" s="5" t="s">
        <v>5</v>
      </c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8" customHeight="1" x14ac:dyDescent="0.15">
      <c r="A30" s="14" t="s">
        <v>2</v>
      </c>
      <c r="B30" s="46"/>
      <c r="C30" s="46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4.25" customHeight="1" x14ac:dyDescent="0.15">
      <c r="A31" s="13" t="s">
        <v>14</v>
      </c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4.25" customHeight="1" x14ac:dyDescent="0.15">
      <c r="A32" s="13" t="s">
        <v>2</v>
      </c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4.25" customHeight="1" x14ac:dyDescent="0.15">
      <c r="A33" s="13" t="s">
        <v>15</v>
      </c>
      <c r="B33" s="1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4.25" customHeight="1" x14ac:dyDescent="0.15">
      <c r="A34" s="5" t="s">
        <v>3</v>
      </c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8" customHeight="1" x14ac:dyDescent="0.15">
      <c r="A35" s="14" t="s">
        <v>4</v>
      </c>
      <c r="B35" s="46"/>
      <c r="C35" s="46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4.25" customHeight="1" x14ac:dyDescent="0.15">
      <c r="A36" s="13" t="s">
        <v>5</v>
      </c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4.25" customHeight="1" x14ac:dyDescent="0.15">
      <c r="A37" s="13" t="s">
        <v>107</v>
      </c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4.25" customHeight="1" x14ac:dyDescent="0.15">
      <c r="A38" s="13" t="s">
        <v>108</v>
      </c>
      <c r="B38" s="12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4.25" customHeight="1" x14ac:dyDescent="0.15">
      <c r="A39" s="13" t="s">
        <v>3</v>
      </c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4.25" customHeight="1" x14ac:dyDescent="0.15">
      <c r="A40" s="13" t="s">
        <v>6</v>
      </c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4.25" customHeight="1" x14ac:dyDescent="0.15">
      <c r="A41" s="5" t="s">
        <v>40</v>
      </c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8" customHeight="1" x14ac:dyDescent="0.15">
      <c r="A42" s="7" t="s">
        <v>110</v>
      </c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8" customHeight="1" x14ac:dyDescent="0.15">
      <c r="A43" s="7" t="s">
        <v>96</v>
      </c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</sheetData>
  <phoneticPr fontId="3" type="noConversion"/>
  <pageMargins left="0.5" right="0.5" top="1" bottom="0.5" header="0.5" footer="0.5"/>
  <pageSetup orientation="landscape" r:id="rId1"/>
  <headerFooter alignWithMargins="0">
    <oddHeader>&amp;L&amp;"Arial,Bold"11. Income Statement: Surface Parking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8F6FF-5B01-4E4A-A3ED-059FB5016E71}">
  <dimension ref="A1:Q65"/>
  <sheetViews>
    <sheetView zoomScale="120" zoomScaleNormal="12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:M2"/>
    </sheetView>
  </sheetViews>
  <sheetFormatPr baseColWidth="10" defaultRowHeight="13" x14ac:dyDescent="0.15"/>
  <cols>
    <col min="1" max="1" width="34.1640625" customWidth="1"/>
    <col min="2" max="2" width="17.6640625" style="100" customWidth="1"/>
    <col min="3" max="3" width="11.1640625" bestFit="1" customWidth="1"/>
    <col min="5" max="5" width="11.1640625" bestFit="1" customWidth="1"/>
    <col min="7" max="7" width="11.1640625" bestFit="1" customWidth="1"/>
  </cols>
  <sheetData>
    <row r="1" spans="1:14" x14ac:dyDescent="0.15">
      <c r="M1" s="99" t="s">
        <v>381</v>
      </c>
    </row>
    <row r="2" spans="1:14" x14ac:dyDescent="0.15">
      <c r="A2" s="885" t="s">
        <v>149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7"/>
    </row>
    <row r="3" spans="1:14" x14ac:dyDescent="0.15">
      <c r="A3" s="888" t="s">
        <v>150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90"/>
    </row>
    <row r="4" spans="1:14" x14ac:dyDescent="0.15">
      <c r="A4" s="99"/>
    </row>
    <row r="5" spans="1:14" x14ac:dyDescent="0.15">
      <c r="A5" s="99"/>
      <c r="D5" s="105" t="s">
        <v>105</v>
      </c>
      <c r="E5" s="891" t="s">
        <v>148</v>
      </c>
      <c r="F5" s="892"/>
      <c r="G5" s="893"/>
      <c r="H5" s="891" t="s">
        <v>151</v>
      </c>
      <c r="I5" s="892"/>
      <c r="J5" s="893"/>
      <c r="K5" s="891" t="s">
        <v>152</v>
      </c>
      <c r="L5" s="892"/>
      <c r="M5" s="892"/>
      <c r="N5" s="893"/>
    </row>
    <row r="6" spans="1:14" x14ac:dyDescent="0.15">
      <c r="A6" s="99"/>
      <c r="B6" s="106" t="s">
        <v>153</v>
      </c>
      <c r="C6" s="101" t="s">
        <v>154</v>
      </c>
      <c r="D6" s="106" t="s">
        <v>155</v>
      </c>
      <c r="E6" s="106">
        <v>2021</v>
      </c>
      <c r="F6" s="106">
        <f>E6+1</f>
        <v>2022</v>
      </c>
      <c r="G6" s="106">
        <f t="shared" ref="G6:M6" si="0">F6+1</f>
        <v>2023</v>
      </c>
      <c r="H6" s="106">
        <f t="shared" si="0"/>
        <v>2024</v>
      </c>
      <c r="I6" s="106">
        <f t="shared" si="0"/>
        <v>2025</v>
      </c>
      <c r="J6" s="106">
        <f t="shared" si="0"/>
        <v>2026</v>
      </c>
      <c r="K6" s="106">
        <f t="shared" si="0"/>
        <v>2027</v>
      </c>
      <c r="L6" s="106">
        <f t="shared" si="0"/>
        <v>2028</v>
      </c>
      <c r="M6" s="106">
        <f t="shared" si="0"/>
        <v>2029</v>
      </c>
      <c r="N6" s="106">
        <f>M6+1</f>
        <v>2030</v>
      </c>
    </row>
    <row r="7" spans="1:14" x14ac:dyDescent="0.15">
      <c r="A7" s="99"/>
    </row>
    <row r="8" spans="1:14" x14ac:dyDescent="0.15">
      <c r="A8" s="461" t="s">
        <v>148</v>
      </c>
      <c r="B8" s="462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4"/>
    </row>
    <row r="9" spans="1:14" x14ac:dyDescent="0.15">
      <c r="A9" s="465" t="s">
        <v>298</v>
      </c>
      <c r="B9" s="466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467"/>
    </row>
    <row r="10" spans="1:14" x14ac:dyDescent="0.15">
      <c r="A10" s="465" t="s">
        <v>307</v>
      </c>
      <c r="B10" s="468" t="s">
        <v>82</v>
      </c>
      <c r="C10" s="469">
        <v>170300</v>
      </c>
      <c r="D10" s="253"/>
      <c r="E10" s="253"/>
      <c r="F10" s="265">
        <f>C10</f>
        <v>170300</v>
      </c>
      <c r="G10" s="253"/>
      <c r="H10" s="253"/>
      <c r="I10" s="253"/>
      <c r="J10" s="253"/>
      <c r="K10" s="253"/>
      <c r="L10" s="253"/>
      <c r="M10" s="253"/>
      <c r="N10" s="467"/>
    </row>
    <row r="11" spans="1:14" x14ac:dyDescent="0.15">
      <c r="A11" s="465" t="s">
        <v>308</v>
      </c>
      <c r="B11" s="468" t="s">
        <v>189</v>
      </c>
      <c r="C11" s="469">
        <v>130000</v>
      </c>
      <c r="D11" s="253"/>
      <c r="E11" s="253"/>
      <c r="F11" s="265"/>
      <c r="G11" s="253"/>
      <c r="H11" s="253"/>
      <c r="I11" s="253"/>
      <c r="J11" s="253"/>
      <c r="K11" s="265">
        <f>C11</f>
        <v>130000</v>
      </c>
      <c r="L11" s="253"/>
      <c r="M11" s="253"/>
      <c r="N11" s="467"/>
    </row>
    <row r="12" spans="1:14" x14ac:dyDescent="0.15">
      <c r="A12" s="465" t="s">
        <v>309</v>
      </c>
      <c r="B12" s="468" t="s">
        <v>295</v>
      </c>
      <c r="C12" s="738">
        <v>40000</v>
      </c>
      <c r="D12" s="739"/>
      <c r="E12" s="739"/>
      <c r="F12" s="740">
        <f>C12</f>
        <v>40000</v>
      </c>
      <c r="G12" s="739"/>
      <c r="H12" s="739"/>
      <c r="I12" s="739"/>
      <c r="J12" s="253"/>
      <c r="K12" s="253"/>
      <c r="L12" s="253"/>
      <c r="M12" s="253"/>
      <c r="N12" s="467"/>
    </row>
    <row r="13" spans="1:14" x14ac:dyDescent="0.15">
      <c r="A13" s="465"/>
      <c r="B13" s="466"/>
      <c r="C13" s="739"/>
      <c r="D13" s="739"/>
      <c r="E13" s="739"/>
      <c r="F13" s="739"/>
      <c r="G13" s="739"/>
      <c r="H13" s="739"/>
      <c r="I13" s="739"/>
      <c r="J13" s="253"/>
      <c r="K13" s="253"/>
      <c r="L13" s="253"/>
      <c r="M13" s="253"/>
      <c r="N13" s="467"/>
    </row>
    <row r="14" spans="1:14" x14ac:dyDescent="0.15">
      <c r="A14" s="465" t="s">
        <v>299</v>
      </c>
      <c r="B14" s="468" t="s">
        <v>156</v>
      </c>
      <c r="C14" s="738">
        <f>382*750</f>
        <v>286500</v>
      </c>
      <c r="D14" s="739"/>
      <c r="E14" s="740">
        <f>C14*0.7</f>
        <v>200550</v>
      </c>
      <c r="F14" s="740">
        <f>C14-E14</f>
        <v>85950</v>
      </c>
      <c r="G14" s="739"/>
      <c r="H14" s="739"/>
      <c r="I14" s="739"/>
      <c r="J14" s="253"/>
      <c r="K14" s="253"/>
      <c r="L14" s="253"/>
      <c r="M14" s="253"/>
      <c r="N14" s="467"/>
    </row>
    <row r="15" spans="1:14" x14ac:dyDescent="0.15">
      <c r="A15" s="465" t="s">
        <v>299</v>
      </c>
      <c r="B15" s="468" t="s">
        <v>157</v>
      </c>
      <c r="C15" s="741">
        <f>318750-C14</f>
        <v>32250</v>
      </c>
      <c r="D15" s="739"/>
      <c r="E15" s="740">
        <f>C15*0.7</f>
        <v>22575</v>
      </c>
      <c r="F15" s="742">
        <f>C15-E15</f>
        <v>9675</v>
      </c>
      <c r="G15" s="739"/>
      <c r="H15" s="739"/>
      <c r="I15" s="739"/>
      <c r="J15" s="253"/>
      <c r="K15" s="253"/>
      <c r="L15" s="253"/>
      <c r="M15" s="253"/>
      <c r="N15" s="467"/>
    </row>
    <row r="16" spans="1:14" x14ac:dyDescent="0.15">
      <c r="A16" s="465" t="s">
        <v>300</v>
      </c>
      <c r="B16" s="468" t="s">
        <v>295</v>
      </c>
      <c r="C16" s="741">
        <v>25000</v>
      </c>
      <c r="D16" s="739"/>
      <c r="E16" s="740">
        <f>C16*0.75</f>
        <v>18750</v>
      </c>
      <c r="F16" s="742">
        <f>C16-E16</f>
        <v>6250</v>
      </c>
      <c r="G16" s="739"/>
      <c r="H16" s="739"/>
      <c r="I16" s="739"/>
      <c r="J16" s="253"/>
      <c r="K16" s="253"/>
      <c r="L16" s="253"/>
      <c r="M16" s="253"/>
      <c r="N16" s="467"/>
    </row>
    <row r="17" spans="1:14" x14ac:dyDescent="0.15">
      <c r="A17" s="465" t="s">
        <v>301</v>
      </c>
      <c r="B17" s="468" t="s">
        <v>82</v>
      </c>
      <c r="C17" s="738">
        <v>0</v>
      </c>
      <c r="D17" s="739"/>
      <c r="E17" s="740">
        <f>C17*0.75</f>
        <v>0</v>
      </c>
      <c r="F17" s="740">
        <f>C17-E17</f>
        <v>0</v>
      </c>
      <c r="G17" s="739"/>
      <c r="H17" s="739"/>
      <c r="I17" s="739"/>
      <c r="J17" s="253"/>
      <c r="K17" s="253"/>
      <c r="L17" s="253"/>
      <c r="M17" s="253"/>
      <c r="N17" s="467"/>
    </row>
    <row r="18" spans="1:14" x14ac:dyDescent="0.15">
      <c r="A18" s="465" t="s">
        <v>302</v>
      </c>
      <c r="B18" s="468" t="s">
        <v>189</v>
      </c>
      <c r="C18" s="738">
        <v>0</v>
      </c>
      <c r="D18" s="739"/>
      <c r="E18" s="740">
        <f>C18*0.75</f>
        <v>0</v>
      </c>
      <c r="F18" s="740">
        <f>C18-E18</f>
        <v>0</v>
      </c>
      <c r="G18" s="739"/>
      <c r="H18" s="739"/>
      <c r="I18" s="739"/>
      <c r="J18" s="253"/>
      <c r="K18" s="253"/>
      <c r="L18" s="253"/>
      <c r="M18" s="253"/>
      <c r="N18" s="467"/>
    </row>
    <row r="19" spans="1:14" x14ac:dyDescent="0.15">
      <c r="A19" s="465"/>
      <c r="B19" s="468"/>
      <c r="C19" s="738"/>
      <c r="D19" s="739"/>
      <c r="E19" s="740"/>
      <c r="F19" s="740"/>
      <c r="G19" s="739"/>
      <c r="H19" s="739"/>
      <c r="I19" s="739"/>
      <c r="J19" s="253"/>
      <c r="K19" s="253"/>
      <c r="L19" s="253"/>
      <c r="M19" s="253"/>
      <c r="N19" s="467"/>
    </row>
    <row r="20" spans="1:14" x14ac:dyDescent="0.15">
      <c r="A20" s="465" t="s">
        <v>158</v>
      </c>
      <c r="B20" s="466"/>
      <c r="C20" s="739"/>
      <c r="D20" s="739"/>
      <c r="E20" s="739"/>
      <c r="F20" s="739"/>
      <c r="G20" s="739"/>
      <c r="H20" s="739"/>
      <c r="I20" s="739"/>
      <c r="J20" s="253"/>
      <c r="K20" s="253"/>
      <c r="L20" s="253"/>
      <c r="M20" s="253"/>
      <c r="N20" s="467"/>
    </row>
    <row r="21" spans="1:14" x14ac:dyDescent="0.15">
      <c r="A21" s="473"/>
      <c r="B21" s="460"/>
      <c r="C21" s="743"/>
      <c r="D21" s="743"/>
      <c r="E21" s="743"/>
      <c r="F21" s="743"/>
      <c r="G21" s="743"/>
      <c r="H21" s="743"/>
      <c r="I21" s="743"/>
      <c r="J21" s="109"/>
      <c r="K21" s="109"/>
      <c r="L21" s="109"/>
      <c r="M21" s="109"/>
      <c r="N21" s="474"/>
    </row>
    <row r="22" spans="1:14" x14ac:dyDescent="0.15">
      <c r="A22" s="475"/>
      <c r="B22" s="462"/>
      <c r="C22" s="744"/>
      <c r="D22" s="744"/>
      <c r="E22" s="744"/>
      <c r="F22" s="744"/>
      <c r="G22" s="744"/>
      <c r="H22" s="744"/>
      <c r="I22" s="744"/>
      <c r="J22" s="463"/>
      <c r="K22" s="463"/>
      <c r="L22" s="463"/>
      <c r="M22" s="463"/>
      <c r="N22" s="464"/>
    </row>
    <row r="23" spans="1:14" x14ac:dyDescent="0.15">
      <c r="A23" s="476" t="s">
        <v>151</v>
      </c>
      <c r="B23" s="466"/>
      <c r="C23" s="739"/>
      <c r="D23" s="739"/>
      <c r="E23" s="739"/>
      <c r="F23" s="739"/>
      <c r="G23" s="739"/>
      <c r="H23" s="739"/>
      <c r="I23" s="739"/>
      <c r="J23" s="253"/>
      <c r="K23" s="253"/>
      <c r="L23" s="253"/>
      <c r="M23" s="253"/>
      <c r="N23" s="467"/>
    </row>
    <row r="24" spans="1:14" x14ac:dyDescent="0.15">
      <c r="A24" s="471"/>
      <c r="B24" s="466"/>
      <c r="C24" s="740"/>
      <c r="D24" s="739"/>
      <c r="E24" s="739"/>
      <c r="F24" s="739"/>
      <c r="G24" s="739"/>
      <c r="H24" s="739"/>
      <c r="I24" s="739"/>
      <c r="J24" s="253"/>
      <c r="K24" s="253"/>
      <c r="L24" s="253"/>
      <c r="M24" s="253"/>
      <c r="N24" s="467"/>
    </row>
    <row r="25" spans="1:14" x14ac:dyDescent="0.15">
      <c r="A25" s="465" t="s">
        <v>353</v>
      </c>
      <c r="B25" s="468" t="s">
        <v>156</v>
      </c>
      <c r="C25" s="738">
        <f>200000-C26</f>
        <v>180000</v>
      </c>
      <c r="D25" s="739"/>
      <c r="E25" s="739"/>
      <c r="F25" s="739"/>
      <c r="G25" s="739"/>
      <c r="H25" s="740">
        <f>C25*0.75</f>
        <v>135000</v>
      </c>
      <c r="I25" s="740">
        <f>C25-H25</f>
        <v>45000</v>
      </c>
      <c r="J25" s="253"/>
      <c r="K25" s="253"/>
      <c r="L25" s="253"/>
      <c r="M25" s="253"/>
      <c r="N25" s="467"/>
    </row>
    <row r="26" spans="1:14" x14ac:dyDescent="0.15">
      <c r="A26" s="465" t="s">
        <v>353</v>
      </c>
      <c r="B26" s="468" t="s">
        <v>157</v>
      </c>
      <c r="C26" s="738">
        <f>200000*0.1</f>
        <v>20000</v>
      </c>
      <c r="D26" s="739"/>
      <c r="E26" s="739"/>
      <c r="F26" s="739"/>
      <c r="G26" s="739"/>
      <c r="H26" s="742">
        <f>C26*0.75</f>
        <v>15000</v>
      </c>
      <c r="I26" s="742">
        <f>C26-H26</f>
        <v>5000</v>
      </c>
      <c r="J26" s="253"/>
      <c r="K26" s="253"/>
      <c r="L26" s="253"/>
      <c r="M26" s="253"/>
      <c r="N26" s="467"/>
    </row>
    <row r="27" spans="1:14" x14ac:dyDescent="0.15">
      <c r="A27" s="465" t="s">
        <v>306</v>
      </c>
      <c r="B27" s="468" t="s">
        <v>82</v>
      </c>
      <c r="C27" s="738">
        <f>598590-200000</f>
        <v>398590</v>
      </c>
      <c r="D27" s="739"/>
      <c r="E27" s="739"/>
      <c r="F27" s="739"/>
      <c r="G27" s="739"/>
      <c r="H27" s="738">
        <f>C27*0.75</f>
        <v>298942.5</v>
      </c>
      <c r="I27" s="738">
        <f>C27-H27</f>
        <v>99647.5</v>
      </c>
      <c r="J27" s="253"/>
      <c r="K27" s="253"/>
      <c r="L27" s="253"/>
      <c r="M27" s="253"/>
      <c r="N27" s="467"/>
    </row>
    <row r="28" spans="1:14" x14ac:dyDescent="0.15">
      <c r="A28" s="471"/>
      <c r="B28" s="466"/>
      <c r="C28" s="739"/>
      <c r="D28" s="739"/>
      <c r="E28" s="739"/>
      <c r="F28" s="739"/>
      <c r="G28" s="739"/>
      <c r="H28" s="739"/>
      <c r="I28" s="739"/>
      <c r="J28" s="253"/>
      <c r="K28" s="253"/>
      <c r="L28" s="253"/>
      <c r="M28" s="253"/>
      <c r="N28" s="467"/>
    </row>
    <row r="29" spans="1:14" x14ac:dyDescent="0.15">
      <c r="A29" s="465" t="s">
        <v>159</v>
      </c>
      <c r="B29" s="468" t="s">
        <v>82</v>
      </c>
      <c r="C29" s="745"/>
      <c r="D29" s="739"/>
      <c r="E29" s="739"/>
      <c r="F29" s="739"/>
      <c r="G29" s="739"/>
      <c r="H29" s="739"/>
      <c r="I29" s="739"/>
      <c r="J29" s="253"/>
      <c r="K29" s="253"/>
      <c r="L29" s="253"/>
      <c r="M29" s="253"/>
      <c r="N29" s="467"/>
    </row>
    <row r="30" spans="1:14" x14ac:dyDescent="0.15">
      <c r="A30" s="471"/>
      <c r="B30" s="466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467"/>
    </row>
    <row r="31" spans="1:14" hidden="1" x14ac:dyDescent="0.15">
      <c r="A31" s="465" t="s">
        <v>304</v>
      </c>
      <c r="B31" s="468" t="s">
        <v>156</v>
      </c>
      <c r="C31" s="469">
        <v>0</v>
      </c>
      <c r="D31" s="253"/>
      <c r="E31" s="253"/>
      <c r="F31" s="253"/>
      <c r="G31" s="253"/>
      <c r="H31" s="253"/>
      <c r="I31" s="253"/>
      <c r="J31" s="253"/>
      <c r="K31" s="265">
        <f>C31*0.75</f>
        <v>0</v>
      </c>
      <c r="L31" s="265">
        <f>C31-K31</f>
        <v>0</v>
      </c>
      <c r="M31" s="253"/>
      <c r="N31" s="467"/>
    </row>
    <row r="32" spans="1:14" hidden="1" x14ac:dyDescent="0.15">
      <c r="A32" s="465" t="s">
        <v>304</v>
      </c>
      <c r="B32" s="468" t="s">
        <v>157</v>
      </c>
      <c r="C32" s="469">
        <v>0</v>
      </c>
      <c r="D32" s="253"/>
      <c r="E32" s="253"/>
      <c r="F32" s="253"/>
      <c r="G32" s="253"/>
      <c r="H32" s="253"/>
      <c r="I32" s="253"/>
      <c r="J32" s="253"/>
      <c r="K32" s="470">
        <f>C32*0.75</f>
        <v>0</v>
      </c>
      <c r="L32" s="470">
        <f>C32-K32</f>
        <v>0</v>
      </c>
      <c r="M32" s="253"/>
      <c r="N32" s="467"/>
    </row>
    <row r="33" spans="1:17" hidden="1" x14ac:dyDescent="0.15">
      <c r="A33" s="465" t="s">
        <v>305</v>
      </c>
      <c r="B33" s="468" t="s">
        <v>82</v>
      </c>
      <c r="C33" s="469">
        <v>0</v>
      </c>
      <c r="D33" s="253"/>
      <c r="E33" s="253"/>
      <c r="F33" s="253"/>
      <c r="G33" s="253"/>
      <c r="H33" s="253"/>
      <c r="I33" s="253"/>
      <c r="J33" s="253"/>
      <c r="K33" s="469">
        <v>0</v>
      </c>
      <c r="L33" s="469">
        <v>0</v>
      </c>
      <c r="M33" s="253"/>
      <c r="N33" s="467"/>
    </row>
    <row r="34" spans="1:17" x14ac:dyDescent="0.15">
      <c r="A34" s="473"/>
      <c r="B34" s="460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474"/>
    </row>
    <row r="35" spans="1:17" x14ac:dyDescent="0.15">
      <c r="A35" s="475"/>
      <c r="B35" s="462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4"/>
    </row>
    <row r="36" spans="1:17" x14ac:dyDescent="0.15">
      <c r="A36" s="476" t="s">
        <v>152</v>
      </c>
      <c r="B36" s="466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467"/>
    </row>
    <row r="37" spans="1:17" x14ac:dyDescent="0.15">
      <c r="A37" s="476"/>
      <c r="B37" s="466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467"/>
    </row>
    <row r="38" spans="1:17" x14ac:dyDescent="0.15">
      <c r="A38" s="465" t="s">
        <v>328</v>
      </c>
      <c r="B38" s="468" t="s">
        <v>333</v>
      </c>
      <c r="C38" s="469">
        <v>26000</v>
      </c>
      <c r="D38" s="253"/>
      <c r="E38" s="253"/>
      <c r="F38" s="253"/>
      <c r="G38" s="253"/>
      <c r="H38" s="253"/>
      <c r="I38" s="253"/>
      <c r="J38" s="253"/>
      <c r="K38" s="469">
        <v>26000</v>
      </c>
      <c r="L38" s="253"/>
      <c r="M38" s="253"/>
      <c r="N38" s="467"/>
    </row>
    <row r="39" spans="1:17" x14ac:dyDescent="0.15">
      <c r="A39" s="465" t="s">
        <v>297</v>
      </c>
      <c r="B39" s="468" t="s">
        <v>82</v>
      </c>
      <c r="C39" s="469">
        <v>6000</v>
      </c>
      <c r="D39" s="253"/>
      <c r="E39" s="253"/>
      <c r="F39" s="253"/>
      <c r="G39" s="253"/>
      <c r="H39" s="253"/>
      <c r="I39" s="253"/>
      <c r="J39" s="253"/>
      <c r="K39" s="265">
        <f>C39</f>
        <v>6000</v>
      </c>
      <c r="L39" s="253"/>
      <c r="M39" s="253"/>
      <c r="N39" s="467"/>
    </row>
    <row r="40" spans="1:17" x14ac:dyDescent="0.15">
      <c r="A40" s="476"/>
      <c r="B40" s="466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467"/>
    </row>
    <row r="41" spans="1:17" x14ac:dyDescent="0.15">
      <c r="A41" s="465" t="s">
        <v>311</v>
      </c>
      <c r="B41" s="468" t="s">
        <v>312</v>
      </c>
      <c r="C41" s="738">
        <v>2000</v>
      </c>
      <c r="D41" s="253"/>
      <c r="E41" s="253"/>
      <c r="F41" s="253"/>
      <c r="G41" s="253"/>
      <c r="H41" s="253"/>
      <c r="I41" s="253"/>
      <c r="J41" s="253"/>
      <c r="K41" s="469">
        <f>C41</f>
        <v>2000</v>
      </c>
      <c r="L41" s="469"/>
      <c r="M41" s="253"/>
      <c r="N41" s="467"/>
    </row>
    <row r="42" spans="1:17" x14ac:dyDescent="0.15">
      <c r="A42" s="476"/>
      <c r="B42" s="466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467"/>
    </row>
    <row r="43" spans="1:17" x14ac:dyDescent="0.15">
      <c r="A43" s="465" t="s">
        <v>303</v>
      </c>
      <c r="B43" s="468" t="s">
        <v>83</v>
      </c>
      <c r="C43" s="469">
        <f>293700-80000-C44</f>
        <v>201000</v>
      </c>
      <c r="D43" s="253"/>
      <c r="E43" s="253"/>
      <c r="F43" s="253"/>
      <c r="G43" s="469"/>
      <c r="H43" s="253"/>
      <c r="I43" s="253"/>
      <c r="J43" s="253"/>
      <c r="K43" s="472">
        <f>C43</f>
        <v>201000</v>
      </c>
      <c r="L43" s="265"/>
      <c r="M43" s="253"/>
      <c r="N43" s="467"/>
    </row>
    <row r="44" spans="1:17" x14ac:dyDescent="0.15">
      <c r="A44" s="465" t="s">
        <v>310</v>
      </c>
      <c r="B44" s="468" t="s">
        <v>82</v>
      </c>
      <c r="C44" s="469">
        <v>12700</v>
      </c>
      <c r="D44" s="253"/>
      <c r="E44" s="253"/>
      <c r="F44" s="253"/>
      <c r="G44" s="253"/>
      <c r="H44" s="253"/>
      <c r="I44" s="253"/>
      <c r="J44" s="253"/>
      <c r="K44" s="472">
        <f>C44</f>
        <v>12700</v>
      </c>
      <c r="L44" s="253"/>
      <c r="M44" s="253"/>
      <c r="N44" s="467"/>
    </row>
    <row r="45" spans="1:17" x14ac:dyDescent="0.15">
      <c r="A45" s="473"/>
      <c r="B45" s="460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474"/>
    </row>
    <row r="46" spans="1:17" x14ac:dyDescent="0.15">
      <c r="A46" s="253"/>
      <c r="B46" s="466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</row>
    <row r="47" spans="1:17" x14ac:dyDescent="0.15">
      <c r="A47" s="102" t="s">
        <v>49</v>
      </c>
      <c r="C47" s="104">
        <f>SUM(C10:C44)</f>
        <v>1530340</v>
      </c>
    </row>
    <row r="48" spans="1:17" x14ac:dyDescent="0.15">
      <c r="O48" s="106" t="s">
        <v>191</v>
      </c>
      <c r="P48" s="106"/>
      <c r="Q48" s="106" t="s">
        <v>172</v>
      </c>
    </row>
    <row r="49" spans="1:17" x14ac:dyDescent="0.15">
      <c r="A49" s="99" t="s">
        <v>166</v>
      </c>
      <c r="E49" s="104">
        <f>E14</f>
        <v>200550</v>
      </c>
      <c r="F49" s="104">
        <f>F14</f>
        <v>85950</v>
      </c>
      <c r="H49" s="104">
        <f>H25</f>
        <v>135000</v>
      </c>
      <c r="I49" s="104">
        <f>I25</f>
        <v>45000</v>
      </c>
      <c r="K49" s="104">
        <f>K31</f>
        <v>0</v>
      </c>
      <c r="L49" s="104">
        <f>L31</f>
        <v>0</v>
      </c>
      <c r="O49" s="104">
        <f t="shared" ref="O49:O57" si="1">SUM(E49:L49)</f>
        <v>466500</v>
      </c>
      <c r="P49" s="267">
        <f t="shared" ref="P49:P55" si="2">O49/$O$58</f>
        <v>0.30483421984657005</v>
      </c>
      <c r="Q49" s="104">
        <f>O49/750</f>
        <v>622</v>
      </c>
    </row>
    <row r="50" spans="1:17" x14ac:dyDescent="0.15">
      <c r="A50" s="99" t="s">
        <v>167</v>
      </c>
      <c r="E50" s="104">
        <f>E15</f>
        <v>22575</v>
      </c>
      <c r="F50" s="103">
        <f>F15</f>
        <v>9675</v>
      </c>
      <c r="H50" s="104">
        <f>H26</f>
        <v>15000</v>
      </c>
      <c r="I50" s="104">
        <f>I26</f>
        <v>5000</v>
      </c>
      <c r="K50" s="103">
        <f>K32</f>
        <v>0</v>
      </c>
      <c r="L50" s="103">
        <f>L32</f>
        <v>0</v>
      </c>
      <c r="O50" s="104">
        <f t="shared" si="1"/>
        <v>52250</v>
      </c>
      <c r="P50" s="267">
        <f t="shared" si="2"/>
        <v>3.4142739521936305E-2</v>
      </c>
      <c r="Q50" s="104">
        <f>O50/750</f>
        <v>69.666666666666671</v>
      </c>
    </row>
    <row r="51" spans="1:17" x14ac:dyDescent="0.15">
      <c r="A51" s="99" t="s">
        <v>179</v>
      </c>
      <c r="E51" s="104"/>
      <c r="F51" s="103"/>
      <c r="H51" s="103">
        <v>0</v>
      </c>
      <c r="I51" s="103">
        <v>0</v>
      </c>
      <c r="K51" s="103"/>
      <c r="L51" s="103"/>
      <c r="O51" s="104">
        <f t="shared" si="1"/>
        <v>0</v>
      </c>
      <c r="P51" s="267">
        <f t="shared" si="2"/>
        <v>0</v>
      </c>
      <c r="Q51" s="104">
        <f>O51/1000</f>
        <v>0</v>
      </c>
    </row>
    <row r="52" spans="1:17" x14ac:dyDescent="0.15">
      <c r="A52" s="99" t="s">
        <v>180</v>
      </c>
      <c r="E52" s="104"/>
      <c r="F52" s="103"/>
      <c r="H52" s="103">
        <v>0</v>
      </c>
      <c r="I52" s="103">
        <v>0</v>
      </c>
      <c r="K52" s="103"/>
      <c r="L52" s="103"/>
      <c r="O52" s="104">
        <f t="shared" si="1"/>
        <v>0</v>
      </c>
      <c r="P52" s="267">
        <f t="shared" si="2"/>
        <v>0</v>
      </c>
      <c r="Q52" s="104">
        <f>O52/1000</f>
        <v>0</v>
      </c>
    </row>
    <row r="53" spans="1:17" x14ac:dyDescent="0.15">
      <c r="A53" s="99" t="s">
        <v>296</v>
      </c>
      <c r="E53" s="104">
        <f>E16</f>
        <v>18750</v>
      </c>
      <c r="F53" s="103">
        <f>F12+F16</f>
        <v>46250</v>
      </c>
      <c r="H53" s="103"/>
      <c r="I53" s="103"/>
      <c r="K53" s="103"/>
      <c r="L53" s="103"/>
      <c r="O53" s="104">
        <f t="shared" si="1"/>
        <v>65000</v>
      </c>
      <c r="P53" s="267">
        <f t="shared" si="2"/>
        <v>4.2474221414848988E-2</v>
      </c>
      <c r="Q53" s="104"/>
    </row>
    <row r="54" spans="1:17" x14ac:dyDescent="0.15">
      <c r="A54" s="99" t="s">
        <v>190</v>
      </c>
      <c r="E54" s="104">
        <f>E18</f>
        <v>0</v>
      </c>
      <c r="F54" s="103">
        <f>F18+F11</f>
        <v>0</v>
      </c>
      <c r="H54" s="103"/>
      <c r="I54" s="103"/>
      <c r="K54" s="103">
        <f>K11</f>
        <v>130000</v>
      </c>
      <c r="L54" s="103"/>
      <c r="O54" s="104">
        <f t="shared" si="1"/>
        <v>130000</v>
      </c>
      <c r="P54" s="267">
        <f t="shared" si="2"/>
        <v>8.4948442829697976E-2</v>
      </c>
    </row>
    <row r="55" spans="1:17" x14ac:dyDescent="0.15">
      <c r="A55" s="99" t="s">
        <v>168</v>
      </c>
      <c r="G55" s="104">
        <f>G43</f>
        <v>0</v>
      </c>
      <c r="K55" s="104">
        <f>K43</f>
        <v>201000</v>
      </c>
      <c r="L55" s="104">
        <f>L43</f>
        <v>0</v>
      </c>
      <c r="O55" s="104">
        <f t="shared" si="1"/>
        <v>201000</v>
      </c>
      <c r="P55" s="267">
        <f t="shared" si="2"/>
        <v>0.13134336160591764</v>
      </c>
    </row>
    <row r="56" spans="1:17" x14ac:dyDescent="0.15">
      <c r="A56" s="99" t="s">
        <v>334</v>
      </c>
      <c r="G56" s="104"/>
      <c r="K56" s="104">
        <f>K38</f>
        <v>26000</v>
      </c>
      <c r="L56" s="104"/>
      <c r="O56" s="104">
        <f t="shared" si="1"/>
        <v>26000</v>
      </c>
      <c r="P56" s="267"/>
    </row>
    <row r="57" spans="1:17" x14ac:dyDescent="0.15">
      <c r="A57" s="99" t="s">
        <v>169</v>
      </c>
      <c r="E57" s="110">
        <f>E17</f>
        <v>0</v>
      </c>
      <c r="F57" s="110">
        <f>F10+F17</f>
        <v>170300</v>
      </c>
      <c r="G57" s="109"/>
      <c r="H57" s="110">
        <f>H27</f>
        <v>298942.5</v>
      </c>
      <c r="I57" s="110">
        <f>I27</f>
        <v>99647.5</v>
      </c>
      <c r="J57" s="109"/>
      <c r="K57" s="110">
        <f>K33+K41+K39+K44</f>
        <v>20700</v>
      </c>
      <c r="L57" s="110">
        <f>L33+L41</f>
        <v>0</v>
      </c>
      <c r="O57" s="110">
        <f t="shared" si="1"/>
        <v>589590</v>
      </c>
      <c r="P57" s="267">
        <f>O57/$O$58</f>
        <v>0.38526732621508947</v>
      </c>
    </row>
    <row r="58" spans="1:17" x14ac:dyDescent="0.15">
      <c r="A58" s="102" t="s">
        <v>49</v>
      </c>
      <c r="C58" s="111">
        <f>SUM(E58:L58)</f>
        <v>1530340</v>
      </c>
      <c r="E58" s="104">
        <f t="shared" ref="E58:L58" si="3">SUM(E49:E57)</f>
        <v>241875</v>
      </c>
      <c r="F58" s="104">
        <f t="shared" si="3"/>
        <v>312175</v>
      </c>
      <c r="G58" s="104">
        <f t="shared" si="3"/>
        <v>0</v>
      </c>
      <c r="H58" s="104">
        <f t="shared" si="3"/>
        <v>448942.5</v>
      </c>
      <c r="I58" s="104">
        <f t="shared" si="3"/>
        <v>149647.5</v>
      </c>
      <c r="J58" s="104">
        <f t="shared" si="3"/>
        <v>0</v>
      </c>
      <c r="K58" s="104">
        <f t="shared" si="3"/>
        <v>377700</v>
      </c>
      <c r="L58" s="104">
        <f t="shared" si="3"/>
        <v>0</v>
      </c>
      <c r="O58" s="104">
        <f>SUM(O49:O57)</f>
        <v>1530340</v>
      </c>
      <c r="P58" s="267">
        <f>O58/$O$58</f>
        <v>1</v>
      </c>
    </row>
    <row r="59" spans="1:17" x14ac:dyDescent="0.15">
      <c r="C59" t="str">
        <f>IF(C58=C47,"","error")</f>
        <v/>
      </c>
    </row>
    <row r="60" spans="1:17" x14ac:dyDescent="0.15">
      <c r="C60" s="104"/>
    </row>
    <row r="63" spans="1:17" x14ac:dyDescent="0.15">
      <c r="A63" s="102"/>
    </row>
    <row r="64" spans="1:17" x14ac:dyDescent="0.15">
      <c r="A64" s="99"/>
    </row>
    <row r="65" spans="1:1" x14ac:dyDescent="0.15">
      <c r="A65" s="99"/>
    </row>
  </sheetData>
  <mergeCells count="5">
    <mergeCell ref="A2:M2"/>
    <mergeCell ref="A3:M3"/>
    <mergeCell ref="E5:G5"/>
    <mergeCell ref="H5:J5"/>
    <mergeCell ref="K5:N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5BE9-C8FE-564D-BDB1-BA62AFCC524A}">
  <dimension ref="A1:I30"/>
  <sheetViews>
    <sheetView zoomScale="110" zoomScaleNormal="110" workbookViewId="0">
      <selection activeCell="I7" sqref="I7"/>
    </sheetView>
  </sheetViews>
  <sheetFormatPr baseColWidth="10" defaultRowHeight="16" x14ac:dyDescent="0.2"/>
  <cols>
    <col min="1" max="1" width="16" style="92" customWidth="1"/>
    <col min="2" max="2" width="2.83203125" style="92" customWidth="1"/>
    <col min="3" max="3" width="14.1640625" style="98" customWidth="1"/>
    <col min="4" max="4" width="2.83203125" style="92" customWidth="1"/>
    <col min="5" max="5" width="13.83203125" style="92" customWidth="1"/>
    <col min="6" max="6" width="2.83203125" style="92" customWidth="1"/>
    <col min="7" max="7" width="18" style="92" customWidth="1"/>
    <col min="8" max="8" width="2.83203125" style="92" customWidth="1"/>
    <col min="9" max="9" width="19.6640625" style="92" bestFit="1" customWidth="1"/>
    <col min="10" max="10" width="2.83203125" style="92" customWidth="1"/>
    <col min="11" max="16384" width="10.83203125" style="92"/>
  </cols>
  <sheetData>
    <row r="1" spans="1:9" x14ac:dyDescent="0.2">
      <c r="A1" s="88" t="s">
        <v>131</v>
      </c>
      <c r="B1" s="89"/>
      <c r="C1" s="90" t="s">
        <v>132</v>
      </c>
      <c r="D1" s="91"/>
      <c r="E1" s="88" t="s">
        <v>133</v>
      </c>
      <c r="G1" s="88" t="s">
        <v>134</v>
      </c>
      <c r="H1" s="93"/>
      <c r="I1" s="88"/>
    </row>
    <row r="3" spans="1:9" x14ac:dyDescent="0.2">
      <c r="A3" s="91" t="s">
        <v>135</v>
      </c>
      <c r="C3" s="98">
        <v>53901</v>
      </c>
      <c r="E3" s="94">
        <f>C3/43560</f>
        <v>1.237396694214876</v>
      </c>
      <c r="G3" s="95">
        <f>C3*5</f>
        <v>269505</v>
      </c>
      <c r="H3" s="95"/>
      <c r="I3" s="95"/>
    </row>
    <row r="4" spans="1:9" x14ac:dyDescent="0.2">
      <c r="A4" s="91" t="s">
        <v>135</v>
      </c>
      <c r="C4" s="98">
        <v>53902</v>
      </c>
      <c r="E4" s="94">
        <f>C4/43560</f>
        <v>1.2374196510560147</v>
      </c>
      <c r="G4" s="95">
        <f>C4*5</f>
        <v>269510</v>
      </c>
      <c r="H4" s="95"/>
      <c r="I4" s="95"/>
    </row>
    <row r="5" spans="1:9" x14ac:dyDescent="0.2">
      <c r="A5" s="91" t="s">
        <v>135</v>
      </c>
      <c r="C5" s="98">
        <v>53903</v>
      </c>
      <c r="E5" s="94">
        <f>C5/43560</f>
        <v>1.2374426078971534</v>
      </c>
      <c r="G5" s="95">
        <f>C5*5</f>
        <v>269515</v>
      </c>
      <c r="H5" s="95"/>
      <c r="I5" s="95"/>
    </row>
    <row r="6" spans="1:9" x14ac:dyDescent="0.2">
      <c r="A6" s="91" t="s">
        <v>135</v>
      </c>
      <c r="C6" s="98">
        <v>53904</v>
      </c>
      <c r="E6" s="96">
        <f>C6/43560</f>
        <v>1.2374655647382919</v>
      </c>
      <c r="G6" s="95">
        <f>C6*5</f>
        <v>269520</v>
      </c>
      <c r="H6" s="95"/>
      <c r="I6" s="95"/>
    </row>
    <row r="7" spans="1:9" x14ac:dyDescent="0.2">
      <c r="A7" s="91" t="s">
        <v>49</v>
      </c>
      <c r="C7" s="98">
        <f>SUM(C3:C6)</f>
        <v>215610</v>
      </c>
      <c r="E7" s="94">
        <f>SUM(E3:E6)</f>
        <v>4.9497245179063363</v>
      </c>
    </row>
    <row r="8" spans="1:9" x14ac:dyDescent="0.2">
      <c r="A8" s="91"/>
      <c r="C8" s="641"/>
      <c r="E8" s="94"/>
    </row>
    <row r="9" spans="1:9" x14ac:dyDescent="0.2">
      <c r="A9" s="91" t="s">
        <v>136</v>
      </c>
      <c r="C9" s="98">
        <v>54136</v>
      </c>
      <c r="E9" s="94">
        <f t="shared" ref="E9:E14" si="0">C9/43560</f>
        <v>1.242791551882461</v>
      </c>
      <c r="G9" s="95">
        <f t="shared" ref="G9:G14" si="1">C9*5</f>
        <v>270680</v>
      </c>
      <c r="H9" s="95"/>
      <c r="I9" s="95"/>
    </row>
    <row r="10" spans="1:9" x14ac:dyDescent="0.2">
      <c r="A10" s="91" t="s">
        <v>137</v>
      </c>
      <c r="C10" s="98">
        <v>98795</v>
      </c>
      <c r="E10" s="94">
        <f t="shared" si="0"/>
        <v>2.2680211202938474</v>
      </c>
      <c r="G10" s="95">
        <f t="shared" si="1"/>
        <v>493975</v>
      </c>
      <c r="H10" s="95"/>
      <c r="I10" s="95"/>
    </row>
    <row r="11" spans="1:9" x14ac:dyDescent="0.2">
      <c r="A11" s="91" t="s">
        <v>138</v>
      </c>
      <c r="C11" s="98">
        <v>53785</v>
      </c>
      <c r="E11" s="94">
        <f t="shared" si="0"/>
        <v>1.2347337006427916</v>
      </c>
      <c r="G11" s="95">
        <f t="shared" si="1"/>
        <v>268925</v>
      </c>
      <c r="H11" s="95"/>
      <c r="I11" s="95"/>
    </row>
    <row r="12" spans="1:9" x14ac:dyDescent="0.2">
      <c r="A12" s="91" t="s">
        <v>139</v>
      </c>
      <c r="C12" s="98">
        <v>119371</v>
      </c>
      <c r="E12" s="94">
        <f t="shared" si="0"/>
        <v>2.7403810835629017</v>
      </c>
      <c r="G12" s="95">
        <f t="shared" si="1"/>
        <v>596855</v>
      </c>
      <c r="H12" s="95"/>
      <c r="I12" s="95"/>
    </row>
    <row r="13" spans="1:9" x14ac:dyDescent="0.2">
      <c r="A13" s="91" t="s">
        <v>140</v>
      </c>
      <c r="C13" s="98">
        <v>18163</v>
      </c>
      <c r="E13" s="94">
        <f t="shared" si="0"/>
        <v>0.41696510560146921</v>
      </c>
      <c r="G13" s="95">
        <f t="shared" si="1"/>
        <v>90815</v>
      </c>
      <c r="H13" s="95"/>
      <c r="I13" s="95"/>
    </row>
    <row r="14" spans="1:9" x14ac:dyDescent="0.2">
      <c r="A14" s="91" t="s">
        <v>141</v>
      </c>
      <c r="C14" s="98">
        <v>25617</v>
      </c>
      <c r="E14" s="96">
        <f t="shared" si="0"/>
        <v>0.58808539944903582</v>
      </c>
      <c r="G14" s="95">
        <f t="shared" si="1"/>
        <v>128085</v>
      </c>
      <c r="H14" s="95"/>
      <c r="I14" s="95"/>
    </row>
    <row r="16" spans="1:9" x14ac:dyDescent="0.2">
      <c r="A16" s="89" t="s">
        <v>49</v>
      </c>
      <c r="E16" s="94">
        <f>SUM(E7:E15)</f>
        <v>13.440702479338844</v>
      </c>
      <c r="I16" s="95"/>
    </row>
    <row r="17" spans="1:9" x14ac:dyDescent="0.2">
      <c r="A17" s="91"/>
    </row>
    <row r="18" spans="1:9" x14ac:dyDescent="0.2">
      <c r="A18" s="91"/>
    </row>
    <row r="19" spans="1:9" x14ac:dyDescent="0.2">
      <c r="A19" s="97" t="s">
        <v>135</v>
      </c>
      <c r="C19" s="98" t="s">
        <v>142</v>
      </c>
    </row>
    <row r="20" spans="1:9" x14ac:dyDescent="0.2">
      <c r="A20" s="92" t="s">
        <v>136</v>
      </c>
      <c r="C20" s="98" t="s">
        <v>143</v>
      </c>
    </row>
    <row r="21" spans="1:9" x14ac:dyDescent="0.2">
      <c r="A21" s="92" t="s">
        <v>137</v>
      </c>
      <c r="C21" s="98" t="s">
        <v>144</v>
      </c>
    </row>
    <row r="22" spans="1:9" x14ac:dyDescent="0.2">
      <c r="A22" s="92" t="s">
        <v>138</v>
      </c>
      <c r="C22" s="98" t="s">
        <v>144</v>
      </c>
    </row>
    <row r="23" spans="1:9" x14ac:dyDescent="0.2">
      <c r="A23" s="92" t="s">
        <v>139</v>
      </c>
      <c r="C23" s="98" t="s">
        <v>145</v>
      </c>
    </row>
    <row r="24" spans="1:9" x14ac:dyDescent="0.2">
      <c r="A24" s="92" t="s">
        <v>140</v>
      </c>
      <c r="C24" s="98" t="s">
        <v>146</v>
      </c>
    </row>
    <row r="25" spans="1:9" x14ac:dyDescent="0.2">
      <c r="A25" s="92" t="s">
        <v>141</v>
      </c>
      <c r="C25" s="98" t="s">
        <v>147</v>
      </c>
    </row>
    <row r="27" spans="1:9" x14ac:dyDescent="0.2">
      <c r="E27" s="88" t="s">
        <v>161</v>
      </c>
      <c r="F27" s="89"/>
      <c r="G27" s="88" t="s">
        <v>162</v>
      </c>
      <c r="I27" s="88" t="s">
        <v>165</v>
      </c>
    </row>
    <row r="28" spans="1:9" x14ac:dyDescent="0.2">
      <c r="A28" s="92" t="s">
        <v>160</v>
      </c>
      <c r="E28" s="108">
        <v>5994370</v>
      </c>
    </row>
    <row r="29" spans="1:9" x14ac:dyDescent="0.2">
      <c r="A29" s="92" t="s">
        <v>163</v>
      </c>
      <c r="E29" s="107">
        <v>1520690</v>
      </c>
    </row>
    <row r="30" spans="1:9" x14ac:dyDescent="0.2">
      <c r="A30" s="92" t="s">
        <v>164</v>
      </c>
      <c r="G30" s="108">
        <v>71133</v>
      </c>
      <c r="I30" s="95">
        <f>G30*45</f>
        <v>3200985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0E5CC-9EDD-CA44-AD0C-90D2A553EBC7}">
  <dimension ref="A1:D19"/>
  <sheetViews>
    <sheetView topLeftCell="A19" zoomScale="120" zoomScaleNormal="120" workbookViewId="0">
      <selection activeCell="B32" sqref="B32"/>
    </sheetView>
  </sheetViews>
  <sheetFormatPr baseColWidth="10" defaultRowHeight="13" x14ac:dyDescent="0.15"/>
  <cols>
    <col min="1" max="1" width="24.6640625" customWidth="1"/>
    <col min="2" max="2" width="25.83203125" customWidth="1"/>
    <col min="3" max="3" width="20.33203125" customWidth="1"/>
    <col min="4" max="4" width="13.6640625" bestFit="1" customWidth="1"/>
  </cols>
  <sheetData>
    <row r="1" spans="1:4" ht="14" thickBot="1" x14ac:dyDescent="0.2">
      <c r="B1" s="99" t="s">
        <v>381</v>
      </c>
    </row>
    <row r="2" spans="1:4" x14ac:dyDescent="0.15">
      <c r="A2" s="850" t="s">
        <v>149</v>
      </c>
      <c r="B2" s="851"/>
      <c r="C2" s="852"/>
    </row>
    <row r="3" spans="1:4" ht="14" thickBot="1" x14ac:dyDescent="0.2">
      <c r="A3" s="853" t="s">
        <v>197</v>
      </c>
      <c r="B3" s="854"/>
      <c r="C3" s="855"/>
    </row>
    <row r="4" spans="1:4" x14ac:dyDescent="0.15">
      <c r="A4" s="252"/>
      <c r="B4" s="253"/>
      <c r="C4" s="258"/>
    </row>
    <row r="5" spans="1:4" x14ac:dyDescent="0.15">
      <c r="A5" s="254" t="s">
        <v>198</v>
      </c>
      <c r="B5" s="253"/>
      <c r="C5" s="258">
        <f>'Summary Board'!D144</f>
        <v>6000000</v>
      </c>
    </row>
    <row r="6" spans="1:4" x14ac:dyDescent="0.15">
      <c r="A6" s="254" t="s">
        <v>199</v>
      </c>
      <c r="B6" s="253"/>
      <c r="C6" s="258">
        <f>'Summary Board'!D141</f>
        <v>14843556</v>
      </c>
    </row>
    <row r="7" spans="1:4" x14ac:dyDescent="0.15">
      <c r="A7" s="254" t="s">
        <v>200</v>
      </c>
      <c r="B7" s="253"/>
      <c r="C7" s="258">
        <f>'Summary Board'!E106</f>
        <v>369930198.51744324</v>
      </c>
    </row>
    <row r="8" spans="1:4" x14ac:dyDescent="0.15">
      <c r="A8" s="255" t="s">
        <v>201</v>
      </c>
      <c r="B8" s="109"/>
      <c r="C8" s="696">
        <v>2556647</v>
      </c>
      <c r="D8" s="266">
        <f>C8/C12</f>
        <v>9.9999976145974181E-3</v>
      </c>
    </row>
    <row r="9" spans="1:4" ht="14" thickBot="1" x14ac:dyDescent="0.2">
      <c r="A9" s="256" t="s">
        <v>3</v>
      </c>
      <c r="B9" s="257"/>
      <c r="C9" s="894">
        <f>SUM(C5:C8)</f>
        <v>393330401.51744324</v>
      </c>
    </row>
    <row r="10" spans="1:4" x14ac:dyDescent="0.15">
      <c r="A10" s="261"/>
      <c r="B10" s="262"/>
      <c r="C10" s="895"/>
    </row>
    <row r="11" spans="1:4" x14ac:dyDescent="0.15">
      <c r="A11" s="263" t="s">
        <v>202</v>
      </c>
      <c r="B11" s="253"/>
      <c r="C11" s="896"/>
      <c r="D11" s="533"/>
    </row>
    <row r="12" spans="1:4" x14ac:dyDescent="0.15">
      <c r="A12" s="254" t="s">
        <v>203</v>
      </c>
      <c r="B12" s="253"/>
      <c r="C12" s="897">
        <f>C9*0.65</f>
        <v>255664760.98633811</v>
      </c>
      <c r="D12" s="533"/>
    </row>
    <row r="13" spans="1:4" x14ac:dyDescent="0.15">
      <c r="A13" s="254" t="s">
        <v>204</v>
      </c>
      <c r="B13" s="253"/>
      <c r="C13" s="897">
        <f>C9*0.15</f>
        <v>58999560.227616481</v>
      </c>
    </row>
    <row r="14" spans="1:4" x14ac:dyDescent="0.15">
      <c r="A14" s="254" t="s">
        <v>205</v>
      </c>
      <c r="B14" s="253"/>
      <c r="C14" s="897">
        <f>C9-C12-C13-C15-C16</f>
        <v>13666080.303488642</v>
      </c>
      <c r="D14" s="638"/>
    </row>
    <row r="15" spans="1:4" x14ac:dyDescent="0.15">
      <c r="A15" s="254" t="s">
        <v>360</v>
      </c>
      <c r="B15" s="253"/>
      <c r="C15" s="897">
        <v>50000000</v>
      </c>
    </row>
    <row r="16" spans="1:4" x14ac:dyDescent="0.15">
      <c r="A16" s="254" t="s">
        <v>362</v>
      </c>
      <c r="B16" s="253"/>
      <c r="C16" s="897">
        <v>15000000</v>
      </c>
    </row>
    <row r="17" spans="1:3" x14ac:dyDescent="0.15">
      <c r="A17" s="255" t="s">
        <v>56</v>
      </c>
      <c r="B17" s="109"/>
      <c r="C17" s="696">
        <v>0</v>
      </c>
    </row>
    <row r="18" spans="1:3" ht="14" thickBot="1" x14ac:dyDescent="0.2">
      <c r="A18" s="264" t="s">
        <v>206</v>
      </c>
      <c r="B18" s="257"/>
      <c r="C18" s="259">
        <f>SUM(C12:C17)</f>
        <v>393330401.51744318</v>
      </c>
    </row>
    <row r="19" spans="1:3" x14ac:dyDescent="0.15">
      <c r="C19" s="260"/>
    </row>
  </sheetData>
  <mergeCells count="2"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5E7E5-5ADD-C144-BCE3-673BC60FA3A5}">
  <sheetPr>
    <tabColor theme="6"/>
    <pageSetUpPr fitToPage="1"/>
  </sheetPr>
  <dimension ref="A1:N57"/>
  <sheetViews>
    <sheetView topLeftCell="A16" zoomScale="130" zoomScaleNormal="130" zoomScalePageLayoutView="85" workbookViewId="0">
      <selection activeCell="C42" sqref="C42"/>
    </sheetView>
  </sheetViews>
  <sheetFormatPr baseColWidth="10" defaultColWidth="9.1640625" defaultRowHeight="14" x14ac:dyDescent="0.15"/>
  <cols>
    <col min="1" max="1" width="31.5" style="543" customWidth="1"/>
    <col min="2" max="2" width="13.83203125" style="543" bestFit="1" customWidth="1"/>
    <col min="3" max="3" width="14.5" style="543" bestFit="1" customWidth="1"/>
    <col min="4" max="4" width="13.83203125" style="543" bestFit="1" customWidth="1"/>
    <col min="5" max="5" width="13.33203125" style="543" bestFit="1" customWidth="1"/>
    <col min="6" max="9" width="13.83203125" style="543" bestFit="1" customWidth="1"/>
    <col min="10" max="10" width="13.6640625" style="543" customWidth="1"/>
    <col min="11" max="11" width="13.83203125" style="543" bestFit="1" customWidth="1"/>
    <col min="12" max="13" width="15.5" style="543" bestFit="1" customWidth="1"/>
    <col min="14" max="14" width="12.6640625" style="543" bestFit="1" customWidth="1"/>
    <col min="15" max="16384" width="9.1640625" style="543"/>
  </cols>
  <sheetData>
    <row r="1" spans="1:14" ht="15" thickBot="1" x14ac:dyDescent="0.2">
      <c r="L1" s="544" t="s">
        <v>381</v>
      </c>
      <c r="M1" s="545"/>
    </row>
    <row r="2" spans="1:14" x14ac:dyDescent="0.15">
      <c r="A2" s="546" t="s">
        <v>149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8"/>
    </row>
    <row r="3" spans="1:14" ht="15" thickBot="1" x14ac:dyDescent="0.2">
      <c r="A3" s="549" t="s">
        <v>272</v>
      </c>
      <c r="B3" s="550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2"/>
    </row>
    <row r="4" spans="1:14" ht="15" thickBot="1" x14ac:dyDescent="0.2">
      <c r="A4" s="553"/>
      <c r="B4" s="554" t="s">
        <v>105</v>
      </c>
      <c r="C4" s="555" t="s">
        <v>59</v>
      </c>
      <c r="D4" s="556"/>
      <c r="E4" s="557"/>
      <c r="F4" s="555" t="s">
        <v>273</v>
      </c>
      <c r="G4" s="556"/>
      <c r="H4" s="557"/>
      <c r="I4" s="555" t="s">
        <v>274</v>
      </c>
      <c r="J4" s="558"/>
      <c r="K4" s="556"/>
      <c r="L4" s="557"/>
      <c r="M4" s="559"/>
    </row>
    <row r="5" spans="1:14" ht="14" customHeight="1" thickBot="1" x14ac:dyDescent="0.2">
      <c r="A5" s="560"/>
      <c r="B5" s="554">
        <v>0</v>
      </c>
      <c r="C5" s="561">
        <f>B5+1</f>
        <v>1</v>
      </c>
      <c r="D5" s="372">
        <f t="shared" ref="D5:L6" si="0">C5+1</f>
        <v>2</v>
      </c>
      <c r="E5" s="562">
        <f t="shared" si="0"/>
        <v>3</v>
      </c>
      <c r="F5" s="561">
        <f t="shared" si="0"/>
        <v>4</v>
      </c>
      <c r="G5" s="372">
        <f t="shared" si="0"/>
        <v>5</v>
      </c>
      <c r="H5" s="562">
        <f t="shared" si="0"/>
        <v>6</v>
      </c>
      <c r="I5" s="561">
        <f t="shared" si="0"/>
        <v>7</v>
      </c>
      <c r="J5" s="372">
        <f t="shared" si="0"/>
        <v>8</v>
      </c>
      <c r="K5" s="372">
        <f t="shared" si="0"/>
        <v>9</v>
      </c>
      <c r="L5" s="562">
        <f t="shared" si="0"/>
        <v>10</v>
      </c>
      <c r="M5" s="563"/>
    </row>
    <row r="6" spans="1:14" ht="14" customHeight="1" thickBot="1" x14ac:dyDescent="0.2">
      <c r="A6" s="564"/>
      <c r="B6" s="554" t="s">
        <v>130</v>
      </c>
      <c r="C6" s="561">
        <v>2021</v>
      </c>
      <c r="D6" s="372">
        <f>C6+1</f>
        <v>2022</v>
      </c>
      <c r="E6" s="562">
        <f t="shared" si="0"/>
        <v>2023</v>
      </c>
      <c r="F6" s="561">
        <f t="shared" si="0"/>
        <v>2024</v>
      </c>
      <c r="G6" s="372">
        <f t="shared" si="0"/>
        <v>2025</v>
      </c>
      <c r="H6" s="562">
        <f t="shared" si="0"/>
        <v>2026</v>
      </c>
      <c r="I6" s="561">
        <f t="shared" si="0"/>
        <v>2027</v>
      </c>
      <c r="J6" s="372">
        <f t="shared" si="0"/>
        <v>2028</v>
      </c>
      <c r="K6" s="372">
        <f>J6+1</f>
        <v>2029</v>
      </c>
      <c r="L6" s="562">
        <f>K6+1</f>
        <v>2030</v>
      </c>
      <c r="M6" s="565" t="s">
        <v>49</v>
      </c>
    </row>
    <row r="7" spans="1:14" ht="14" customHeight="1" x14ac:dyDescent="0.15">
      <c r="A7" s="560" t="s">
        <v>198</v>
      </c>
      <c r="B7" s="566">
        <f>'Summary Board'!D144</f>
        <v>6000000</v>
      </c>
      <c r="C7" s="623"/>
      <c r="D7" s="624"/>
      <c r="E7" s="625"/>
      <c r="F7" s="623"/>
      <c r="G7" s="624"/>
      <c r="H7" s="625"/>
      <c r="I7" s="624"/>
      <c r="J7" s="624"/>
      <c r="K7" s="624"/>
      <c r="L7" s="625"/>
      <c r="M7" s="626">
        <f>SUM(B7:L7)</f>
        <v>6000000</v>
      </c>
    </row>
    <row r="8" spans="1:14" ht="14" customHeight="1" x14ac:dyDescent="0.15">
      <c r="A8" s="560" t="s">
        <v>325</v>
      </c>
      <c r="B8" s="570"/>
      <c r="C8" s="570">
        <f>'Summary Board'!D40</f>
        <v>11318580</v>
      </c>
      <c r="D8" s="571">
        <f>'Summary Board'!E40</f>
        <v>0</v>
      </c>
      <c r="E8" s="572">
        <f>'Summary Board'!F40</f>
        <v>0</v>
      </c>
      <c r="F8" s="570">
        <f>'Summary Board'!G40</f>
        <v>653868</v>
      </c>
      <c r="G8" s="571">
        <f>'Summary Board'!H40</f>
        <v>0</v>
      </c>
      <c r="H8" s="572">
        <f>'Summary Board'!I40</f>
        <v>0</v>
      </c>
      <c r="I8" s="571">
        <f>'Summary Board'!J40</f>
        <v>2871108</v>
      </c>
      <c r="J8" s="571">
        <f>'Summary Board'!K40</f>
        <v>0</v>
      </c>
      <c r="K8" s="571">
        <f>'Summary Board'!L40</f>
        <v>0</v>
      </c>
      <c r="L8" s="571">
        <f>'Summary Board'!M40</f>
        <v>0</v>
      </c>
      <c r="M8" s="573">
        <f>SUM(B8:L8)</f>
        <v>14843556</v>
      </c>
    </row>
    <row r="9" spans="1:14" x14ac:dyDescent="0.15">
      <c r="A9" s="560" t="s">
        <v>200</v>
      </c>
      <c r="B9" s="570"/>
      <c r="C9" s="658">
        <f>SUM('Summary Board'!D26:D36)+'Summary Board'!D41</f>
        <v>76271238.534999996</v>
      </c>
      <c r="D9" s="701">
        <f>SUM('Summary Board'!E26:E36)+'Summary Board'!E41</f>
        <v>77855213.565940008</v>
      </c>
      <c r="E9" s="572">
        <f>SUM('Summary Board'!F26:F36)</f>
        <v>4653038</v>
      </c>
      <c r="F9" s="570">
        <f>SUM('Summary Board'!G26:G36)</f>
        <v>88258833.201886639</v>
      </c>
      <c r="G9" s="571">
        <f>SUM('Summary Board'!H26:H36)</f>
        <v>37748003.28864146</v>
      </c>
      <c r="H9" s="572">
        <f>SUM('Summary Board'!I26:I36)</f>
        <v>0</v>
      </c>
      <c r="I9" s="571">
        <f>SUM('Summary Board'!J26:J36)</f>
        <v>53013884.704488739</v>
      </c>
      <c r="J9" s="571">
        <f>SUM('Summary Board'!K26:K36)</f>
        <v>32129987.221486438</v>
      </c>
      <c r="K9" s="571">
        <f>SUM('Summary Board'!L26:L36)</f>
        <v>0</v>
      </c>
      <c r="L9" s="572">
        <f>SUM('Summary Board'!M26:M36)</f>
        <v>0</v>
      </c>
      <c r="M9" s="573">
        <f>SUM(B9:L9)</f>
        <v>369930198.5174433</v>
      </c>
    </row>
    <row r="10" spans="1:14" ht="15" thickBot="1" x14ac:dyDescent="0.2">
      <c r="A10" s="574" t="s">
        <v>201</v>
      </c>
      <c r="B10" s="570">
        <f>Budget!C8</f>
        <v>2556647</v>
      </c>
      <c r="C10" s="596"/>
      <c r="D10" s="597"/>
      <c r="E10" s="598"/>
      <c r="F10" s="596"/>
      <c r="G10" s="597"/>
      <c r="H10" s="598"/>
      <c r="I10" s="597"/>
      <c r="J10" s="597"/>
      <c r="K10" s="597"/>
      <c r="L10" s="598"/>
      <c r="M10" s="627">
        <f>SUM(B10:L10)</f>
        <v>2556647</v>
      </c>
    </row>
    <row r="11" spans="1:14" ht="15" thickBot="1" x14ac:dyDescent="0.2">
      <c r="A11" s="579" t="s">
        <v>3</v>
      </c>
      <c r="B11" s="580">
        <f t="shared" ref="B11:M11" si="1">SUM(B7:B10)</f>
        <v>8556647</v>
      </c>
      <c r="C11" s="581">
        <f t="shared" si="1"/>
        <v>87589818.534999996</v>
      </c>
      <c r="D11" s="582">
        <f t="shared" si="1"/>
        <v>77855213.565940008</v>
      </c>
      <c r="E11" s="583">
        <f t="shared" si="1"/>
        <v>4653038</v>
      </c>
      <c r="F11" s="581">
        <f t="shared" si="1"/>
        <v>88912701.201886639</v>
      </c>
      <c r="G11" s="582">
        <f t="shared" si="1"/>
        <v>37748003.28864146</v>
      </c>
      <c r="H11" s="583">
        <f t="shared" si="1"/>
        <v>0</v>
      </c>
      <c r="I11" s="581">
        <f t="shared" si="1"/>
        <v>55884992.704488739</v>
      </c>
      <c r="J11" s="582">
        <f t="shared" si="1"/>
        <v>32129987.221486438</v>
      </c>
      <c r="K11" s="582">
        <f t="shared" si="1"/>
        <v>0</v>
      </c>
      <c r="L11" s="583">
        <f t="shared" si="1"/>
        <v>0</v>
      </c>
      <c r="M11" s="584">
        <f t="shared" si="1"/>
        <v>393330401.5174433</v>
      </c>
    </row>
    <row r="12" spans="1:14" ht="18.75" customHeight="1" x14ac:dyDescent="0.15">
      <c r="A12" s="623"/>
      <c r="B12" s="585"/>
      <c r="C12" s="585"/>
      <c r="D12" s="586"/>
      <c r="E12" s="587"/>
      <c r="F12" s="585"/>
      <c r="G12" s="586"/>
      <c r="H12" s="587"/>
      <c r="I12" s="585"/>
      <c r="J12" s="586"/>
      <c r="K12" s="586"/>
      <c r="L12" s="587"/>
      <c r="M12" s="588"/>
    </row>
    <row r="13" spans="1:14" x14ac:dyDescent="0.15">
      <c r="A13" s="589" t="s">
        <v>275</v>
      </c>
      <c r="B13" s="590"/>
      <c r="C13" s="590"/>
      <c r="D13" s="591"/>
      <c r="E13" s="592"/>
      <c r="F13" s="590"/>
      <c r="G13" s="591"/>
      <c r="H13" s="592"/>
      <c r="I13" s="590"/>
      <c r="J13" s="591"/>
      <c r="K13" s="591"/>
      <c r="L13" s="592"/>
      <c r="M13" s="593"/>
    </row>
    <row r="14" spans="1:14" x14ac:dyDescent="0.15">
      <c r="A14" s="560" t="s">
        <v>276</v>
      </c>
      <c r="B14" s="659">
        <f>B11</f>
        <v>8556647</v>
      </c>
      <c r="C14" s="659">
        <f>Budget!C14+Budget!C13-B14</f>
        <v>64108993.531105131</v>
      </c>
      <c r="D14" s="567"/>
      <c r="E14" s="568"/>
      <c r="F14" s="566"/>
      <c r="G14" s="567"/>
      <c r="H14" s="568"/>
      <c r="I14" s="566"/>
      <c r="J14" s="567"/>
      <c r="K14" s="567"/>
      <c r="L14" s="568"/>
      <c r="M14" s="569">
        <f>SUM(B14:L14)</f>
        <v>72665640.531105131</v>
      </c>
      <c r="N14" s="594"/>
    </row>
    <row r="15" spans="1:14" x14ac:dyDescent="0.15">
      <c r="A15" s="560" t="s">
        <v>362</v>
      </c>
      <c r="B15" s="566"/>
      <c r="C15" s="659">
        <f>Budget!C16</f>
        <v>15000000</v>
      </c>
      <c r="D15" s="567">
        <f>Budget!C16-C15</f>
        <v>0</v>
      </c>
      <c r="E15" s="568"/>
      <c r="F15" s="566"/>
      <c r="G15" s="567"/>
      <c r="H15" s="568"/>
      <c r="I15" s="566"/>
      <c r="J15" s="567"/>
      <c r="K15" s="567"/>
      <c r="L15" s="568"/>
      <c r="M15" s="569">
        <f t="shared" ref="M15:M16" si="2">SUM(B15:L15)</f>
        <v>15000000</v>
      </c>
      <c r="N15" s="594"/>
    </row>
    <row r="16" spans="1:14" x14ac:dyDescent="0.15">
      <c r="A16" s="560" t="s">
        <v>364</v>
      </c>
      <c r="B16" s="566"/>
      <c r="C16" s="659">
        <f>C11-C14-C15</f>
        <v>8480825.0038948655</v>
      </c>
      <c r="D16" s="567">
        <f>Budget!C15-C16</f>
        <v>41519174.996105134</v>
      </c>
      <c r="E16" s="568"/>
      <c r="F16" s="566"/>
      <c r="G16" s="567"/>
      <c r="H16" s="568"/>
      <c r="I16" s="566"/>
      <c r="J16" s="567"/>
      <c r="K16" s="567"/>
      <c r="L16" s="568"/>
      <c r="M16" s="569">
        <f t="shared" si="2"/>
        <v>50000000</v>
      </c>
      <c r="N16" s="594"/>
    </row>
    <row r="17" spans="1:14" x14ac:dyDescent="0.15">
      <c r="A17" s="560" t="s">
        <v>372</v>
      </c>
      <c r="B17" s="566"/>
      <c r="C17" s="659">
        <f>C16</f>
        <v>8480825.0038948655</v>
      </c>
      <c r="D17" s="567">
        <f>D16+C16</f>
        <v>50000000</v>
      </c>
      <c r="E17" s="568">
        <f t="shared" ref="E17:L17" si="3">D17</f>
        <v>50000000</v>
      </c>
      <c r="F17" s="566">
        <f t="shared" si="3"/>
        <v>50000000</v>
      </c>
      <c r="G17" s="567">
        <f t="shared" si="3"/>
        <v>50000000</v>
      </c>
      <c r="H17" s="568">
        <f t="shared" si="3"/>
        <v>50000000</v>
      </c>
      <c r="I17" s="566">
        <f t="shared" si="3"/>
        <v>50000000</v>
      </c>
      <c r="J17" s="567">
        <f t="shared" si="3"/>
        <v>50000000</v>
      </c>
      <c r="K17" s="567">
        <f t="shared" si="3"/>
        <v>50000000</v>
      </c>
      <c r="L17" s="568">
        <f t="shared" si="3"/>
        <v>50000000</v>
      </c>
      <c r="M17" s="569"/>
      <c r="N17" s="594"/>
    </row>
    <row r="18" spans="1:14" x14ac:dyDescent="0.15">
      <c r="A18" s="560" t="s">
        <v>367</v>
      </c>
      <c r="B18" s="566">
        <f>B11-B14</f>
        <v>0</v>
      </c>
      <c r="C18" s="566">
        <f>C11-C14-C15-C16</f>
        <v>0</v>
      </c>
      <c r="D18" s="567">
        <f>D11-D14-D15-D16</f>
        <v>36336038.569834873</v>
      </c>
      <c r="E18" s="568">
        <f t="shared" ref="E18:L18" si="4">E11-E14</f>
        <v>4653038</v>
      </c>
      <c r="F18" s="566">
        <f t="shared" si="4"/>
        <v>88912701.201886639</v>
      </c>
      <c r="G18" s="567">
        <f t="shared" si="4"/>
        <v>37748003.28864146</v>
      </c>
      <c r="H18" s="568">
        <f t="shared" si="4"/>
        <v>0</v>
      </c>
      <c r="I18" s="566">
        <f t="shared" si="4"/>
        <v>55884992.704488739</v>
      </c>
      <c r="J18" s="567">
        <f t="shared" si="4"/>
        <v>32129987.221486438</v>
      </c>
      <c r="K18" s="567">
        <f t="shared" si="4"/>
        <v>0</v>
      </c>
      <c r="L18" s="568">
        <f t="shared" si="4"/>
        <v>0</v>
      </c>
      <c r="M18" s="569">
        <f>SUM(B18:L18)</f>
        <v>255664760.98633814</v>
      </c>
      <c r="N18" s="595"/>
    </row>
    <row r="19" spans="1:14" ht="15" thickBot="1" x14ac:dyDescent="0.2">
      <c r="A19" s="564" t="s">
        <v>277</v>
      </c>
      <c r="B19" s="596">
        <f>SUM($B$18:B18)</f>
        <v>0</v>
      </c>
      <c r="C19" s="596">
        <f>SUM($B$18:C18)</f>
        <v>0</v>
      </c>
      <c r="D19" s="597">
        <f>SUM($B$18:D18)</f>
        <v>36336038.569834873</v>
      </c>
      <c r="E19" s="598">
        <f>SUM($B$18:E18)</f>
        <v>40989076.569834873</v>
      </c>
      <c r="F19" s="596">
        <f>SUM($B$18:F18)</f>
        <v>129901777.77172151</v>
      </c>
      <c r="G19" s="597">
        <f>SUM($B$18:G18)</f>
        <v>167649781.06036296</v>
      </c>
      <c r="H19" s="598">
        <f>SUM($B$18:H18)</f>
        <v>167649781.06036296</v>
      </c>
      <c r="I19" s="596">
        <f>SUM($B$18:I18)</f>
        <v>223534773.76485169</v>
      </c>
      <c r="J19" s="597">
        <f>SUM($B$18:J18)</f>
        <v>255664760.98633814</v>
      </c>
      <c r="K19" s="597">
        <f>SUM($B$18:K18)</f>
        <v>255664760.98633814</v>
      </c>
      <c r="L19" s="598">
        <f>SUM($B$18:L18)</f>
        <v>255664760.98633814</v>
      </c>
      <c r="M19" s="599"/>
    </row>
    <row r="20" spans="1:14" ht="4.5" customHeight="1" x14ac:dyDescent="0.15">
      <c r="A20" s="560"/>
      <c r="B20" s="590"/>
      <c r="C20" s="590"/>
      <c r="D20" s="591"/>
      <c r="E20" s="592"/>
      <c r="F20" s="590"/>
      <c r="G20" s="591"/>
      <c r="H20" s="592"/>
      <c r="I20" s="590"/>
      <c r="J20" s="591"/>
      <c r="K20" s="591"/>
      <c r="L20" s="592"/>
      <c r="M20" s="593"/>
      <c r="N20" s="594"/>
    </row>
    <row r="21" spans="1:14" x14ac:dyDescent="0.15">
      <c r="A21" s="589" t="s">
        <v>278</v>
      </c>
      <c r="B21" s="590"/>
      <c r="C21" s="590"/>
      <c r="D21" s="591"/>
      <c r="E21" s="592"/>
      <c r="F21" s="590"/>
      <c r="G21" s="591"/>
      <c r="H21" s="592"/>
      <c r="I21" s="590"/>
      <c r="J21" s="591"/>
      <c r="K21" s="591"/>
      <c r="L21" s="592"/>
      <c r="M21" s="593"/>
      <c r="N21" s="594"/>
    </row>
    <row r="22" spans="1:14" x14ac:dyDescent="0.15">
      <c r="A22" s="560" t="s">
        <v>279</v>
      </c>
      <c r="B22" s="566">
        <f t="shared" ref="B22:L22" si="5">B19*$B$43</f>
        <v>0</v>
      </c>
      <c r="C22" s="566">
        <f t="shared" si="5"/>
        <v>0</v>
      </c>
      <c r="D22" s="567">
        <f>D19*$B$43</f>
        <v>2180162.3141900925</v>
      </c>
      <c r="E22" s="568">
        <f t="shared" si="5"/>
        <v>2459344.5941900923</v>
      </c>
      <c r="F22" s="566">
        <f t="shared" si="5"/>
        <v>7794106.6663032901</v>
      </c>
      <c r="G22" s="567">
        <f t="shared" si="5"/>
        <v>10058986.863621777</v>
      </c>
      <c r="H22" s="568">
        <f t="shared" si="5"/>
        <v>10058986.863621777</v>
      </c>
      <c r="I22" s="566">
        <f t="shared" si="5"/>
        <v>13412086.425891101</v>
      </c>
      <c r="J22" s="567">
        <f t="shared" si="5"/>
        <v>15339885.659180287</v>
      </c>
      <c r="K22" s="567">
        <f t="shared" si="5"/>
        <v>15339885.659180287</v>
      </c>
      <c r="L22" s="568">
        <f t="shared" si="5"/>
        <v>15339885.659180287</v>
      </c>
      <c r="M22" s="569">
        <f>SUM(B22:L22)</f>
        <v>91983330.705358982</v>
      </c>
    </row>
    <row r="23" spans="1:14" x14ac:dyDescent="0.15">
      <c r="A23" s="755" t="s">
        <v>363</v>
      </c>
      <c r="B23" s="659"/>
      <c r="C23" s="659">
        <f>C17*$B$44</f>
        <v>254424.75011684594</v>
      </c>
      <c r="D23" s="756">
        <f t="shared" ref="D23:L23" si="6">D17*$B$44</f>
        <v>1500000</v>
      </c>
      <c r="E23" s="756">
        <f t="shared" si="6"/>
        <v>1500000</v>
      </c>
      <c r="F23" s="659">
        <f t="shared" si="6"/>
        <v>1500000</v>
      </c>
      <c r="G23" s="756">
        <f t="shared" si="6"/>
        <v>1500000</v>
      </c>
      <c r="H23" s="756">
        <f t="shared" si="6"/>
        <v>1500000</v>
      </c>
      <c r="I23" s="659">
        <f t="shared" si="6"/>
        <v>1500000</v>
      </c>
      <c r="J23" s="756">
        <f t="shared" si="6"/>
        <v>1500000</v>
      </c>
      <c r="K23" s="756">
        <f t="shared" si="6"/>
        <v>1500000</v>
      </c>
      <c r="L23" s="756">
        <f t="shared" si="6"/>
        <v>1500000</v>
      </c>
      <c r="M23" s="569">
        <f>SUM(B23:L23)</f>
        <v>13754424.750116846</v>
      </c>
    </row>
    <row r="24" spans="1:14" x14ac:dyDescent="0.15">
      <c r="A24" s="574" t="s">
        <v>280</v>
      </c>
      <c r="B24" s="575">
        <v>0</v>
      </c>
      <c r="C24" s="575">
        <f>B24</f>
        <v>0</v>
      </c>
      <c r="D24" s="576">
        <v>0</v>
      </c>
      <c r="E24" s="577">
        <v>0</v>
      </c>
      <c r="F24" s="575">
        <f>E24</f>
        <v>0</v>
      </c>
      <c r="G24" s="576">
        <f>F24</f>
        <v>0</v>
      </c>
      <c r="H24" s="577">
        <f>G24</f>
        <v>0</v>
      </c>
      <c r="I24" s="575"/>
      <c r="J24" s="576"/>
      <c r="K24" s="576"/>
      <c r="L24" s="577">
        <f>L19-SUM(C24:K24)+L17</f>
        <v>305664760.98633814</v>
      </c>
      <c r="M24" s="578">
        <f>SUM(B24:L24)</f>
        <v>305664760.98633814</v>
      </c>
    </row>
    <row r="25" spans="1:14" ht="15" thickBot="1" x14ac:dyDescent="0.2">
      <c r="A25" s="579" t="s">
        <v>281</v>
      </c>
      <c r="B25" s="581">
        <f>SUM(B22:B24)</f>
        <v>0</v>
      </c>
      <c r="C25" s="581">
        <f t="shared" ref="C25:M25" si="7">SUM(C22:C24)</f>
        <v>254424.75011684594</v>
      </c>
      <c r="D25" s="582">
        <f t="shared" si="7"/>
        <v>3680162.3141900925</v>
      </c>
      <c r="E25" s="583">
        <f t="shared" si="7"/>
        <v>3959344.5941900923</v>
      </c>
      <c r="F25" s="581">
        <f t="shared" si="7"/>
        <v>9294106.6663032901</v>
      </c>
      <c r="G25" s="582">
        <f t="shared" si="7"/>
        <v>11558986.863621777</v>
      </c>
      <c r="H25" s="583">
        <f t="shared" si="7"/>
        <v>11558986.863621777</v>
      </c>
      <c r="I25" s="581">
        <f t="shared" si="7"/>
        <v>14912086.425891101</v>
      </c>
      <c r="J25" s="582">
        <f t="shared" si="7"/>
        <v>16839885.659180287</v>
      </c>
      <c r="K25" s="582">
        <f t="shared" si="7"/>
        <v>16839885.659180287</v>
      </c>
      <c r="L25" s="583">
        <f t="shared" si="7"/>
        <v>322504646.64551842</v>
      </c>
      <c r="M25" s="584">
        <f t="shared" si="7"/>
        <v>411402516.44181395</v>
      </c>
      <c r="N25" s="600"/>
    </row>
    <row r="26" spans="1:14" ht="20.25" customHeight="1" x14ac:dyDescent="0.15">
      <c r="A26" s="601"/>
      <c r="B26" s="602"/>
      <c r="C26" s="606"/>
      <c r="D26" s="607"/>
      <c r="E26" s="608"/>
      <c r="F26" s="606"/>
      <c r="G26" s="607"/>
      <c r="H26" s="608"/>
      <c r="I26" s="607"/>
      <c r="J26" s="607"/>
      <c r="K26" s="607"/>
      <c r="L26" s="608"/>
      <c r="M26" s="604"/>
      <c r="N26" s="600"/>
    </row>
    <row r="27" spans="1:14" x14ac:dyDescent="0.15">
      <c r="A27" s="589" t="s">
        <v>282</v>
      </c>
      <c r="B27" s="590"/>
      <c r="C27" s="590"/>
      <c r="D27" s="591"/>
      <c r="E27" s="592"/>
      <c r="F27" s="590"/>
      <c r="G27" s="591"/>
      <c r="H27" s="592"/>
      <c r="I27" s="591"/>
      <c r="J27" s="591"/>
      <c r="K27" s="591"/>
      <c r="L27" s="592"/>
      <c r="M27" s="593"/>
      <c r="N27" s="600"/>
    </row>
    <row r="28" spans="1:14" x14ac:dyDescent="0.15">
      <c r="A28" s="560" t="s">
        <v>5</v>
      </c>
      <c r="B28" s="566"/>
      <c r="C28" s="566">
        <f>'Summary Board'!D21</f>
        <v>0</v>
      </c>
      <c r="D28" s="567">
        <f>'Summary Board'!E21</f>
        <v>3645043.3481490007</v>
      </c>
      <c r="E28" s="568">
        <f>'Summary Board'!F21</f>
        <v>6537322.2302548056</v>
      </c>
      <c r="F28" s="566">
        <f>'Summary Board'!G21</f>
        <v>8887754.8958762176</v>
      </c>
      <c r="G28" s="567">
        <f>'Summary Board'!H21</f>
        <v>18438073.966299132</v>
      </c>
      <c r="H28" s="568">
        <f>'Summary Board'!I21</f>
        <v>21535463.229208294</v>
      </c>
      <c r="I28" s="567">
        <f>'Summary Board'!J21</f>
        <v>23824422.032125004</v>
      </c>
      <c r="J28" s="567">
        <f>'Summary Board'!K21</f>
        <v>33824122.401204079</v>
      </c>
      <c r="K28" s="567">
        <f>'Summary Board'!L21</f>
        <v>36927748.693977706</v>
      </c>
      <c r="L28" s="568">
        <f>'Summary Board'!M21</f>
        <v>39914519.421644427</v>
      </c>
      <c r="M28" s="569">
        <f>SUM(B28:L28)</f>
        <v>193534470.21873868</v>
      </c>
      <c r="N28" s="600"/>
    </row>
    <row r="29" spans="1:14" ht="15" thickBot="1" x14ac:dyDescent="0.2">
      <c r="A29" s="574" t="s">
        <v>283</v>
      </c>
      <c r="B29" s="575">
        <f>-B22</f>
        <v>0</v>
      </c>
      <c r="C29" s="596">
        <f t="shared" ref="C29" si="8">-C22</f>
        <v>0</v>
      </c>
      <c r="D29" s="597">
        <f>-(D22+D23)</f>
        <v>-3680162.3141900925</v>
      </c>
      <c r="E29" s="598">
        <f t="shared" ref="E29:L29" si="9">-(E22+E23)</f>
        <v>-3959344.5941900923</v>
      </c>
      <c r="F29" s="596">
        <f t="shared" si="9"/>
        <v>-9294106.6663032901</v>
      </c>
      <c r="G29" s="597">
        <f t="shared" si="9"/>
        <v>-11558986.863621777</v>
      </c>
      <c r="H29" s="598">
        <f t="shared" si="9"/>
        <v>-11558986.863621777</v>
      </c>
      <c r="I29" s="597">
        <f t="shared" si="9"/>
        <v>-14912086.425891101</v>
      </c>
      <c r="J29" s="597">
        <f t="shared" si="9"/>
        <v>-16839885.659180287</v>
      </c>
      <c r="K29" s="597">
        <f t="shared" si="9"/>
        <v>-16839885.659180287</v>
      </c>
      <c r="L29" s="597">
        <f t="shared" si="9"/>
        <v>-16839885.659180287</v>
      </c>
      <c r="M29" s="578">
        <f>SUM(B29:L29)</f>
        <v>-105483330.70535898</v>
      </c>
      <c r="N29" s="600"/>
    </row>
    <row r="30" spans="1:14" ht="15" thickBot="1" x14ac:dyDescent="0.2">
      <c r="A30" s="579" t="s">
        <v>284</v>
      </c>
      <c r="B30" s="581">
        <f>SUM(B28:B29)</f>
        <v>0</v>
      </c>
      <c r="C30" s="581">
        <f t="shared" ref="C30:L30" si="10">SUM(C28:C29)</f>
        <v>0</v>
      </c>
      <c r="D30" s="582">
        <f t="shared" si="10"/>
        <v>-35118.96604109183</v>
      </c>
      <c r="E30" s="583">
        <f t="shared" si="10"/>
        <v>2577977.6360647134</v>
      </c>
      <c r="F30" s="581">
        <f t="shared" si="10"/>
        <v>-406351.77042707242</v>
      </c>
      <c r="G30" s="582">
        <f t="shared" si="10"/>
        <v>6879087.1026773546</v>
      </c>
      <c r="H30" s="583">
        <f t="shared" si="10"/>
        <v>9976476.3655865174</v>
      </c>
      <c r="I30" s="581">
        <f t="shared" si="10"/>
        <v>8912335.6062339023</v>
      </c>
      <c r="J30" s="582">
        <f t="shared" si="10"/>
        <v>16984236.742023792</v>
      </c>
      <c r="K30" s="582">
        <f t="shared" si="10"/>
        <v>20087863.034797419</v>
      </c>
      <c r="L30" s="583">
        <f t="shared" si="10"/>
        <v>23074633.76246414</v>
      </c>
      <c r="M30" s="584">
        <f>SUM(M28:M29)</f>
        <v>88051139.513379693</v>
      </c>
      <c r="N30" s="600"/>
    </row>
    <row r="31" spans="1:14" ht="13.5" customHeight="1" x14ac:dyDescent="0.15">
      <c r="A31" s="605"/>
      <c r="B31" s="606"/>
      <c r="C31" s="606"/>
      <c r="D31" s="607"/>
      <c r="E31" s="608"/>
      <c r="F31" s="606"/>
      <c r="G31" s="607"/>
      <c r="H31" s="608"/>
      <c r="I31" s="606"/>
      <c r="J31" s="607"/>
      <c r="K31" s="607"/>
      <c r="L31" s="608"/>
      <c r="M31" s="609"/>
      <c r="N31" s="600"/>
    </row>
    <row r="32" spans="1:14" x14ac:dyDescent="0.15">
      <c r="A32" s="589" t="s">
        <v>285</v>
      </c>
      <c r="B32" s="590"/>
      <c r="C32" s="590"/>
      <c r="D32" s="591"/>
      <c r="E32" s="592"/>
      <c r="F32" s="590"/>
      <c r="G32" s="591"/>
      <c r="H32" s="592"/>
      <c r="I32" s="590"/>
      <c r="J32" s="591"/>
      <c r="K32" s="591"/>
      <c r="L32" s="592"/>
      <c r="M32" s="593"/>
      <c r="N32" s="600"/>
    </row>
    <row r="33" spans="1:14" x14ac:dyDescent="0.15">
      <c r="A33" s="560" t="s">
        <v>286</v>
      </c>
      <c r="B33" s="566">
        <f>-B14</f>
        <v>-8556647</v>
      </c>
      <c r="C33" s="566">
        <f t="shared" ref="C33:L33" si="11">-C14</f>
        <v>-64108993.531105131</v>
      </c>
      <c r="D33" s="567">
        <f t="shared" si="11"/>
        <v>0</v>
      </c>
      <c r="E33" s="568">
        <f t="shared" si="11"/>
        <v>0</v>
      </c>
      <c r="F33" s="566">
        <f t="shared" si="11"/>
        <v>0</v>
      </c>
      <c r="G33" s="567">
        <f t="shared" si="11"/>
        <v>0</v>
      </c>
      <c r="H33" s="568">
        <f t="shared" si="11"/>
        <v>0</v>
      </c>
      <c r="I33" s="566">
        <f t="shared" si="11"/>
        <v>0</v>
      </c>
      <c r="J33" s="567">
        <f t="shared" si="11"/>
        <v>0</v>
      </c>
      <c r="K33" s="567">
        <f t="shared" si="11"/>
        <v>0</v>
      </c>
      <c r="L33" s="568">
        <f t="shared" si="11"/>
        <v>0</v>
      </c>
      <c r="M33" s="569">
        <f>SUM(B33:L33)</f>
        <v>-72665640.531105131</v>
      </c>
      <c r="N33" s="600"/>
    </row>
    <row r="34" spans="1:14" x14ac:dyDescent="0.15">
      <c r="A34" s="560" t="s">
        <v>287</v>
      </c>
      <c r="B34" s="570">
        <f>B30</f>
        <v>0</v>
      </c>
      <c r="C34" s="570">
        <f>C30</f>
        <v>0</v>
      </c>
      <c r="D34" s="571">
        <f t="shared" ref="D34:L34" si="12">D30</f>
        <v>-35118.96604109183</v>
      </c>
      <c r="E34" s="572">
        <f t="shared" si="12"/>
        <v>2577977.6360647134</v>
      </c>
      <c r="F34" s="570">
        <f t="shared" si="12"/>
        <v>-406351.77042707242</v>
      </c>
      <c r="G34" s="571">
        <f t="shared" si="12"/>
        <v>6879087.1026773546</v>
      </c>
      <c r="H34" s="572">
        <f t="shared" si="12"/>
        <v>9976476.3655865174</v>
      </c>
      <c r="I34" s="570">
        <f t="shared" si="12"/>
        <v>8912335.6062339023</v>
      </c>
      <c r="J34" s="571">
        <f t="shared" si="12"/>
        <v>16984236.742023792</v>
      </c>
      <c r="K34" s="571">
        <f t="shared" si="12"/>
        <v>20087863.034797419</v>
      </c>
      <c r="L34" s="572">
        <f t="shared" si="12"/>
        <v>23074633.76246414</v>
      </c>
      <c r="M34" s="573">
        <f>SUM(B34:L34)</f>
        <v>88051139.513379663</v>
      </c>
      <c r="N34" s="600"/>
    </row>
    <row r="35" spans="1:14" x14ac:dyDescent="0.15">
      <c r="A35" s="560" t="s">
        <v>288</v>
      </c>
      <c r="B35" s="570"/>
      <c r="C35" s="570"/>
      <c r="D35" s="571"/>
      <c r="E35" s="571"/>
      <c r="F35" s="570"/>
      <c r="G35" s="571"/>
      <c r="H35" s="572"/>
      <c r="I35" s="570"/>
      <c r="J35" s="571"/>
      <c r="K35" s="571"/>
      <c r="L35" s="572">
        <f>'Summary Board'!M47</f>
        <v>650604348.46358466</v>
      </c>
      <c r="M35" s="573">
        <f>SUM(B35:L35)</f>
        <v>650604348.46358466</v>
      </c>
      <c r="N35" s="600"/>
    </row>
    <row r="36" spans="1:14" x14ac:dyDescent="0.15">
      <c r="A36" s="560" t="s">
        <v>289</v>
      </c>
      <c r="B36" s="570"/>
      <c r="C36" s="570"/>
      <c r="D36" s="571"/>
      <c r="E36" s="572"/>
      <c r="F36" s="570"/>
      <c r="G36" s="571"/>
      <c r="H36" s="572"/>
      <c r="I36" s="570"/>
      <c r="J36" s="571"/>
      <c r="K36" s="571"/>
      <c r="L36" s="572">
        <f>'Summary Board'!M48</f>
        <v>-23226156.710219476</v>
      </c>
      <c r="M36" s="573">
        <f>SUM(B36:L36)</f>
        <v>-23226156.710219476</v>
      </c>
      <c r="N36" s="600"/>
    </row>
    <row r="37" spans="1:14" x14ac:dyDescent="0.15">
      <c r="A37" s="574" t="s">
        <v>290</v>
      </c>
      <c r="B37" s="575">
        <f>-B24</f>
        <v>0</v>
      </c>
      <c r="C37" s="575">
        <f t="shared" ref="C37:K37" si="13">-C24</f>
        <v>0</v>
      </c>
      <c r="D37" s="576">
        <f t="shared" si="13"/>
        <v>0</v>
      </c>
      <c r="E37" s="577">
        <f t="shared" si="13"/>
        <v>0</v>
      </c>
      <c r="F37" s="575">
        <f t="shared" si="13"/>
        <v>0</v>
      </c>
      <c r="G37" s="576">
        <f t="shared" si="13"/>
        <v>0</v>
      </c>
      <c r="H37" s="577">
        <f t="shared" si="13"/>
        <v>0</v>
      </c>
      <c r="I37" s="575">
        <f t="shared" si="13"/>
        <v>0</v>
      </c>
      <c r="J37" s="576">
        <f t="shared" si="13"/>
        <v>0</v>
      </c>
      <c r="K37" s="576">
        <f t="shared" si="13"/>
        <v>0</v>
      </c>
      <c r="L37" s="577">
        <f>-L24</f>
        <v>-305664760.98633814</v>
      </c>
      <c r="M37" s="578">
        <f>SUM(B37:L37)</f>
        <v>-305664760.98633814</v>
      </c>
      <c r="N37" s="600"/>
    </row>
    <row r="38" spans="1:14" ht="15" thickBot="1" x14ac:dyDescent="0.2">
      <c r="A38" s="579" t="s">
        <v>291</v>
      </c>
      <c r="B38" s="581">
        <f t="shared" ref="B38:M38" si="14">SUM(B33:B37)</f>
        <v>-8556647</v>
      </c>
      <c r="C38" s="581">
        <f>SUM(C33:C37)</f>
        <v>-64108993.531105131</v>
      </c>
      <c r="D38" s="582">
        <f t="shared" si="14"/>
        <v>-35118.96604109183</v>
      </c>
      <c r="E38" s="583">
        <f t="shared" si="14"/>
        <v>2577977.6360647134</v>
      </c>
      <c r="F38" s="581">
        <f t="shared" si="14"/>
        <v>-406351.77042707242</v>
      </c>
      <c r="G38" s="582">
        <f t="shared" si="14"/>
        <v>6879087.1026773546</v>
      </c>
      <c r="H38" s="583">
        <f t="shared" si="14"/>
        <v>9976476.3655865174</v>
      </c>
      <c r="I38" s="581">
        <f t="shared" si="14"/>
        <v>8912335.6062339023</v>
      </c>
      <c r="J38" s="582">
        <f t="shared" si="14"/>
        <v>16984236.742023792</v>
      </c>
      <c r="K38" s="582">
        <f t="shared" si="14"/>
        <v>20087863.034797419</v>
      </c>
      <c r="L38" s="583">
        <f t="shared" si="14"/>
        <v>344788064.52949119</v>
      </c>
      <c r="M38" s="584">
        <f t="shared" si="14"/>
        <v>337098929.74930155</v>
      </c>
      <c r="N38" s="600"/>
    </row>
    <row r="39" spans="1:14" ht="15" thickBot="1" x14ac:dyDescent="0.2">
      <c r="A39" s="610" t="s">
        <v>40</v>
      </c>
      <c r="B39" s="609">
        <f>B38+NPV(B45,C38:L38)</f>
        <v>113010970.29167834</v>
      </c>
      <c r="C39" s="570"/>
      <c r="D39" s="571"/>
      <c r="E39" s="572"/>
      <c r="F39" s="570"/>
      <c r="G39" s="571"/>
      <c r="H39" s="572"/>
      <c r="I39" s="570"/>
      <c r="J39" s="571"/>
      <c r="K39" s="571"/>
      <c r="L39" s="572"/>
      <c r="M39" s="604"/>
      <c r="N39" s="600"/>
    </row>
    <row r="40" spans="1:14" ht="15" thickBot="1" x14ac:dyDescent="0.2">
      <c r="A40" s="611" t="s">
        <v>96</v>
      </c>
      <c r="B40" s="612">
        <f>IRR(B38:L38,0)</f>
        <v>0.22451590356346274</v>
      </c>
      <c r="C40" s="613"/>
      <c r="D40" s="614"/>
      <c r="E40" s="615"/>
      <c r="F40" s="613"/>
      <c r="G40" s="614"/>
      <c r="H40" s="615"/>
      <c r="I40" s="613"/>
      <c r="J40" s="614"/>
      <c r="K40" s="614"/>
      <c r="L40" s="615"/>
      <c r="M40" s="616"/>
      <c r="N40" s="600"/>
    </row>
    <row r="41" spans="1:14" ht="15" thickBot="1" x14ac:dyDescent="0.2">
      <c r="A41" s="600"/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603"/>
      <c r="N41" s="600"/>
    </row>
    <row r="42" spans="1:14" ht="15" thickBot="1" x14ac:dyDescent="0.2">
      <c r="A42" s="363" t="s">
        <v>292</v>
      </c>
      <c r="B42" s="617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600"/>
    </row>
    <row r="43" spans="1:14" x14ac:dyDescent="0.15">
      <c r="A43" s="553" t="s">
        <v>365</v>
      </c>
      <c r="B43" s="618">
        <v>0.06</v>
      </c>
      <c r="C43" s="619"/>
      <c r="D43" s="619"/>
      <c r="E43" s="619"/>
      <c r="F43" s="619"/>
      <c r="G43" s="619"/>
      <c r="H43" s="619"/>
      <c r="I43" s="619"/>
      <c r="J43" s="619"/>
      <c r="K43" s="619"/>
      <c r="L43" s="619"/>
      <c r="M43" s="600"/>
      <c r="N43" s="600"/>
    </row>
    <row r="44" spans="1:14" x14ac:dyDescent="0.15">
      <c r="A44" s="560" t="s">
        <v>366</v>
      </c>
      <c r="B44" s="697">
        <v>0.03</v>
      </c>
      <c r="C44" s="619"/>
      <c r="D44" s="619"/>
      <c r="E44" s="619"/>
      <c r="F44" s="619"/>
      <c r="G44" s="619"/>
      <c r="H44" s="619"/>
      <c r="I44" s="619"/>
      <c r="J44" s="619"/>
      <c r="K44" s="619"/>
      <c r="L44" s="619"/>
      <c r="M44" s="600"/>
      <c r="N44" s="600"/>
    </row>
    <row r="45" spans="1:14" ht="15" thickBot="1" x14ac:dyDescent="0.2">
      <c r="A45" s="564" t="s">
        <v>175</v>
      </c>
      <c r="B45" s="620">
        <v>0.09</v>
      </c>
      <c r="C45" s="619"/>
      <c r="D45" s="619"/>
      <c r="E45" s="619"/>
      <c r="F45" s="619"/>
      <c r="G45" s="619"/>
      <c r="H45" s="619"/>
      <c r="I45" s="619"/>
      <c r="J45" s="619"/>
      <c r="K45" s="619"/>
      <c r="L45" s="619"/>
      <c r="M45" s="600"/>
      <c r="N45" s="600"/>
    </row>
    <row r="46" spans="1:14" x14ac:dyDescent="0.15">
      <c r="A46" s="600"/>
      <c r="B46" s="591"/>
      <c r="C46" s="591"/>
      <c r="D46" s="591"/>
      <c r="E46" s="591"/>
      <c r="F46" s="591"/>
      <c r="G46" s="591"/>
      <c r="H46" s="591"/>
      <c r="I46" s="591"/>
      <c r="J46" s="591"/>
      <c r="K46" s="591"/>
      <c r="L46" s="591"/>
      <c r="M46" s="600"/>
      <c r="N46" s="600"/>
    </row>
    <row r="47" spans="1:14" x14ac:dyDescent="0.15">
      <c r="A47" s="600"/>
      <c r="B47" s="591"/>
      <c r="C47" s="591"/>
      <c r="D47" s="591"/>
      <c r="E47" s="591"/>
      <c r="F47" s="591"/>
      <c r="G47" s="591"/>
      <c r="H47" s="591"/>
      <c r="I47" s="591"/>
      <c r="J47" s="591"/>
      <c r="K47" s="591"/>
      <c r="L47" s="591"/>
      <c r="M47" s="600"/>
      <c r="N47" s="600"/>
    </row>
    <row r="48" spans="1:14" x14ac:dyDescent="0.15">
      <c r="A48" s="600"/>
      <c r="B48" s="591"/>
      <c r="C48" s="591"/>
      <c r="D48" s="591"/>
      <c r="E48" s="591"/>
      <c r="F48" s="591"/>
      <c r="G48" s="591"/>
      <c r="H48" s="591"/>
      <c r="I48" s="591"/>
      <c r="J48" s="591"/>
      <c r="K48" s="591"/>
      <c r="L48" s="591"/>
      <c r="M48" s="600"/>
      <c r="N48" s="600"/>
    </row>
    <row r="49" spans="1:14" x14ac:dyDescent="0.15">
      <c r="A49" s="600"/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600"/>
      <c r="N49" s="600"/>
    </row>
    <row r="50" spans="1:14" x14ac:dyDescent="0.15">
      <c r="A50" s="600"/>
      <c r="B50" s="591"/>
      <c r="C50" s="591"/>
      <c r="D50" s="591"/>
      <c r="E50" s="591"/>
      <c r="F50" s="591"/>
      <c r="G50" s="591"/>
      <c r="H50" s="591"/>
      <c r="I50" s="591"/>
      <c r="J50" s="591"/>
      <c r="K50" s="591"/>
      <c r="L50" s="591"/>
      <c r="M50" s="600"/>
      <c r="N50" s="600"/>
    </row>
    <row r="51" spans="1:14" x14ac:dyDescent="0.15">
      <c r="A51" s="600"/>
      <c r="B51" s="591"/>
      <c r="C51" s="591"/>
      <c r="D51" s="591"/>
      <c r="E51" s="591"/>
      <c r="F51" s="591"/>
      <c r="G51" s="591"/>
      <c r="H51" s="591"/>
      <c r="I51" s="591"/>
      <c r="J51" s="591"/>
      <c r="K51" s="591"/>
      <c r="L51" s="591"/>
      <c r="M51" s="600"/>
      <c r="N51" s="600"/>
    </row>
    <row r="52" spans="1:14" x14ac:dyDescent="0.15">
      <c r="A52" s="600"/>
      <c r="B52" s="591"/>
      <c r="C52" s="591"/>
      <c r="D52" s="591"/>
      <c r="E52" s="591"/>
      <c r="F52" s="591"/>
      <c r="G52" s="591"/>
      <c r="H52" s="591"/>
      <c r="I52" s="591"/>
      <c r="J52" s="591"/>
      <c r="K52" s="591"/>
      <c r="L52" s="591"/>
      <c r="M52" s="600"/>
      <c r="N52" s="600"/>
    </row>
    <row r="53" spans="1:14" x14ac:dyDescent="0.15">
      <c r="A53" s="600"/>
      <c r="B53" s="591"/>
      <c r="C53" s="591"/>
      <c r="D53" s="591"/>
      <c r="E53" s="591"/>
      <c r="F53" s="591"/>
      <c r="G53" s="591"/>
      <c r="H53" s="591"/>
      <c r="I53" s="591"/>
      <c r="J53" s="591"/>
      <c r="K53" s="591"/>
      <c r="L53" s="591"/>
      <c r="M53" s="600"/>
      <c r="N53" s="600"/>
    </row>
    <row r="54" spans="1:14" x14ac:dyDescent="0.15">
      <c r="A54" s="600"/>
      <c r="B54" s="591"/>
      <c r="C54" s="591"/>
      <c r="D54" s="591"/>
      <c r="E54" s="591"/>
      <c r="F54" s="591"/>
      <c r="G54" s="591"/>
      <c r="H54" s="591"/>
      <c r="I54" s="591"/>
      <c r="J54" s="591"/>
      <c r="K54" s="591"/>
      <c r="L54" s="591"/>
      <c r="M54" s="600"/>
      <c r="N54" s="600"/>
    </row>
    <row r="55" spans="1:14" x14ac:dyDescent="0.15">
      <c r="A55" s="600"/>
      <c r="B55" s="621"/>
      <c r="C55" s="600"/>
      <c r="D55" s="600"/>
      <c r="E55" s="600"/>
      <c r="F55" s="600"/>
      <c r="G55" s="600"/>
      <c r="H55" s="600"/>
      <c r="I55" s="600"/>
      <c r="J55" s="600"/>
      <c r="K55" s="600"/>
      <c r="L55" s="600"/>
      <c r="M55" s="600"/>
      <c r="N55" s="600"/>
    </row>
    <row r="56" spans="1:14" x14ac:dyDescent="0.15">
      <c r="A56" s="600"/>
      <c r="B56" s="591"/>
      <c r="C56" s="591"/>
      <c r="D56" s="591"/>
      <c r="E56" s="591"/>
      <c r="F56" s="591"/>
      <c r="G56" s="591"/>
      <c r="H56" s="591"/>
      <c r="I56" s="591"/>
      <c r="J56" s="591"/>
      <c r="K56" s="591"/>
      <c r="L56" s="591"/>
      <c r="M56" s="600"/>
      <c r="N56" s="600"/>
    </row>
    <row r="57" spans="1:14" x14ac:dyDescent="0.15">
      <c r="B57" s="622"/>
    </row>
  </sheetData>
  <printOptions horizontalCentered="1"/>
  <pageMargins left="0.45" right="0.45" top="0.5" bottom="0.5" header="0.3" footer="0.3"/>
  <pageSetup scale="6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zoomScale="160" zoomScaleNormal="160" workbookViewId="0">
      <selection activeCell="D8" sqref="D8"/>
    </sheetView>
  </sheetViews>
  <sheetFormatPr baseColWidth="10" defaultColWidth="9.1640625" defaultRowHeight="13" x14ac:dyDescent="0.15"/>
  <cols>
    <col min="1" max="1" width="9.1640625" style="1"/>
    <col min="2" max="2" width="13.6640625" style="1" customWidth="1"/>
    <col min="3" max="4" width="8.33203125" style="3" customWidth="1"/>
    <col min="5" max="5" width="10.33203125" style="1" customWidth="1"/>
    <col min="6" max="6" width="10" style="1" customWidth="1"/>
    <col min="7" max="14" width="8.33203125" style="1" customWidth="1"/>
    <col min="15" max="16384" width="9.1640625" style="1"/>
  </cols>
  <sheetData>
    <row r="1" spans="1:15" ht="14.25" customHeight="1" x14ac:dyDescent="0.15">
      <c r="C1" s="3" t="s">
        <v>371</v>
      </c>
      <c r="M1" s="47" t="s">
        <v>352</v>
      </c>
      <c r="N1" s="48"/>
    </row>
    <row r="2" spans="1:15" ht="14.25" customHeight="1" thickBot="1" x14ac:dyDescent="0.2">
      <c r="O2" s="2"/>
    </row>
    <row r="3" spans="1:15" ht="14.25" customHeight="1" thickBot="1" x14ac:dyDescent="0.2">
      <c r="A3" s="53"/>
      <c r="B3" s="53"/>
      <c r="C3" s="78"/>
      <c r="D3" s="78" t="s">
        <v>105</v>
      </c>
      <c r="E3" s="856" t="s">
        <v>59</v>
      </c>
      <c r="F3" s="857"/>
      <c r="G3" s="858"/>
      <c r="H3" s="856" t="s">
        <v>151</v>
      </c>
      <c r="I3" s="857"/>
      <c r="J3" s="858"/>
      <c r="K3" s="856" t="s">
        <v>152</v>
      </c>
      <c r="L3" s="857"/>
      <c r="M3" s="857"/>
      <c r="N3" s="858"/>
    </row>
    <row r="4" spans="1:15" ht="14.25" customHeight="1" x14ac:dyDescent="0.15">
      <c r="A4" s="52"/>
      <c r="B4" s="52"/>
      <c r="C4" s="68" t="s">
        <v>29</v>
      </c>
      <c r="D4" s="84" t="s">
        <v>130</v>
      </c>
      <c r="E4" s="85">
        <v>2021</v>
      </c>
      <c r="F4" s="68">
        <f>E4+1</f>
        <v>2022</v>
      </c>
      <c r="G4" s="68">
        <f t="shared" ref="G4:N4" si="0">F4+1</f>
        <v>2023</v>
      </c>
      <c r="H4" s="68">
        <f t="shared" si="0"/>
        <v>2024</v>
      </c>
      <c r="I4" s="68">
        <f t="shared" si="0"/>
        <v>2025</v>
      </c>
      <c r="J4" s="68">
        <f t="shared" si="0"/>
        <v>2026</v>
      </c>
      <c r="K4" s="68">
        <f t="shared" si="0"/>
        <v>2027</v>
      </c>
      <c r="L4" s="68">
        <f t="shared" si="0"/>
        <v>2028</v>
      </c>
      <c r="M4" s="68">
        <f t="shared" si="0"/>
        <v>2029</v>
      </c>
      <c r="N4" s="68">
        <f t="shared" si="0"/>
        <v>2030</v>
      </c>
      <c r="O4" s="23"/>
    </row>
    <row r="5" spans="1:15" ht="14.25" customHeight="1" x14ac:dyDescent="0.15">
      <c r="A5" s="60" t="s">
        <v>12</v>
      </c>
      <c r="B5" s="26"/>
      <c r="C5" s="79">
        <v>0.02</v>
      </c>
      <c r="D5" s="79"/>
      <c r="E5" s="80"/>
      <c r="F5" s="80"/>
      <c r="G5" s="80"/>
      <c r="H5" s="80"/>
      <c r="I5" s="80"/>
      <c r="J5" s="80"/>
      <c r="K5" s="80"/>
      <c r="L5" s="80"/>
      <c r="M5" s="80"/>
      <c r="N5" s="80"/>
      <c r="O5" s="23"/>
    </row>
    <row r="6" spans="1:15" ht="18" customHeight="1" x14ac:dyDescent="0.15">
      <c r="A6" s="10" t="s">
        <v>8</v>
      </c>
      <c r="B6" s="10"/>
      <c r="C6" s="61"/>
      <c r="D6" s="61"/>
      <c r="E6" s="55"/>
      <c r="F6" s="55"/>
      <c r="G6" s="55"/>
      <c r="H6" s="55"/>
      <c r="I6" s="55"/>
      <c r="J6" s="55"/>
      <c r="K6" s="55"/>
      <c r="L6" s="55"/>
      <c r="M6" s="55"/>
      <c r="N6" s="55"/>
      <c r="O6" s="23"/>
    </row>
    <row r="7" spans="1:15" ht="14.25" customHeight="1" x14ac:dyDescent="0.15">
      <c r="A7" s="862" t="s">
        <v>87</v>
      </c>
      <c r="B7" s="11" t="s">
        <v>79</v>
      </c>
      <c r="C7" s="81"/>
      <c r="D7" s="81"/>
      <c r="E7" s="57"/>
      <c r="F7" s="57"/>
      <c r="G7" s="57"/>
      <c r="H7" s="57"/>
      <c r="I7" s="57"/>
      <c r="J7" s="57"/>
      <c r="K7" s="57"/>
      <c r="L7" s="57"/>
      <c r="M7" s="57"/>
      <c r="N7" s="57"/>
      <c r="O7" s="23"/>
    </row>
    <row r="8" spans="1:15" ht="14.25" customHeight="1" x14ac:dyDescent="0.15">
      <c r="A8" s="863"/>
      <c r="B8" s="11" t="s">
        <v>80</v>
      </c>
      <c r="C8" s="81"/>
      <c r="D8" s="81"/>
      <c r="E8" s="57"/>
      <c r="F8" s="57"/>
      <c r="G8" s="57"/>
      <c r="H8" s="57"/>
      <c r="I8" s="57"/>
      <c r="J8" s="57"/>
      <c r="K8" s="57"/>
      <c r="L8" s="57"/>
      <c r="M8" s="57"/>
      <c r="N8" s="57"/>
      <c r="O8" s="23"/>
    </row>
    <row r="9" spans="1:15" ht="14.25" customHeight="1" x14ac:dyDescent="0.15">
      <c r="A9" s="862" t="s">
        <v>86</v>
      </c>
      <c r="B9" s="11" t="s">
        <v>79</v>
      </c>
      <c r="C9" s="81"/>
      <c r="D9" s="81"/>
      <c r="E9" s="57"/>
      <c r="F9" s="57"/>
      <c r="G9" s="57"/>
      <c r="H9" s="57"/>
      <c r="I9" s="57"/>
      <c r="J9" s="57"/>
      <c r="K9" s="57"/>
      <c r="L9" s="57"/>
      <c r="M9" s="57"/>
      <c r="N9" s="57"/>
      <c r="O9" s="23"/>
    </row>
    <row r="10" spans="1:15" ht="14.25" customHeight="1" x14ac:dyDescent="0.15">
      <c r="A10" s="863"/>
      <c r="B10" s="11" t="s">
        <v>80</v>
      </c>
      <c r="C10" s="81"/>
      <c r="D10" s="81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23"/>
    </row>
    <row r="11" spans="1:15" ht="14.25" customHeight="1" x14ac:dyDescent="0.15">
      <c r="A11" s="864" t="s">
        <v>81</v>
      </c>
      <c r="B11" s="864"/>
      <c r="C11" s="81"/>
      <c r="D11" s="81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23"/>
    </row>
    <row r="12" spans="1:15" ht="14.25" customHeight="1" x14ac:dyDescent="0.15">
      <c r="A12" s="864" t="s">
        <v>82</v>
      </c>
      <c r="B12" s="864"/>
      <c r="C12" s="81"/>
      <c r="D12" s="81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23"/>
    </row>
    <row r="13" spans="1:15" ht="14.25" customHeight="1" x14ac:dyDescent="0.15">
      <c r="A13" s="864" t="s">
        <v>83</v>
      </c>
      <c r="B13" s="864"/>
      <c r="C13" s="81"/>
      <c r="D13" s="81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23"/>
    </row>
    <row r="14" spans="1:15" ht="14.25" customHeight="1" x14ac:dyDescent="0.15">
      <c r="A14" s="864" t="s">
        <v>84</v>
      </c>
      <c r="B14" s="864"/>
      <c r="C14" s="81"/>
      <c r="D14" s="8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23"/>
    </row>
    <row r="15" spans="1:15" ht="14.25" customHeight="1" x14ac:dyDescent="0.15">
      <c r="A15" s="864" t="s">
        <v>85</v>
      </c>
      <c r="B15" s="864"/>
      <c r="C15" s="81"/>
      <c r="D15" s="81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23"/>
    </row>
    <row r="16" spans="1:15" ht="14.25" customHeight="1" x14ac:dyDescent="0.15">
      <c r="A16" s="864" t="s">
        <v>218</v>
      </c>
      <c r="B16" s="864"/>
      <c r="C16" s="702">
        <f>'Summary Board'!G117</f>
        <v>160</v>
      </c>
      <c r="D16" s="82"/>
      <c r="E16" s="630">
        <f>'Summary Board'!D169*0.5</f>
        <v>17248800</v>
      </c>
      <c r="F16" s="630">
        <f>E16</f>
        <v>17248800</v>
      </c>
      <c r="G16" s="59"/>
      <c r="H16" s="59"/>
      <c r="I16" s="59"/>
      <c r="J16" s="59"/>
      <c r="K16" s="59"/>
      <c r="L16" s="59"/>
      <c r="M16" s="59"/>
      <c r="N16" s="59"/>
      <c r="O16" s="23"/>
    </row>
    <row r="17" spans="1:15" ht="14.25" customHeight="1" x14ac:dyDescent="0.15">
      <c r="A17" s="866" t="s">
        <v>52</v>
      </c>
      <c r="B17" s="866"/>
      <c r="C17" s="56"/>
      <c r="D17" s="56"/>
      <c r="E17" s="631">
        <f>SUM(E7:E16)</f>
        <v>17248800</v>
      </c>
      <c r="F17" s="631">
        <f t="shared" ref="F17:N17" si="1">SUM(F7:F16)</f>
        <v>17248800</v>
      </c>
      <c r="G17" s="631">
        <f t="shared" si="1"/>
        <v>0</v>
      </c>
      <c r="H17" s="631">
        <f t="shared" si="1"/>
        <v>0</v>
      </c>
      <c r="I17" s="631">
        <f t="shared" si="1"/>
        <v>0</v>
      </c>
      <c r="J17" s="631">
        <f t="shared" si="1"/>
        <v>0</v>
      </c>
      <c r="K17" s="631">
        <f t="shared" si="1"/>
        <v>0</v>
      </c>
      <c r="L17" s="631">
        <f t="shared" si="1"/>
        <v>0</v>
      </c>
      <c r="M17" s="631">
        <f t="shared" si="1"/>
        <v>0</v>
      </c>
      <c r="N17" s="631">
        <f t="shared" si="1"/>
        <v>0</v>
      </c>
      <c r="O17" s="23"/>
    </row>
    <row r="18" spans="1:15" ht="18" customHeight="1" x14ac:dyDescent="0.15">
      <c r="A18" s="10" t="s">
        <v>9</v>
      </c>
      <c r="B18" s="10"/>
      <c r="C18" s="83"/>
      <c r="D18" s="83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23"/>
    </row>
    <row r="19" spans="1:15" ht="14.25" customHeight="1" x14ac:dyDescent="0.15">
      <c r="A19" s="864" t="s">
        <v>53</v>
      </c>
      <c r="B19" s="864"/>
      <c r="C19" s="29"/>
      <c r="D19" s="29"/>
      <c r="E19" s="632">
        <v>10000000</v>
      </c>
      <c r="F19" s="703">
        <f>E19</f>
        <v>10000000</v>
      </c>
      <c r="G19" s="57"/>
      <c r="H19" s="57"/>
      <c r="I19" s="57"/>
      <c r="J19" s="57"/>
      <c r="K19" s="57"/>
      <c r="L19" s="57"/>
      <c r="M19" s="57"/>
      <c r="N19" s="57"/>
      <c r="O19" s="23"/>
    </row>
    <row r="20" spans="1:15" ht="14.25" customHeight="1" x14ac:dyDescent="0.15">
      <c r="A20" s="864" t="s">
        <v>56</v>
      </c>
      <c r="B20" s="864"/>
      <c r="C20" s="29"/>
      <c r="D20" s="2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23"/>
    </row>
    <row r="21" spans="1:15" ht="14.25" customHeight="1" x14ac:dyDescent="0.15">
      <c r="A21" s="866" t="s">
        <v>52</v>
      </c>
      <c r="B21" s="866"/>
      <c r="C21" s="45"/>
      <c r="D21" s="45"/>
      <c r="E21" s="704">
        <f>SUM(E19:E20)</f>
        <v>10000000</v>
      </c>
      <c r="F21" s="704">
        <f t="shared" ref="F21:N21" si="2">SUM(F19:F20)</f>
        <v>10000000</v>
      </c>
      <c r="G21" s="704">
        <f t="shared" si="2"/>
        <v>0</v>
      </c>
      <c r="H21" s="704">
        <f t="shared" si="2"/>
        <v>0</v>
      </c>
      <c r="I21" s="704">
        <f t="shared" si="2"/>
        <v>0</v>
      </c>
      <c r="J21" s="704">
        <f t="shared" si="2"/>
        <v>0</v>
      </c>
      <c r="K21" s="704">
        <f t="shared" si="2"/>
        <v>0</v>
      </c>
      <c r="L21" s="704">
        <f t="shared" si="2"/>
        <v>0</v>
      </c>
      <c r="M21" s="704">
        <f t="shared" si="2"/>
        <v>0</v>
      </c>
      <c r="N21" s="704">
        <f t="shared" si="2"/>
        <v>0</v>
      </c>
      <c r="O21" s="23"/>
    </row>
    <row r="22" spans="1:15" ht="18" customHeight="1" x14ac:dyDescent="0.15">
      <c r="A22" s="10" t="s">
        <v>10</v>
      </c>
      <c r="B22" s="10"/>
      <c r="C22" s="61"/>
      <c r="D22" s="61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23"/>
    </row>
    <row r="23" spans="1:15" ht="14.25" customHeight="1" x14ac:dyDescent="0.15">
      <c r="A23" s="865" t="s">
        <v>57</v>
      </c>
      <c r="B23" s="865"/>
      <c r="C23" s="29"/>
      <c r="D23" s="29"/>
      <c r="E23" s="632">
        <f>E17+E21</f>
        <v>27248800</v>
      </c>
      <c r="F23" s="632">
        <f t="shared" ref="F23:N23" si="3">F17+F21</f>
        <v>27248800</v>
      </c>
      <c r="G23" s="632">
        <f t="shared" si="3"/>
        <v>0</v>
      </c>
      <c r="H23" s="632">
        <f t="shared" si="3"/>
        <v>0</v>
      </c>
      <c r="I23" s="632">
        <f t="shared" si="3"/>
        <v>0</v>
      </c>
      <c r="J23" s="632">
        <f t="shared" si="3"/>
        <v>0</v>
      </c>
      <c r="K23" s="632">
        <f t="shared" si="3"/>
        <v>0</v>
      </c>
      <c r="L23" s="632">
        <f t="shared" si="3"/>
        <v>0</v>
      </c>
      <c r="M23" s="632">
        <f t="shared" si="3"/>
        <v>0</v>
      </c>
      <c r="N23" s="632">
        <f t="shared" si="3"/>
        <v>0</v>
      </c>
      <c r="O23" s="23"/>
    </row>
    <row r="24" spans="1:15" ht="18" customHeight="1" x14ac:dyDescent="0.15">
      <c r="A24" s="20" t="s">
        <v>58</v>
      </c>
      <c r="B24" s="20"/>
      <c r="C24" s="73"/>
      <c r="D24" s="7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23"/>
    </row>
    <row r="25" spans="1:15" ht="14" thickBot="1" x14ac:dyDescent="0.2">
      <c r="O25" s="23"/>
    </row>
    <row r="26" spans="1:15" ht="14" thickBot="1" x14ac:dyDescent="0.2">
      <c r="A26" s="859" t="s">
        <v>16</v>
      </c>
      <c r="B26" s="860"/>
      <c r="C26" s="861"/>
      <c r="O26" s="23"/>
    </row>
    <row r="27" spans="1:15" x14ac:dyDescent="0.15">
      <c r="A27" s="1" t="s">
        <v>266</v>
      </c>
      <c r="C27" s="412"/>
      <c r="O27" s="23"/>
    </row>
    <row r="28" spans="1:15" x14ac:dyDescent="0.15">
      <c r="A28" s="1" t="s">
        <v>267</v>
      </c>
      <c r="C28" s="412"/>
      <c r="O28" s="23"/>
    </row>
    <row r="29" spans="1:15" x14ac:dyDescent="0.15">
      <c r="A29" s="1" t="s">
        <v>268</v>
      </c>
      <c r="C29" s="412"/>
      <c r="O29" s="23"/>
    </row>
    <row r="30" spans="1:15" x14ac:dyDescent="0.15">
      <c r="A30" s="1" t="s">
        <v>269</v>
      </c>
      <c r="C30" s="412"/>
      <c r="O30" s="23"/>
    </row>
    <row r="31" spans="1:15" x14ac:dyDescent="0.15">
      <c r="A31" s="1" t="s">
        <v>270</v>
      </c>
      <c r="C31" s="412"/>
      <c r="O31" s="23"/>
    </row>
    <row r="32" spans="1:15" x14ac:dyDescent="0.15">
      <c r="A32" s="1" t="s">
        <v>175</v>
      </c>
      <c r="C32" s="112">
        <v>0.09</v>
      </c>
      <c r="O32" s="23"/>
    </row>
    <row r="33" spans="15:15" x14ac:dyDescent="0.15">
      <c r="O33" s="23"/>
    </row>
    <row r="34" spans="15:15" x14ac:dyDescent="0.15">
      <c r="O34" s="23"/>
    </row>
    <row r="35" spans="15:15" x14ac:dyDescent="0.15">
      <c r="O35" s="23"/>
    </row>
    <row r="36" spans="15:15" x14ac:dyDescent="0.15">
      <c r="O36" s="23"/>
    </row>
    <row r="37" spans="15:15" x14ac:dyDescent="0.15">
      <c r="O37" s="23"/>
    </row>
    <row r="38" spans="15:15" x14ac:dyDescent="0.15">
      <c r="O38" s="23"/>
    </row>
    <row r="39" spans="15:15" x14ac:dyDescent="0.15">
      <c r="O39" s="23"/>
    </row>
    <row r="40" spans="15:15" x14ac:dyDescent="0.15">
      <c r="O40" s="23"/>
    </row>
    <row r="41" spans="15:15" x14ac:dyDescent="0.15">
      <c r="O41" s="23"/>
    </row>
    <row r="42" spans="15:15" x14ac:dyDescent="0.15">
      <c r="O42" s="23"/>
    </row>
    <row r="43" spans="15:15" x14ac:dyDescent="0.15">
      <c r="O43" s="23"/>
    </row>
    <row r="44" spans="15:15" x14ac:dyDescent="0.15">
      <c r="O44" s="23"/>
    </row>
  </sheetData>
  <mergeCells count="17">
    <mergeCell ref="A16:B16"/>
    <mergeCell ref="E3:G3"/>
    <mergeCell ref="H3:J3"/>
    <mergeCell ref="K3:N3"/>
    <mergeCell ref="A26:C26"/>
    <mergeCell ref="A7:A8"/>
    <mergeCell ref="A9:A10"/>
    <mergeCell ref="A11:B11"/>
    <mergeCell ref="A12:B12"/>
    <mergeCell ref="A23:B23"/>
    <mergeCell ref="A17:B17"/>
    <mergeCell ref="A19:B19"/>
    <mergeCell ref="A20:B20"/>
    <mergeCell ref="A21:B21"/>
    <mergeCell ref="A13:B13"/>
    <mergeCell ref="A14:B14"/>
    <mergeCell ref="A15:B15"/>
  </mergeCells>
  <phoneticPr fontId="3" type="noConversion"/>
  <pageMargins left="0.5" right="0.5" top="1" bottom="0.5" header="0.5" footer="0.5"/>
  <pageSetup orientation="landscape" r:id="rId1"/>
  <headerFooter alignWithMargins="0">
    <oddHeader>&amp;L&amp;"Arial,Bold"1. Infrastructure Costs by Year, Allocated by Use Types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4"/>
  <sheetViews>
    <sheetView zoomScale="140" zoomScaleNormal="140" workbookViewId="0">
      <selection activeCell="G61" sqref="G61"/>
    </sheetView>
  </sheetViews>
  <sheetFormatPr baseColWidth="10" defaultColWidth="9.1640625" defaultRowHeight="13" x14ac:dyDescent="0.15"/>
  <cols>
    <col min="1" max="1" width="23.33203125" style="1" customWidth="1"/>
    <col min="2" max="2" width="8.5" style="3" customWidth="1"/>
    <col min="3" max="3" width="10.5" style="3" bestFit="1" customWidth="1"/>
    <col min="4" max="12" width="8.83203125" style="1" customWidth="1"/>
    <col min="13" max="13" width="11.1640625" style="1" bestFit="1" customWidth="1"/>
    <col min="14" max="14" width="12.33203125" style="1" bestFit="1" customWidth="1"/>
    <col min="15" max="16384" width="9.1640625" style="1"/>
  </cols>
  <sheetData>
    <row r="1" spans="1:13" ht="14.25" customHeight="1" x14ac:dyDescent="0.15">
      <c r="L1" s="47" t="s">
        <v>352</v>
      </c>
      <c r="M1" s="48"/>
    </row>
    <row r="2" spans="1:13" ht="14.25" customHeight="1" x14ac:dyDescent="0.15">
      <c r="B2" s="65"/>
      <c r="C2" s="65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4.25" customHeight="1" x14ac:dyDescent="0.15">
      <c r="B3" s="65"/>
      <c r="C3" s="65" t="s">
        <v>105</v>
      </c>
      <c r="D3" s="867" t="s">
        <v>59</v>
      </c>
      <c r="E3" s="868"/>
      <c r="F3" s="869"/>
      <c r="G3" s="867" t="s">
        <v>151</v>
      </c>
      <c r="H3" s="868"/>
      <c r="I3" s="869"/>
      <c r="J3" s="867" t="s">
        <v>152</v>
      </c>
      <c r="K3" s="868"/>
      <c r="L3" s="868"/>
      <c r="M3" s="869"/>
    </row>
    <row r="4" spans="1:13" ht="14.25" customHeight="1" x14ac:dyDescent="0.15">
      <c r="A4" s="5"/>
      <c r="B4" s="68" t="s">
        <v>29</v>
      </c>
      <c r="C4" s="127" t="s">
        <v>130</v>
      </c>
      <c r="D4" s="68">
        <v>2021</v>
      </c>
      <c r="E4" s="68">
        <f>D4+1</f>
        <v>2022</v>
      </c>
      <c r="F4" s="68">
        <f t="shared" ref="F4:M4" si="0">E4+1</f>
        <v>2023</v>
      </c>
      <c r="G4" s="68">
        <f t="shared" si="0"/>
        <v>2024</v>
      </c>
      <c r="H4" s="68">
        <f t="shared" si="0"/>
        <v>2025</v>
      </c>
      <c r="I4" s="68">
        <f t="shared" si="0"/>
        <v>2026</v>
      </c>
      <c r="J4" s="68">
        <f t="shared" si="0"/>
        <v>2027</v>
      </c>
      <c r="K4" s="68">
        <f t="shared" si="0"/>
        <v>2028</v>
      </c>
      <c r="L4" s="68">
        <f t="shared" si="0"/>
        <v>2029</v>
      </c>
      <c r="M4" s="68">
        <f t="shared" si="0"/>
        <v>2030</v>
      </c>
    </row>
    <row r="5" spans="1:13" ht="18" customHeight="1" x14ac:dyDescent="0.15">
      <c r="A5" s="10" t="s">
        <v>11</v>
      </c>
      <c r="B5" s="69"/>
      <c r="C5" s="128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8" customHeight="1" x14ac:dyDescent="0.15">
      <c r="A6" s="120" t="s">
        <v>148</v>
      </c>
      <c r="B6" s="69"/>
      <c r="C6" s="128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x14ac:dyDescent="0.15">
      <c r="A7" s="11" t="s">
        <v>12</v>
      </c>
      <c r="B7" s="32">
        <v>0.02</v>
      </c>
      <c r="C7" s="129"/>
      <c r="D7" s="232"/>
      <c r="E7" s="232"/>
      <c r="F7" s="232"/>
      <c r="G7" s="71"/>
      <c r="H7" s="71"/>
      <c r="I7" s="71"/>
      <c r="J7" s="71"/>
      <c r="K7" s="71"/>
      <c r="L7" s="71"/>
      <c r="M7" s="71"/>
    </row>
    <row r="8" spans="1:13" ht="14.25" customHeight="1" x14ac:dyDescent="0.15">
      <c r="A8" s="11" t="s">
        <v>177</v>
      </c>
      <c r="B8" s="61"/>
      <c r="C8" s="209"/>
      <c r="D8" s="486">
        <f>'Development Schedule'!E49/$B$11</f>
        <v>267.39999999999998</v>
      </c>
      <c r="E8" s="487">
        <f>'Development Schedule'!F49/$B$11</f>
        <v>114.6</v>
      </c>
      <c r="F8" s="689">
        <f>'Development Schedule'!G49/$B$11</f>
        <v>0</v>
      </c>
      <c r="G8" s="36"/>
      <c r="H8" s="36"/>
      <c r="I8" s="36"/>
      <c r="J8" s="36"/>
      <c r="K8" s="36"/>
      <c r="L8" s="36"/>
      <c r="M8" s="36"/>
    </row>
    <row r="9" spans="1:13" ht="14.25" customHeight="1" x14ac:dyDescent="0.15">
      <c r="A9" s="86" t="s">
        <v>60</v>
      </c>
      <c r="B9" s="61"/>
      <c r="C9" s="130"/>
      <c r="D9" s="484">
        <f>D8*D14</f>
        <v>0</v>
      </c>
      <c r="E9" s="125">
        <f>E8*E14</f>
        <v>0</v>
      </c>
      <c r="F9" s="125">
        <f>F10-SUM(D$9:$E9)</f>
        <v>114.6</v>
      </c>
      <c r="G9" s="125">
        <f>G10-SUM($F$9:F9)</f>
        <v>171.9</v>
      </c>
      <c r="H9" s="125">
        <f>H10-SUM($F$9:G9)</f>
        <v>76.399999999999977</v>
      </c>
      <c r="I9" s="125">
        <f>I10-SUM($F$9:H9)</f>
        <v>0</v>
      </c>
      <c r="J9" s="125">
        <f>J10-SUM($F$9:I9)</f>
        <v>0</v>
      </c>
      <c r="K9" s="125">
        <f>K10-SUM($F$9:J9)</f>
        <v>0</v>
      </c>
      <c r="L9" s="125">
        <f>L10-SUM($F$9:K9)</f>
        <v>0</v>
      </c>
      <c r="M9" s="125">
        <f>M10-SUM($F$9:L9)</f>
        <v>0</v>
      </c>
    </row>
    <row r="10" spans="1:13" ht="14.25" customHeight="1" x14ac:dyDescent="0.15">
      <c r="A10" s="86" t="s">
        <v>176</v>
      </c>
      <c r="B10" s="61"/>
      <c r="C10" s="130"/>
      <c r="D10" s="125">
        <f>D9</f>
        <v>0</v>
      </c>
      <c r="E10" s="125">
        <f t="shared" ref="E10:G10" si="1">$B$57*E14</f>
        <v>0</v>
      </c>
      <c r="F10" s="125">
        <f t="shared" si="1"/>
        <v>114.6</v>
      </c>
      <c r="G10" s="125">
        <f t="shared" si="1"/>
        <v>286.5</v>
      </c>
      <c r="H10" s="125">
        <f>$B$57*H14</f>
        <v>362.9</v>
      </c>
      <c r="I10" s="125">
        <f t="shared" ref="I10:M10" si="2">$B$57*I14</f>
        <v>362.9</v>
      </c>
      <c r="J10" s="125">
        <f t="shared" si="2"/>
        <v>362.9</v>
      </c>
      <c r="K10" s="125">
        <f t="shared" si="2"/>
        <v>362.9</v>
      </c>
      <c r="L10" s="125">
        <f t="shared" si="2"/>
        <v>362.9</v>
      </c>
      <c r="M10" s="125">
        <f t="shared" si="2"/>
        <v>362.9</v>
      </c>
    </row>
    <row r="11" spans="1:13" ht="14.25" customHeight="1" x14ac:dyDescent="0.15">
      <c r="A11" s="11" t="s">
        <v>61</v>
      </c>
      <c r="B11" s="28">
        <v>750</v>
      </c>
      <c r="C11" s="131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4.25" customHeight="1" x14ac:dyDescent="0.15">
      <c r="A12" s="11" t="s">
        <v>62</v>
      </c>
      <c r="B12" s="28"/>
      <c r="C12" s="131"/>
      <c r="D12" s="123">
        <f>SUM($D$8:D8)*$B$11</f>
        <v>200549.99999999997</v>
      </c>
      <c r="E12" s="123">
        <f>SUM($D$8:E8)*$B$11</f>
        <v>286500</v>
      </c>
      <c r="F12" s="123">
        <f>SUM($D$8:F8)*$B$11</f>
        <v>286500</v>
      </c>
      <c r="G12" s="123">
        <f>SUM($D$8:G8)*$B$11</f>
        <v>286500</v>
      </c>
      <c r="H12" s="123">
        <f>SUM($D$8:H8)*$B$11</f>
        <v>286500</v>
      </c>
      <c r="I12" s="123">
        <f>SUM($D$8:I8)*$B$11</f>
        <v>286500</v>
      </c>
      <c r="J12" s="123">
        <f>SUM($D$8:J8)*$B$11</f>
        <v>286500</v>
      </c>
      <c r="K12" s="123">
        <f>SUM($D$8:K8)*$B$11</f>
        <v>286500</v>
      </c>
      <c r="L12" s="123">
        <f>SUM($D$8:L8)*$B$11</f>
        <v>286500</v>
      </c>
      <c r="M12" s="123">
        <f>SUM($D$8:M8)*$B$11</f>
        <v>286500</v>
      </c>
    </row>
    <row r="13" spans="1:13" ht="14.25" customHeight="1" x14ac:dyDescent="0.15">
      <c r="A13" s="11" t="s">
        <v>63</v>
      </c>
      <c r="B13" s="28"/>
      <c r="C13" s="132">
        <f>'Summary Board'!J126</f>
        <v>1.61</v>
      </c>
      <c r="D13" s="138">
        <f>C13*(1+$B$7)</f>
        <v>1.6422000000000001</v>
      </c>
      <c r="E13" s="138">
        <f t="shared" ref="E13:M13" si="3">D13*(1+$B$7)</f>
        <v>1.6750440000000002</v>
      </c>
      <c r="F13" s="138">
        <f t="shared" si="3"/>
        <v>1.7085448800000003</v>
      </c>
      <c r="G13" s="138">
        <f t="shared" si="3"/>
        <v>1.7427157776000004</v>
      </c>
      <c r="H13" s="138">
        <f t="shared" si="3"/>
        <v>1.7775700931520004</v>
      </c>
      <c r="I13" s="138">
        <f t="shared" si="3"/>
        <v>1.8131214950150405</v>
      </c>
      <c r="J13" s="138">
        <f t="shared" si="3"/>
        <v>1.8493839249153414</v>
      </c>
      <c r="K13" s="138">
        <f t="shared" si="3"/>
        <v>1.8863716034136482</v>
      </c>
      <c r="L13" s="138">
        <f t="shared" si="3"/>
        <v>1.9240990354819212</v>
      </c>
      <c r="M13" s="138">
        <f t="shared" si="3"/>
        <v>1.9625810161915596</v>
      </c>
    </row>
    <row r="14" spans="1:13" ht="14.25" customHeight="1" x14ac:dyDescent="0.15">
      <c r="A14" s="18" t="s">
        <v>64</v>
      </c>
      <c r="B14" s="76"/>
      <c r="C14" s="133"/>
      <c r="D14" s="124">
        <v>0</v>
      </c>
      <c r="E14" s="124">
        <v>0</v>
      </c>
      <c r="F14" s="124">
        <v>0.3</v>
      </c>
      <c r="G14" s="124">
        <v>0.75</v>
      </c>
      <c r="H14" s="124">
        <v>0.95</v>
      </c>
      <c r="I14" s="124">
        <v>0.95</v>
      </c>
      <c r="J14" s="124">
        <v>0.95</v>
      </c>
      <c r="K14" s="124">
        <v>0.95</v>
      </c>
      <c r="L14" s="124">
        <v>0.95</v>
      </c>
      <c r="M14" s="124">
        <v>0.95</v>
      </c>
    </row>
    <row r="15" spans="1:13" ht="18" customHeight="1" x14ac:dyDescent="0.15">
      <c r="A15" s="120" t="s">
        <v>151</v>
      </c>
      <c r="B15" s="69"/>
      <c r="C15" s="128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x14ac:dyDescent="0.15">
      <c r="A16" s="86" t="s">
        <v>12</v>
      </c>
      <c r="B16" s="32">
        <v>0.02</v>
      </c>
      <c r="C16" s="129"/>
      <c r="D16" s="71"/>
      <c r="E16" s="71"/>
      <c r="F16" s="71"/>
      <c r="G16" s="232"/>
      <c r="H16" s="232"/>
      <c r="I16" s="232"/>
      <c r="J16" s="71"/>
      <c r="K16" s="71"/>
      <c r="L16" s="71"/>
      <c r="M16" s="71"/>
    </row>
    <row r="17" spans="1:13" x14ac:dyDescent="0.15">
      <c r="A17" s="86" t="s">
        <v>177</v>
      </c>
      <c r="B17" s="74"/>
      <c r="C17" s="139"/>
      <c r="D17" s="140"/>
      <c r="E17" s="140"/>
      <c r="F17" s="140"/>
      <c r="G17" s="233">
        <f>'Development Schedule'!H49/$B$20</f>
        <v>180</v>
      </c>
      <c r="H17" s="234">
        <f>'Development Schedule'!I49/$B$20</f>
        <v>60</v>
      </c>
      <c r="I17" s="235">
        <f>'Development Schedule'!J49/$B$20</f>
        <v>0</v>
      </c>
      <c r="J17" s="140"/>
      <c r="K17" s="140"/>
      <c r="L17" s="140"/>
      <c r="M17" s="140"/>
    </row>
    <row r="18" spans="1:13" ht="14.25" customHeight="1" x14ac:dyDescent="0.15">
      <c r="A18" s="86" t="s">
        <v>60</v>
      </c>
      <c r="B18" s="61"/>
      <c r="C18" s="130"/>
      <c r="D18" s="484">
        <v>0</v>
      </c>
      <c r="E18" s="484">
        <v>0</v>
      </c>
      <c r="F18" s="125">
        <f>F19-SUM($D$18:E18)</f>
        <v>0</v>
      </c>
      <c r="G18" s="125">
        <f>G19-SUM($D$18:F18)</f>
        <v>0</v>
      </c>
      <c r="H18" s="125">
        <f>H19-SUM($D$18:G18)</f>
        <v>0</v>
      </c>
      <c r="I18" s="125">
        <f>I19-SUM($D$18:H18)</f>
        <v>72</v>
      </c>
      <c r="J18" s="125">
        <f>J19-SUM($D$18:I18)</f>
        <v>108</v>
      </c>
      <c r="K18" s="125">
        <f>K19-SUM($D$18:J18)</f>
        <v>48</v>
      </c>
      <c r="L18" s="125">
        <f>L19-SUM($D$18:K18)</f>
        <v>0</v>
      </c>
      <c r="M18" s="125">
        <f>M19-SUM($D$18:L18)</f>
        <v>0</v>
      </c>
    </row>
    <row r="19" spans="1:13" ht="14.25" customHeight="1" x14ac:dyDescent="0.15">
      <c r="A19" s="86" t="s">
        <v>176</v>
      </c>
      <c r="B19" s="61"/>
      <c r="C19" s="130"/>
      <c r="D19" s="125">
        <f>$B$58*D23</f>
        <v>0</v>
      </c>
      <c r="E19" s="125">
        <f t="shared" ref="E19:M19" si="4">$B$58*E23</f>
        <v>0</v>
      </c>
      <c r="F19" s="125">
        <f t="shared" si="4"/>
        <v>0</v>
      </c>
      <c r="G19" s="125">
        <f t="shared" si="4"/>
        <v>0</v>
      </c>
      <c r="H19" s="125">
        <f t="shared" si="4"/>
        <v>0</v>
      </c>
      <c r="I19" s="125">
        <f t="shared" si="4"/>
        <v>72</v>
      </c>
      <c r="J19" s="125">
        <f t="shared" si="4"/>
        <v>180</v>
      </c>
      <c r="K19" s="125">
        <f t="shared" si="4"/>
        <v>228</v>
      </c>
      <c r="L19" s="125">
        <f t="shared" si="4"/>
        <v>228</v>
      </c>
      <c r="M19" s="125">
        <f t="shared" si="4"/>
        <v>228</v>
      </c>
    </row>
    <row r="20" spans="1:13" ht="14.25" customHeight="1" x14ac:dyDescent="0.15">
      <c r="A20" s="86" t="s">
        <v>61</v>
      </c>
      <c r="B20" s="28">
        <v>750</v>
      </c>
      <c r="C20" s="131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4.25" customHeight="1" x14ac:dyDescent="0.15">
      <c r="A21" s="86" t="s">
        <v>62</v>
      </c>
      <c r="B21" s="28"/>
      <c r="C21" s="131"/>
      <c r="D21" s="141">
        <f>SUM($D$17:D17)*$B$20</f>
        <v>0</v>
      </c>
      <c r="E21" s="141">
        <f>SUM($D$17:E17)*$B$20</f>
        <v>0</v>
      </c>
      <c r="F21" s="141">
        <f>SUM($D$17:F17)*$B$20</f>
        <v>0</v>
      </c>
      <c r="G21" s="141">
        <f>SUM($D$17:G17)*$B$20</f>
        <v>135000</v>
      </c>
      <c r="H21" s="141">
        <f>SUM($D$17:H17)*$B$20</f>
        <v>180000</v>
      </c>
      <c r="I21" s="141">
        <f>SUM($D$17:I17)*$B$20</f>
        <v>180000</v>
      </c>
      <c r="J21" s="141">
        <f>SUM($D$17:J17)*$B$20</f>
        <v>180000</v>
      </c>
      <c r="K21" s="141">
        <f>SUM($D$17:K17)*$B$20</f>
        <v>180000</v>
      </c>
      <c r="L21" s="141">
        <f>SUM($D$17:L17)*$B$20</f>
        <v>180000</v>
      </c>
      <c r="M21" s="141">
        <f>SUM($D$17:M17)*$B$20</f>
        <v>180000</v>
      </c>
    </row>
    <row r="22" spans="1:13" ht="14.25" customHeight="1" x14ac:dyDescent="0.15">
      <c r="A22" s="86" t="s">
        <v>63</v>
      </c>
      <c r="B22" s="28"/>
      <c r="C22" s="134">
        <f>C13</f>
        <v>1.61</v>
      </c>
      <c r="D22" s="138">
        <f>C22*(1+$B$16)</f>
        <v>1.6422000000000001</v>
      </c>
      <c r="E22" s="138">
        <f t="shared" ref="E22:M22" si="5">D22*(1+$B$16)</f>
        <v>1.6750440000000002</v>
      </c>
      <c r="F22" s="138">
        <f t="shared" si="5"/>
        <v>1.7085448800000003</v>
      </c>
      <c r="G22" s="138">
        <f t="shared" si="5"/>
        <v>1.7427157776000004</v>
      </c>
      <c r="H22" s="138">
        <f t="shared" si="5"/>
        <v>1.7775700931520004</v>
      </c>
      <c r="I22" s="138">
        <f t="shared" si="5"/>
        <v>1.8131214950150405</v>
      </c>
      <c r="J22" s="138">
        <f t="shared" si="5"/>
        <v>1.8493839249153414</v>
      </c>
      <c r="K22" s="138">
        <f t="shared" si="5"/>
        <v>1.8863716034136482</v>
      </c>
      <c r="L22" s="138">
        <f t="shared" si="5"/>
        <v>1.9240990354819212</v>
      </c>
      <c r="M22" s="138">
        <f t="shared" si="5"/>
        <v>1.9625810161915596</v>
      </c>
    </row>
    <row r="23" spans="1:13" ht="14.25" customHeight="1" x14ac:dyDescent="0.15">
      <c r="A23" s="18" t="s">
        <v>64</v>
      </c>
      <c r="B23" s="76"/>
      <c r="C23" s="133"/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0.3</v>
      </c>
      <c r="J23" s="124">
        <v>0.75</v>
      </c>
      <c r="K23" s="124">
        <v>0.95</v>
      </c>
      <c r="L23" s="124">
        <v>0.95</v>
      </c>
      <c r="M23" s="124">
        <v>0.95</v>
      </c>
    </row>
    <row r="24" spans="1:13" ht="18" customHeight="1" x14ac:dyDescent="0.15">
      <c r="A24" s="120" t="s">
        <v>152</v>
      </c>
      <c r="B24" s="69"/>
      <c r="C24" s="128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x14ac:dyDescent="0.15">
      <c r="A25" s="86" t="s">
        <v>12</v>
      </c>
      <c r="B25" s="32">
        <v>0.02</v>
      </c>
      <c r="C25" s="129"/>
      <c r="D25" s="71"/>
      <c r="E25" s="71"/>
      <c r="F25" s="71"/>
      <c r="G25" s="71"/>
      <c r="H25" s="71"/>
      <c r="I25" s="71"/>
      <c r="J25" s="232"/>
      <c r="K25" s="232"/>
      <c r="L25" s="232"/>
      <c r="M25" s="232"/>
    </row>
    <row r="26" spans="1:13" x14ac:dyDescent="0.15">
      <c r="A26" s="86" t="s">
        <v>177</v>
      </c>
      <c r="B26" s="74"/>
      <c r="C26" s="139"/>
      <c r="D26" s="140"/>
      <c r="E26" s="140"/>
      <c r="F26" s="140"/>
      <c r="G26" s="140"/>
      <c r="H26" s="140"/>
      <c r="I26" s="140"/>
      <c r="J26" s="233">
        <f>'Development Schedule'!K31/$B$29</f>
        <v>0</v>
      </c>
      <c r="K26" s="234">
        <f>'Development Schedule'!L31/$B$29</f>
        <v>0</v>
      </c>
      <c r="L26" s="234">
        <f>'Development Schedule'!M31/$B$29</f>
        <v>0</v>
      </c>
      <c r="M26" s="235">
        <f>'Development Schedule'!N31/$B$29</f>
        <v>0</v>
      </c>
    </row>
    <row r="27" spans="1:13" ht="14.25" customHeight="1" x14ac:dyDescent="0.15">
      <c r="A27" s="86" t="s">
        <v>60</v>
      </c>
      <c r="B27" s="61"/>
      <c r="C27" s="130"/>
      <c r="D27" s="484">
        <v>0</v>
      </c>
      <c r="E27" s="484">
        <v>0</v>
      </c>
      <c r="F27" s="125">
        <f>F28-SUM($D$27:E27)</f>
        <v>0</v>
      </c>
      <c r="G27" s="125">
        <f>G28-SUM($D$27:F27)</f>
        <v>0</v>
      </c>
      <c r="H27" s="125">
        <f>H28-SUM($D$27:G27)</f>
        <v>0</v>
      </c>
      <c r="I27" s="125">
        <f>I28-SUM($D$27:H27)</f>
        <v>0</v>
      </c>
      <c r="J27" s="125">
        <f>J28-SUM($D$27:I27)</f>
        <v>0</v>
      </c>
      <c r="K27" s="125">
        <f>K28-SUM($D$27:J27)</f>
        <v>0</v>
      </c>
      <c r="L27" s="125">
        <f>L28-SUM($D$27:K27)</f>
        <v>0</v>
      </c>
      <c r="M27" s="125">
        <f>M28-SUM($D$27:L27)</f>
        <v>0</v>
      </c>
    </row>
    <row r="28" spans="1:13" ht="14.25" customHeight="1" x14ac:dyDescent="0.15">
      <c r="A28" s="86" t="s">
        <v>176</v>
      </c>
      <c r="B28" s="61"/>
      <c r="C28" s="130"/>
      <c r="D28" s="125">
        <f>$B$59*D32</f>
        <v>0</v>
      </c>
      <c r="E28" s="125">
        <f t="shared" ref="E28:M28" si="6">$B$59*E32</f>
        <v>0</v>
      </c>
      <c r="F28" s="125">
        <f t="shared" si="6"/>
        <v>0</v>
      </c>
      <c r="G28" s="125">
        <f t="shared" si="6"/>
        <v>0</v>
      </c>
      <c r="H28" s="125">
        <f t="shared" si="6"/>
        <v>0</v>
      </c>
      <c r="I28" s="125">
        <f t="shared" si="6"/>
        <v>0</v>
      </c>
      <c r="J28" s="125">
        <f t="shared" si="6"/>
        <v>0</v>
      </c>
      <c r="K28" s="125">
        <f t="shared" si="6"/>
        <v>0</v>
      </c>
      <c r="L28" s="125">
        <f t="shared" si="6"/>
        <v>0</v>
      </c>
      <c r="M28" s="125">
        <f t="shared" si="6"/>
        <v>0</v>
      </c>
    </row>
    <row r="29" spans="1:13" ht="14.25" customHeight="1" x14ac:dyDescent="0.15">
      <c r="A29" s="86" t="s">
        <v>61</v>
      </c>
      <c r="B29" s="28">
        <v>750</v>
      </c>
      <c r="C29" s="131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4.25" customHeight="1" x14ac:dyDescent="0.15">
      <c r="A30" s="86" t="s">
        <v>62</v>
      </c>
      <c r="B30" s="28"/>
      <c r="C30" s="131"/>
      <c r="D30" s="141">
        <f>SUM($D$26:D26)*$B$29</f>
        <v>0</v>
      </c>
      <c r="E30" s="141">
        <f>SUM($D$26:E26)*$B$29</f>
        <v>0</v>
      </c>
      <c r="F30" s="141">
        <f>SUM($D$26:F26)*$B$29</f>
        <v>0</v>
      </c>
      <c r="G30" s="141">
        <f>SUM($D$26:G26)*$B$29</f>
        <v>0</v>
      </c>
      <c r="H30" s="141">
        <f>SUM($D$26:H26)*$B$29</f>
        <v>0</v>
      </c>
      <c r="I30" s="141">
        <f>SUM($D$26:I26)*$B$29</f>
        <v>0</v>
      </c>
      <c r="J30" s="141">
        <f>SUM($D$26:J26)*$B$29</f>
        <v>0</v>
      </c>
      <c r="K30" s="141">
        <f>SUM($D$26:K26)*$B$29</f>
        <v>0</v>
      </c>
      <c r="L30" s="141">
        <f>SUM($D$26:L26)*$B$29</f>
        <v>0</v>
      </c>
      <c r="M30" s="141">
        <f>SUM($D$26:M26)*$B$29</f>
        <v>0</v>
      </c>
    </row>
    <row r="31" spans="1:13" ht="14.25" customHeight="1" x14ac:dyDescent="0.15">
      <c r="A31" s="86" t="s">
        <v>63</v>
      </c>
      <c r="B31" s="28"/>
      <c r="C31" s="134">
        <f>C22</f>
        <v>1.61</v>
      </c>
      <c r="D31" s="706">
        <f>C31*(1+$B$25)</f>
        <v>1.6422000000000001</v>
      </c>
      <c r="E31" s="706">
        <f t="shared" ref="E31:M31" si="7">D31*(1+$B$25)</f>
        <v>1.6750440000000002</v>
      </c>
      <c r="F31" s="706">
        <f t="shared" si="7"/>
        <v>1.7085448800000003</v>
      </c>
      <c r="G31" s="706">
        <f t="shared" si="7"/>
        <v>1.7427157776000004</v>
      </c>
      <c r="H31" s="706">
        <f t="shared" si="7"/>
        <v>1.7775700931520004</v>
      </c>
      <c r="I31" s="706">
        <f t="shared" si="7"/>
        <v>1.8131214950150405</v>
      </c>
      <c r="J31" s="706">
        <f t="shared" si="7"/>
        <v>1.8493839249153414</v>
      </c>
      <c r="K31" s="706">
        <f t="shared" si="7"/>
        <v>1.8863716034136482</v>
      </c>
      <c r="L31" s="706">
        <f t="shared" si="7"/>
        <v>1.9240990354819212</v>
      </c>
      <c r="M31" s="706">
        <f t="shared" si="7"/>
        <v>1.9625810161915596</v>
      </c>
    </row>
    <row r="32" spans="1:13" ht="14.25" customHeight="1" x14ac:dyDescent="0.15">
      <c r="A32" s="18" t="s">
        <v>64</v>
      </c>
      <c r="B32" s="76"/>
      <c r="C32" s="133"/>
      <c r="D32" s="707">
        <v>0</v>
      </c>
      <c r="E32" s="707">
        <v>0</v>
      </c>
      <c r="F32" s="707">
        <v>0</v>
      </c>
      <c r="G32" s="707">
        <v>0</v>
      </c>
      <c r="H32" s="707">
        <v>0</v>
      </c>
      <c r="I32" s="707">
        <v>0</v>
      </c>
      <c r="J32" s="707">
        <v>0</v>
      </c>
      <c r="K32" s="707">
        <v>0.3</v>
      </c>
      <c r="L32" s="707">
        <v>0.75</v>
      </c>
      <c r="M32" s="707">
        <v>0.95</v>
      </c>
    </row>
    <row r="33" spans="1:14" ht="18" customHeight="1" x14ac:dyDescent="0.15">
      <c r="A33" s="10" t="s">
        <v>0</v>
      </c>
      <c r="B33" s="61"/>
      <c r="C33" s="130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4" ht="14.25" customHeight="1" x14ac:dyDescent="0.15">
      <c r="A34" s="11" t="s">
        <v>13</v>
      </c>
      <c r="B34" s="28"/>
      <c r="C34" s="131"/>
      <c r="D34" s="144">
        <f>SUM(D10,D19,D28)*$B$11*D13*12</f>
        <v>0</v>
      </c>
      <c r="E34" s="144">
        <f t="shared" ref="E34:M34" si="8">SUM(E10,E19,E28)*$B$11*E13*12</f>
        <v>0</v>
      </c>
      <c r="F34" s="144">
        <f t="shared" si="8"/>
        <v>1762193.1892320004</v>
      </c>
      <c r="G34" s="144">
        <f t="shared" si="8"/>
        <v>4493592.6325416006</v>
      </c>
      <c r="H34" s="144">
        <f t="shared" si="8"/>
        <v>5805721.6812437493</v>
      </c>
      <c r="I34" s="144">
        <f t="shared" si="8"/>
        <v>7096738.8436383698</v>
      </c>
      <c r="J34" s="144">
        <f t="shared" si="8"/>
        <v>9036274.7955288496</v>
      </c>
      <c r="K34" s="144">
        <f t="shared" si="8"/>
        <v>10031912.824114123</v>
      </c>
      <c r="L34" s="144">
        <f t="shared" si="8"/>
        <v>10232551.080596406</v>
      </c>
      <c r="M34" s="144">
        <f t="shared" si="8"/>
        <v>10437202.102208333</v>
      </c>
      <c r="N34" s="145"/>
    </row>
    <row r="35" spans="1:14" ht="14.25" hidden="1" customHeight="1" x14ac:dyDescent="0.15">
      <c r="A35" s="29" t="s">
        <v>293</v>
      </c>
      <c r="B35" s="142">
        <v>0</v>
      </c>
      <c r="C35" s="131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145"/>
    </row>
    <row r="36" spans="1:14" ht="14.25" customHeight="1" x14ac:dyDescent="0.15">
      <c r="A36" s="29" t="s">
        <v>65</v>
      </c>
      <c r="B36" s="142">
        <v>0.25</v>
      </c>
      <c r="C36" s="131"/>
      <c r="D36" s="147">
        <f>D34*-$B$36</f>
        <v>0</v>
      </c>
      <c r="E36" s="148">
        <f t="shared" ref="E36:F36" si="9">E34*-$B$36</f>
        <v>0</v>
      </c>
      <c r="F36" s="148">
        <f t="shared" si="9"/>
        <v>-440548.2973080001</v>
      </c>
      <c r="G36" s="148">
        <f>G34*-$B$36</f>
        <v>-1123398.1581354002</v>
      </c>
      <c r="H36" s="148">
        <f t="shared" ref="H36" si="10">H34*-$B$36</f>
        <v>-1451430.4203109373</v>
      </c>
      <c r="I36" s="148">
        <f t="shared" ref="I36" si="11">I34*-$B$36</f>
        <v>-1774184.7109095925</v>
      </c>
      <c r="J36" s="148">
        <f>J34*-$B$36</f>
        <v>-2259068.6988822124</v>
      </c>
      <c r="K36" s="148">
        <f t="shared" ref="K36" si="12">K34*-$B$36</f>
        <v>-2507978.2060285308</v>
      </c>
      <c r="L36" s="148">
        <f t="shared" ref="L36" si="13">L34*-$B$36</f>
        <v>-2558137.7701491015</v>
      </c>
      <c r="M36" s="148">
        <f>M34*-$B$36</f>
        <v>-2609300.5255520833</v>
      </c>
    </row>
    <row r="37" spans="1:14" ht="14.25" customHeight="1" x14ac:dyDescent="0.15">
      <c r="A37" s="22" t="s">
        <v>5</v>
      </c>
      <c r="B37" s="34"/>
      <c r="C37" s="135"/>
      <c r="D37" s="149">
        <f>SUM(D34:D36)</f>
        <v>0</v>
      </c>
      <c r="E37" s="149">
        <f t="shared" ref="E37:M37" si="14">SUM(E34:E36)</f>
        <v>0</v>
      </c>
      <c r="F37" s="149">
        <f t="shared" si="14"/>
        <v>1321644.8919240003</v>
      </c>
      <c r="G37" s="149">
        <f t="shared" si="14"/>
        <v>3370194.4744062005</v>
      </c>
      <c r="H37" s="149">
        <f t="shared" si="14"/>
        <v>4354291.2609328125</v>
      </c>
      <c r="I37" s="149">
        <f t="shared" si="14"/>
        <v>5322554.1327287778</v>
      </c>
      <c r="J37" s="149">
        <f t="shared" si="14"/>
        <v>6777206.0966466367</v>
      </c>
      <c r="K37" s="149">
        <f t="shared" si="14"/>
        <v>7523934.618085593</v>
      </c>
      <c r="L37" s="149">
        <f t="shared" si="14"/>
        <v>7674413.3104473045</v>
      </c>
      <c r="M37" s="149">
        <f t="shared" si="14"/>
        <v>7827901.5766562503</v>
      </c>
    </row>
    <row r="38" spans="1:14" ht="18" customHeight="1" x14ac:dyDescent="0.15">
      <c r="A38" s="10" t="s">
        <v>2</v>
      </c>
      <c r="B38" s="61"/>
      <c r="C38" s="130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4" ht="14.25" customHeight="1" x14ac:dyDescent="0.15">
      <c r="A39" s="11" t="s">
        <v>14</v>
      </c>
      <c r="B39" s="28"/>
      <c r="C39" s="131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4" ht="14.25" customHeight="1" x14ac:dyDescent="0.15">
      <c r="A40" s="11" t="s">
        <v>178</v>
      </c>
      <c r="B40" s="28"/>
      <c r="C40" s="132">
        <f>'Summary Board'!G112</f>
        <v>215.40039999999999</v>
      </c>
      <c r="D40" s="138">
        <f>C40*(1+$B$7)</f>
        <v>219.70840799999999</v>
      </c>
      <c r="E40" s="138">
        <f t="shared" ref="E40:M40" si="15">D40*(1+$B$7)</f>
        <v>224.10257615999998</v>
      </c>
      <c r="F40" s="138">
        <f t="shared" si="15"/>
        <v>228.58462768319998</v>
      </c>
      <c r="G40" s="138">
        <f t="shared" si="15"/>
        <v>233.15632023686399</v>
      </c>
      <c r="H40" s="138">
        <f t="shared" si="15"/>
        <v>237.81944664160127</v>
      </c>
      <c r="I40" s="138">
        <f t="shared" si="15"/>
        <v>242.57583557443331</v>
      </c>
      <c r="J40" s="138">
        <f t="shared" si="15"/>
        <v>247.42735228592198</v>
      </c>
      <c r="K40" s="138">
        <f t="shared" si="15"/>
        <v>252.37589933164043</v>
      </c>
      <c r="L40" s="138">
        <f t="shared" si="15"/>
        <v>257.42341731827327</v>
      </c>
      <c r="M40" s="138">
        <f t="shared" si="15"/>
        <v>262.57188566463873</v>
      </c>
    </row>
    <row r="41" spans="1:14" ht="14.25" customHeight="1" x14ac:dyDescent="0.15">
      <c r="A41" s="86" t="s">
        <v>2</v>
      </c>
      <c r="B41" s="28"/>
      <c r="C41" s="132"/>
      <c r="D41" s="144">
        <f>D40*'Development Schedule'!E49</f>
        <v>44062521.224399999</v>
      </c>
      <c r="E41" s="144">
        <f>E40*'Development Schedule'!F49</f>
        <v>19261616.420952</v>
      </c>
      <c r="F41" s="144">
        <f>F40*'Development Schedule'!G49</f>
        <v>0</v>
      </c>
      <c r="G41" s="144">
        <f>G40*'Development Schedule'!H49</f>
        <v>31476103.231976639</v>
      </c>
      <c r="H41" s="144">
        <f>H40*'Development Schedule'!I49</f>
        <v>10701875.098872058</v>
      </c>
      <c r="I41" s="144">
        <f>I40*'Development Schedule'!J49</f>
        <v>0</v>
      </c>
      <c r="J41" s="144">
        <f>J40*'Development Schedule'!K49</f>
        <v>0</v>
      </c>
      <c r="K41" s="144">
        <f>K40*'Development Schedule'!L49</f>
        <v>0</v>
      </c>
      <c r="L41" s="144">
        <f>L40*'Development Schedule'!M49</f>
        <v>0</v>
      </c>
      <c r="M41" s="144">
        <f>M40*'Development Schedule'!N49</f>
        <v>0</v>
      </c>
      <c r="N41" s="145"/>
    </row>
    <row r="42" spans="1:14" ht="14.25" customHeight="1" x14ac:dyDescent="0.15">
      <c r="A42" s="11" t="s">
        <v>15</v>
      </c>
      <c r="B42" s="28"/>
      <c r="C42" s="131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4" ht="14.25" customHeight="1" x14ac:dyDescent="0.15">
      <c r="A43" s="22" t="s">
        <v>3</v>
      </c>
      <c r="B43" s="34"/>
      <c r="C43" s="135"/>
      <c r="D43" s="150">
        <f>D41+D42</f>
        <v>44062521.224399999</v>
      </c>
      <c r="E43" s="150">
        <f t="shared" ref="E43:M43" si="16">E41+E42</f>
        <v>19261616.420952</v>
      </c>
      <c r="F43" s="150">
        <f t="shared" si="16"/>
        <v>0</v>
      </c>
      <c r="G43" s="150">
        <f t="shared" si="16"/>
        <v>31476103.231976639</v>
      </c>
      <c r="H43" s="150">
        <f t="shared" si="16"/>
        <v>10701875.098872058</v>
      </c>
      <c r="I43" s="150">
        <f t="shared" si="16"/>
        <v>0</v>
      </c>
      <c r="J43" s="150">
        <f t="shared" si="16"/>
        <v>0</v>
      </c>
      <c r="K43" s="150">
        <f t="shared" si="16"/>
        <v>0</v>
      </c>
      <c r="L43" s="150">
        <f t="shared" si="16"/>
        <v>0</v>
      </c>
      <c r="M43" s="150">
        <f t="shared" si="16"/>
        <v>0</v>
      </c>
    </row>
    <row r="44" spans="1:14" ht="18" customHeight="1" x14ac:dyDescent="0.15">
      <c r="A44" s="10" t="s">
        <v>4</v>
      </c>
      <c r="B44" s="61"/>
      <c r="C44" s="130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4" ht="14.25" customHeight="1" x14ac:dyDescent="0.15">
      <c r="A45" s="11" t="s">
        <v>5</v>
      </c>
      <c r="B45" s="28"/>
      <c r="C45" s="131"/>
      <c r="D45" s="151">
        <f>D37</f>
        <v>0</v>
      </c>
      <c r="E45" s="151">
        <f t="shared" ref="E45:M45" si="17">E37</f>
        <v>0</v>
      </c>
      <c r="F45" s="151">
        <f t="shared" si="17"/>
        <v>1321644.8919240003</v>
      </c>
      <c r="G45" s="151">
        <f t="shared" si="17"/>
        <v>3370194.4744062005</v>
      </c>
      <c r="H45" s="151">
        <f t="shared" si="17"/>
        <v>4354291.2609328125</v>
      </c>
      <c r="I45" s="151">
        <f t="shared" si="17"/>
        <v>5322554.1327287778</v>
      </c>
      <c r="J45" s="151">
        <f t="shared" si="17"/>
        <v>6777206.0966466367</v>
      </c>
      <c r="K45" s="151">
        <f t="shared" si="17"/>
        <v>7523934.618085593</v>
      </c>
      <c r="L45" s="151">
        <f t="shared" si="17"/>
        <v>7674413.3104473045</v>
      </c>
      <c r="M45" s="151">
        <f t="shared" si="17"/>
        <v>7827901.5766562503</v>
      </c>
    </row>
    <row r="46" spans="1:14" ht="14.25" customHeight="1" x14ac:dyDescent="0.15">
      <c r="A46" s="30" t="s">
        <v>107</v>
      </c>
      <c r="B46" s="33">
        <f>C62</f>
        <v>0.05</v>
      </c>
      <c r="C46" s="136"/>
      <c r="D46" s="77"/>
      <c r="E46" s="77"/>
      <c r="F46" s="77"/>
      <c r="G46" s="77"/>
      <c r="H46" s="77"/>
      <c r="I46" s="77"/>
      <c r="J46" s="77"/>
      <c r="K46" s="77"/>
      <c r="L46" s="77"/>
      <c r="M46" s="152">
        <f>M45/B46</f>
        <v>156558031.53312498</v>
      </c>
    </row>
    <row r="47" spans="1:14" ht="14.25" customHeight="1" x14ac:dyDescent="0.15">
      <c r="A47" s="30" t="s">
        <v>108</v>
      </c>
      <c r="B47" s="33">
        <f>C63</f>
        <v>0.03</v>
      </c>
      <c r="C47" s="136"/>
      <c r="D47" s="77"/>
      <c r="E47" s="77"/>
      <c r="F47" s="77"/>
      <c r="G47" s="77"/>
      <c r="H47" s="77"/>
      <c r="I47" s="77"/>
      <c r="J47" s="77"/>
      <c r="K47" s="77"/>
      <c r="L47" s="77"/>
      <c r="M47" s="153">
        <f>M46*-B47</f>
        <v>-4696740.9459937494</v>
      </c>
    </row>
    <row r="48" spans="1:14" ht="14.25" customHeight="1" x14ac:dyDescent="0.15">
      <c r="A48" s="22" t="s">
        <v>3</v>
      </c>
      <c r="B48" s="34"/>
      <c r="C48" s="135"/>
      <c r="D48" s="150">
        <f>-D43</f>
        <v>-44062521.224399999</v>
      </c>
      <c r="E48" s="150">
        <f t="shared" ref="E48:M48" si="18">-E43</f>
        <v>-19261616.420952</v>
      </c>
      <c r="F48" s="150">
        <f t="shared" si="18"/>
        <v>0</v>
      </c>
      <c r="G48" s="150">
        <f t="shared" si="18"/>
        <v>-31476103.231976639</v>
      </c>
      <c r="H48" s="150">
        <f t="shared" si="18"/>
        <v>-10701875.098872058</v>
      </c>
      <c r="I48" s="150">
        <f t="shared" si="18"/>
        <v>0</v>
      </c>
      <c r="J48" s="150">
        <f t="shared" si="18"/>
        <v>0</v>
      </c>
      <c r="K48" s="150">
        <f t="shared" si="18"/>
        <v>0</v>
      </c>
      <c r="L48" s="150">
        <f t="shared" si="18"/>
        <v>0</v>
      </c>
      <c r="M48" s="150">
        <f t="shared" si="18"/>
        <v>0</v>
      </c>
    </row>
    <row r="49" spans="1:13" ht="18" customHeight="1" x14ac:dyDescent="0.15">
      <c r="A49" s="14" t="s">
        <v>6</v>
      </c>
      <c r="B49" s="51"/>
      <c r="C49" s="137"/>
      <c r="D49" s="154">
        <f>SUM(D45:D48)</f>
        <v>-44062521.224399999</v>
      </c>
      <c r="E49" s="154">
        <f t="shared" ref="E49:M49" si="19">SUM(E45:E48)</f>
        <v>-19261616.420952</v>
      </c>
      <c r="F49" s="154">
        <f t="shared" si="19"/>
        <v>1321644.8919240003</v>
      </c>
      <c r="G49" s="154">
        <f t="shared" si="19"/>
        <v>-28105908.757570438</v>
      </c>
      <c r="H49" s="154">
        <f t="shared" si="19"/>
        <v>-6347583.8379392456</v>
      </c>
      <c r="I49" s="154">
        <f t="shared" si="19"/>
        <v>5322554.1327287778</v>
      </c>
      <c r="J49" s="154">
        <f t="shared" si="19"/>
        <v>6777206.0966466367</v>
      </c>
      <c r="K49" s="154">
        <f t="shared" si="19"/>
        <v>7523934.618085593</v>
      </c>
      <c r="L49" s="154">
        <f t="shared" si="19"/>
        <v>7674413.3104473045</v>
      </c>
      <c r="M49" s="154">
        <f t="shared" si="19"/>
        <v>159689192.16378748</v>
      </c>
    </row>
    <row r="50" spans="1:13" ht="18" customHeight="1" x14ac:dyDescent="0.15">
      <c r="A50" s="17" t="s">
        <v>40</v>
      </c>
      <c r="B50" s="32"/>
      <c r="C50" s="166">
        <f>C49+NPV(C64,D49:M49)</f>
        <v>1992667.0802752357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8" customHeight="1" x14ac:dyDescent="0.15">
      <c r="A51" s="20" t="s">
        <v>110</v>
      </c>
      <c r="B51" s="34"/>
      <c r="C51" s="168">
        <f>IRR(C49:M49)</f>
        <v>9.3626576231831571E-2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8" customHeight="1" x14ac:dyDescent="0.15">
      <c r="A52" s="20" t="s">
        <v>96</v>
      </c>
      <c r="B52" s="34"/>
      <c r="C52" s="135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5" spans="1:13" x14ac:dyDescent="0.15">
      <c r="A55" s="113" t="s">
        <v>170</v>
      </c>
      <c r="B55" s="114"/>
      <c r="C55" s="115"/>
    </row>
    <row r="56" spans="1:13" x14ac:dyDescent="0.15">
      <c r="B56" s="3" t="s">
        <v>172</v>
      </c>
      <c r="C56" s="3" t="s">
        <v>162</v>
      </c>
    </row>
    <row r="57" spans="1:13" x14ac:dyDescent="0.15">
      <c r="A57" s="1" t="s">
        <v>148</v>
      </c>
      <c r="B57" s="116">
        <f>C57/B11</f>
        <v>382</v>
      </c>
      <c r="C57" s="116">
        <f>'Development Schedule'!E49+'Development Schedule'!F49</f>
        <v>286500</v>
      </c>
    </row>
    <row r="58" spans="1:13" x14ac:dyDescent="0.15">
      <c r="A58" s="1" t="s">
        <v>151</v>
      </c>
      <c r="B58" s="116">
        <f>C58/B11</f>
        <v>240</v>
      </c>
      <c r="C58" s="116">
        <f>'Development Schedule'!H49+'Development Schedule'!I49+'Development Schedule'!J49</f>
        <v>180000</v>
      </c>
    </row>
    <row r="59" spans="1:13" x14ac:dyDescent="0.15">
      <c r="A59" s="1" t="s">
        <v>152</v>
      </c>
      <c r="B59" s="117">
        <f>C59/B11</f>
        <v>0</v>
      </c>
      <c r="C59" s="116">
        <f>'Development Schedule'!K49+'Development Schedule'!L49</f>
        <v>0</v>
      </c>
    </row>
    <row r="61" spans="1:13" x14ac:dyDescent="0.15">
      <c r="A61" s="113" t="s">
        <v>171</v>
      </c>
      <c r="B61" s="114"/>
      <c r="C61" s="115"/>
    </row>
    <row r="62" spans="1:13" x14ac:dyDescent="0.15">
      <c r="A62" s="1" t="s">
        <v>173</v>
      </c>
      <c r="C62" s="708">
        <v>0.05</v>
      </c>
    </row>
    <row r="63" spans="1:13" x14ac:dyDescent="0.15">
      <c r="A63" s="1" t="s">
        <v>174</v>
      </c>
      <c r="C63" s="708">
        <v>0.03</v>
      </c>
    </row>
    <row r="64" spans="1:13" x14ac:dyDescent="0.15">
      <c r="A64" s="1" t="s">
        <v>175</v>
      </c>
      <c r="C64" s="708">
        <v>0.09</v>
      </c>
    </row>
  </sheetData>
  <mergeCells count="3">
    <mergeCell ref="D3:F3"/>
    <mergeCell ref="G3:I3"/>
    <mergeCell ref="J3:M3"/>
  </mergeCells>
  <phoneticPr fontId="3" type="noConversion"/>
  <pageMargins left="0.5" right="0.5" top="1" bottom="0.5" header="0.5" footer="0.5"/>
  <pageSetup orientation="landscape" r:id="rId1"/>
  <headerFooter alignWithMargins="0">
    <oddHeader>&amp;L&amp;"Arial,Bold"2. Income Statement: Market-rate Rental Housing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"/>
  <sheetViews>
    <sheetView topLeftCell="C1" zoomScale="150" zoomScaleNormal="150" workbookViewId="0">
      <selection activeCell="L2" sqref="L2"/>
    </sheetView>
  </sheetViews>
  <sheetFormatPr baseColWidth="10" defaultColWidth="9.1640625" defaultRowHeight="13" x14ac:dyDescent="0.15"/>
  <cols>
    <col min="1" max="1" width="23.1640625" style="1" customWidth="1"/>
    <col min="2" max="2" width="11.5" style="3" bestFit="1" customWidth="1"/>
    <col min="3" max="3" width="10.83203125" style="3" customWidth="1"/>
    <col min="4" max="13" width="10.83203125" style="1" customWidth="1"/>
    <col min="14" max="16384" width="9.1640625" style="1"/>
  </cols>
  <sheetData>
    <row r="1" spans="1:13" ht="14.25" customHeight="1" x14ac:dyDescent="0.15">
      <c r="L1" s="47" t="s">
        <v>352</v>
      </c>
      <c r="M1" s="48"/>
    </row>
    <row r="2" spans="1:13" ht="14.25" customHeight="1" x14ac:dyDescent="0.15"/>
    <row r="3" spans="1:13" ht="14.25" customHeight="1" x14ac:dyDescent="0.15">
      <c r="B3" s="65"/>
      <c r="C3" s="65" t="s">
        <v>105</v>
      </c>
      <c r="D3" s="867" t="s">
        <v>59</v>
      </c>
      <c r="E3" s="868"/>
      <c r="F3" s="869"/>
      <c r="G3" s="867" t="s">
        <v>151</v>
      </c>
      <c r="H3" s="868"/>
      <c r="I3" s="869"/>
      <c r="J3" s="867" t="s">
        <v>152</v>
      </c>
      <c r="K3" s="868"/>
      <c r="L3" s="868"/>
      <c r="M3" s="869"/>
    </row>
    <row r="4" spans="1:13" ht="14.25" customHeight="1" x14ac:dyDescent="0.15">
      <c r="A4" s="5"/>
      <c r="B4" s="68" t="s">
        <v>29</v>
      </c>
      <c r="C4" s="68" t="s">
        <v>130</v>
      </c>
      <c r="D4" s="68">
        <v>2021</v>
      </c>
      <c r="E4" s="68">
        <f>D4+1</f>
        <v>2022</v>
      </c>
      <c r="F4" s="68">
        <f t="shared" ref="F4:M4" si="0">E4+1</f>
        <v>2023</v>
      </c>
      <c r="G4" s="68">
        <f t="shared" si="0"/>
        <v>2024</v>
      </c>
      <c r="H4" s="68">
        <f t="shared" si="0"/>
        <v>2025</v>
      </c>
      <c r="I4" s="68">
        <f t="shared" si="0"/>
        <v>2026</v>
      </c>
      <c r="J4" s="68">
        <f t="shared" si="0"/>
        <v>2027</v>
      </c>
      <c r="K4" s="68">
        <f t="shared" si="0"/>
        <v>2028</v>
      </c>
      <c r="L4" s="68">
        <f t="shared" si="0"/>
        <v>2029</v>
      </c>
      <c r="M4" s="68">
        <f t="shared" si="0"/>
        <v>2030</v>
      </c>
    </row>
    <row r="5" spans="1:13" ht="18" customHeight="1" x14ac:dyDescent="0.15">
      <c r="A5" s="10" t="s">
        <v>16</v>
      </c>
      <c r="B5" s="69"/>
      <c r="C5" s="69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4.25" customHeight="1" x14ac:dyDescent="0.15">
      <c r="A6" s="11" t="s">
        <v>12</v>
      </c>
      <c r="B6" s="32">
        <v>0.02</v>
      </c>
      <c r="C6" s="32"/>
      <c r="D6" s="232"/>
      <c r="E6" s="232"/>
      <c r="F6" s="232"/>
      <c r="G6" s="232"/>
      <c r="H6" s="232"/>
      <c r="I6" s="232"/>
      <c r="J6" s="232"/>
      <c r="K6" s="232"/>
      <c r="L6" s="232"/>
      <c r="M6" s="232"/>
    </row>
    <row r="7" spans="1:13" ht="14.25" customHeight="1" x14ac:dyDescent="0.15">
      <c r="A7" s="11" t="s">
        <v>127</v>
      </c>
      <c r="B7" s="74"/>
      <c r="C7" s="74"/>
      <c r="D7" s="236">
        <f>'Development Schedule'!E51/$B$9</f>
        <v>0</v>
      </c>
      <c r="E7" s="237">
        <f>'Development Schedule'!F51/$B$9</f>
        <v>0</v>
      </c>
      <c r="F7" s="237">
        <f>'Development Schedule'!G51/$B$9</f>
        <v>0</v>
      </c>
      <c r="G7" s="237">
        <f>'Development Schedule'!H51/$B$9</f>
        <v>0</v>
      </c>
      <c r="H7" s="237">
        <f>'Development Schedule'!I51/$B$9</f>
        <v>0</v>
      </c>
      <c r="I7" s="237">
        <f>'Development Schedule'!J51/$B$9</f>
        <v>0</v>
      </c>
      <c r="J7" s="237">
        <f>'Development Schedule'!K51/$B$9</f>
        <v>0</v>
      </c>
      <c r="K7" s="237">
        <f>'Development Schedule'!L51/$B$9</f>
        <v>0</v>
      </c>
      <c r="L7" s="237">
        <f>'Development Schedule'!M51/$B$9</f>
        <v>0</v>
      </c>
      <c r="M7" s="238">
        <f>'Development Schedule'!N51/$B$9</f>
        <v>0</v>
      </c>
    </row>
    <row r="8" spans="1:13" ht="14.25" customHeight="1" x14ac:dyDescent="0.15">
      <c r="A8" s="11" t="s">
        <v>126</v>
      </c>
      <c r="B8" s="61"/>
      <c r="C8" s="61"/>
      <c r="D8" s="36">
        <v>0</v>
      </c>
      <c r="E8" s="36">
        <v>0</v>
      </c>
      <c r="F8" s="36">
        <v>0</v>
      </c>
      <c r="G8" s="36">
        <v>0</v>
      </c>
      <c r="H8" s="125">
        <f>B34/3</f>
        <v>0</v>
      </c>
      <c r="I8" s="125">
        <f>H8</f>
        <v>0</v>
      </c>
      <c r="J8" s="125">
        <f>I8</f>
        <v>0</v>
      </c>
      <c r="K8" s="36">
        <v>0</v>
      </c>
      <c r="L8" s="36">
        <v>0</v>
      </c>
      <c r="M8" s="36">
        <v>0</v>
      </c>
    </row>
    <row r="9" spans="1:13" ht="14.25" customHeight="1" x14ac:dyDescent="0.15">
      <c r="A9" s="11" t="s">
        <v>61</v>
      </c>
      <c r="B9" s="28">
        <v>1000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4.25" customHeight="1" x14ac:dyDescent="0.15">
      <c r="A10" s="11" t="s">
        <v>66</v>
      </c>
      <c r="B10" s="28"/>
      <c r="C10" s="28"/>
      <c r="D10" s="29"/>
      <c r="E10" s="29"/>
      <c r="F10" s="29"/>
      <c r="G10" s="141">
        <f>G7*$B$9</f>
        <v>0</v>
      </c>
      <c r="H10" s="141">
        <f>(G7+H7)*$B$9</f>
        <v>0</v>
      </c>
      <c r="I10" s="141">
        <f>H10</f>
        <v>0</v>
      </c>
      <c r="J10" s="141">
        <f>I10</f>
        <v>0</v>
      </c>
      <c r="K10" s="141">
        <f t="shared" ref="K10:M10" si="1">J10</f>
        <v>0</v>
      </c>
      <c r="L10" s="141">
        <f t="shared" si="1"/>
        <v>0</v>
      </c>
      <c r="M10" s="141">
        <f t="shared" si="1"/>
        <v>0</v>
      </c>
    </row>
    <row r="11" spans="1:13" ht="14.25" customHeight="1" x14ac:dyDescent="0.15">
      <c r="A11" s="18" t="s">
        <v>67</v>
      </c>
      <c r="B11" s="34"/>
      <c r="C11" s="155">
        <f>'Summary Board'!J130*(1.15)</f>
        <v>295.54999999999995</v>
      </c>
      <c r="D11" s="156">
        <f>C11*(1+$B$6)</f>
        <v>301.46099999999996</v>
      </c>
      <c r="E11" s="156">
        <f t="shared" ref="E11:M11" si="2">D11*(1+$B$6)</f>
        <v>307.49021999999997</v>
      </c>
      <c r="F11" s="156">
        <f t="shared" si="2"/>
        <v>313.64002439999996</v>
      </c>
      <c r="G11" s="156">
        <f t="shared" si="2"/>
        <v>319.91282488799999</v>
      </c>
      <c r="H11" s="156">
        <f t="shared" si="2"/>
        <v>326.31108138576002</v>
      </c>
      <c r="I11" s="156">
        <f t="shared" si="2"/>
        <v>332.83730301347521</v>
      </c>
      <c r="J11" s="156">
        <f t="shared" si="2"/>
        <v>339.49404907374469</v>
      </c>
      <c r="K11" s="156">
        <f t="shared" si="2"/>
        <v>346.28393005521957</v>
      </c>
      <c r="L11" s="156">
        <f t="shared" si="2"/>
        <v>353.20960865632395</v>
      </c>
      <c r="M11" s="156">
        <f t="shared" si="2"/>
        <v>360.27380082945041</v>
      </c>
    </row>
    <row r="12" spans="1:13" ht="18" customHeight="1" x14ac:dyDescent="0.15">
      <c r="A12" s="10" t="s">
        <v>0</v>
      </c>
      <c r="B12" s="61"/>
      <c r="C12" s="61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4.25" customHeight="1" x14ac:dyDescent="0.15">
      <c r="A13" s="11" t="s">
        <v>17</v>
      </c>
      <c r="B13" s="28"/>
      <c r="C13" s="157">
        <f>C8*$B$9*C11</f>
        <v>0</v>
      </c>
      <c r="D13" s="157">
        <f t="shared" ref="D13:M13" si="3">D8*$B$9*D11</f>
        <v>0</v>
      </c>
      <c r="E13" s="157">
        <f t="shared" si="3"/>
        <v>0</v>
      </c>
      <c r="F13" s="157">
        <f t="shared" si="3"/>
        <v>0</v>
      </c>
      <c r="G13" s="157">
        <f t="shared" si="3"/>
        <v>0</v>
      </c>
      <c r="H13" s="157">
        <f t="shared" si="3"/>
        <v>0</v>
      </c>
      <c r="I13" s="157">
        <f t="shared" si="3"/>
        <v>0</v>
      </c>
      <c r="J13" s="157">
        <f t="shared" si="3"/>
        <v>0</v>
      </c>
      <c r="K13" s="157">
        <f t="shared" si="3"/>
        <v>0</v>
      </c>
      <c r="L13" s="157">
        <f t="shared" si="3"/>
        <v>0</v>
      </c>
      <c r="M13" s="157">
        <f t="shared" si="3"/>
        <v>0</v>
      </c>
    </row>
    <row r="14" spans="1:13" ht="14.25" customHeight="1" x14ac:dyDescent="0.15">
      <c r="A14" s="11" t="s">
        <v>68</v>
      </c>
      <c r="B14" s="32">
        <f>B38</f>
        <v>0.05</v>
      </c>
      <c r="C14" s="157">
        <f>C13*-$B$14</f>
        <v>0</v>
      </c>
      <c r="D14" s="157">
        <f t="shared" ref="D14:M14" si="4">D13*-$B$14</f>
        <v>0</v>
      </c>
      <c r="E14" s="157">
        <f t="shared" si="4"/>
        <v>0</v>
      </c>
      <c r="F14" s="157">
        <f t="shared" si="4"/>
        <v>0</v>
      </c>
      <c r="G14" s="157">
        <f t="shared" si="4"/>
        <v>0</v>
      </c>
      <c r="H14" s="157">
        <f t="shared" si="4"/>
        <v>0</v>
      </c>
      <c r="I14" s="157">
        <f t="shared" si="4"/>
        <v>0</v>
      </c>
      <c r="J14" s="157">
        <f t="shared" si="4"/>
        <v>0</v>
      </c>
      <c r="K14" s="157">
        <f t="shared" si="4"/>
        <v>0</v>
      </c>
      <c r="L14" s="157">
        <f t="shared" si="4"/>
        <v>0</v>
      </c>
      <c r="M14" s="157">
        <f t="shared" si="4"/>
        <v>0</v>
      </c>
    </row>
    <row r="15" spans="1:13" ht="14.25" customHeight="1" x14ac:dyDescent="0.15">
      <c r="A15" s="30" t="s">
        <v>69</v>
      </c>
      <c r="B15" s="33">
        <f>B39</f>
        <v>0.05</v>
      </c>
      <c r="C15" s="160">
        <f>C13*-$B$15</f>
        <v>0</v>
      </c>
      <c r="D15" s="160">
        <f t="shared" ref="D15:M15" si="5">D13*-$B$15</f>
        <v>0</v>
      </c>
      <c r="E15" s="160">
        <f t="shared" si="5"/>
        <v>0</v>
      </c>
      <c r="F15" s="160">
        <f t="shared" si="5"/>
        <v>0</v>
      </c>
      <c r="G15" s="160">
        <f t="shared" si="5"/>
        <v>0</v>
      </c>
      <c r="H15" s="160">
        <f t="shared" si="5"/>
        <v>0</v>
      </c>
      <c r="I15" s="160">
        <f t="shared" si="5"/>
        <v>0</v>
      </c>
      <c r="J15" s="160">
        <f t="shared" si="5"/>
        <v>0</v>
      </c>
      <c r="K15" s="160">
        <f t="shared" si="5"/>
        <v>0</v>
      </c>
      <c r="L15" s="160">
        <f t="shared" si="5"/>
        <v>0</v>
      </c>
      <c r="M15" s="160">
        <f t="shared" si="5"/>
        <v>0</v>
      </c>
    </row>
    <row r="16" spans="1:13" ht="14.25" customHeight="1" x14ac:dyDescent="0.15">
      <c r="A16" s="22" t="s">
        <v>5</v>
      </c>
      <c r="B16" s="34"/>
      <c r="C16" s="159">
        <f>SUM(C13:C15)</f>
        <v>0</v>
      </c>
      <c r="D16" s="159">
        <f t="shared" ref="D16:M16" si="6">SUM(D13:D15)</f>
        <v>0</v>
      </c>
      <c r="E16" s="159">
        <f t="shared" si="6"/>
        <v>0</v>
      </c>
      <c r="F16" s="159">
        <f t="shared" si="6"/>
        <v>0</v>
      </c>
      <c r="G16" s="159">
        <f t="shared" si="6"/>
        <v>0</v>
      </c>
      <c r="H16" s="159">
        <f t="shared" si="6"/>
        <v>0</v>
      </c>
      <c r="I16" s="159">
        <f t="shared" si="6"/>
        <v>0</v>
      </c>
      <c r="J16" s="159">
        <f t="shared" si="6"/>
        <v>0</v>
      </c>
      <c r="K16" s="159">
        <f t="shared" si="6"/>
        <v>0</v>
      </c>
      <c r="L16" s="159">
        <f t="shared" si="6"/>
        <v>0</v>
      </c>
      <c r="M16" s="159">
        <f t="shared" si="6"/>
        <v>0</v>
      </c>
    </row>
    <row r="17" spans="1:13" ht="18" customHeight="1" x14ac:dyDescent="0.15">
      <c r="A17" s="10" t="s">
        <v>2</v>
      </c>
      <c r="B17" s="61"/>
      <c r="C17" s="61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4.25" customHeight="1" x14ac:dyDescent="0.15">
      <c r="A18" s="11" t="s">
        <v>14</v>
      </c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4.25" customHeight="1" x14ac:dyDescent="0.15">
      <c r="A19" s="86" t="s">
        <v>178</v>
      </c>
      <c r="B19" s="121">
        <f>'Summary Board'!G112</f>
        <v>215.40039999999999</v>
      </c>
      <c r="C19" s="121">
        <f>B19*(1+$B$6)</f>
        <v>219.70840799999999</v>
      </c>
      <c r="D19" s="121">
        <f t="shared" ref="D19:M19" si="7">C19*(1+$B$6)</f>
        <v>224.10257615999998</v>
      </c>
      <c r="E19" s="121">
        <f t="shared" si="7"/>
        <v>228.58462768319998</v>
      </c>
      <c r="F19" s="121">
        <f t="shared" si="7"/>
        <v>233.15632023686399</v>
      </c>
      <c r="G19" s="121">
        <f t="shared" si="7"/>
        <v>237.81944664160127</v>
      </c>
      <c r="H19" s="121">
        <f t="shared" si="7"/>
        <v>242.57583557443331</v>
      </c>
      <c r="I19" s="121">
        <f t="shared" si="7"/>
        <v>247.42735228592198</v>
      </c>
      <c r="J19" s="121">
        <f t="shared" si="7"/>
        <v>252.37589933164043</v>
      </c>
      <c r="K19" s="121">
        <f t="shared" si="7"/>
        <v>257.42341731827327</v>
      </c>
      <c r="L19" s="121">
        <f t="shared" si="7"/>
        <v>262.57188566463873</v>
      </c>
      <c r="M19" s="121">
        <f t="shared" si="7"/>
        <v>267.8233233779315</v>
      </c>
    </row>
    <row r="20" spans="1:13" ht="14.25" customHeight="1" x14ac:dyDescent="0.15">
      <c r="A20" s="11" t="s">
        <v>2</v>
      </c>
      <c r="B20" s="28"/>
      <c r="C20" s="161">
        <f>C19*C7*$B$9</f>
        <v>0</v>
      </c>
      <c r="D20" s="161">
        <f t="shared" ref="D20:M20" si="8">D19*D7*$B$9</f>
        <v>0</v>
      </c>
      <c r="E20" s="161">
        <f t="shared" si="8"/>
        <v>0</v>
      </c>
      <c r="F20" s="161">
        <f t="shared" si="8"/>
        <v>0</v>
      </c>
      <c r="G20" s="161">
        <f t="shared" si="8"/>
        <v>0</v>
      </c>
      <c r="H20" s="161">
        <f t="shared" si="8"/>
        <v>0</v>
      </c>
      <c r="I20" s="161">
        <f t="shared" si="8"/>
        <v>0</v>
      </c>
      <c r="J20" s="161">
        <f t="shared" si="8"/>
        <v>0</v>
      </c>
      <c r="K20" s="161">
        <f t="shared" si="8"/>
        <v>0</v>
      </c>
      <c r="L20" s="161">
        <f t="shared" si="8"/>
        <v>0</v>
      </c>
      <c r="M20" s="161">
        <f t="shared" si="8"/>
        <v>0</v>
      </c>
    </row>
    <row r="21" spans="1:13" ht="14.25" customHeight="1" x14ac:dyDescent="0.15">
      <c r="A21" s="11" t="s">
        <v>15</v>
      </c>
      <c r="B21" s="34"/>
      <c r="C21" s="34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4.25" customHeight="1" x14ac:dyDescent="0.15">
      <c r="A22" s="22" t="s">
        <v>3</v>
      </c>
      <c r="B22" s="63"/>
      <c r="C22" s="159">
        <f>SUM(C20:C21)</f>
        <v>0</v>
      </c>
      <c r="D22" s="159">
        <f t="shared" ref="D22:M22" si="9">SUM(D20:D21)</f>
        <v>0</v>
      </c>
      <c r="E22" s="159">
        <f t="shared" si="9"/>
        <v>0</v>
      </c>
      <c r="F22" s="159">
        <f t="shared" si="9"/>
        <v>0</v>
      </c>
      <c r="G22" s="159">
        <f t="shared" si="9"/>
        <v>0</v>
      </c>
      <c r="H22" s="159">
        <f t="shared" si="9"/>
        <v>0</v>
      </c>
      <c r="I22" s="159">
        <f t="shared" si="9"/>
        <v>0</v>
      </c>
      <c r="J22" s="159">
        <f t="shared" si="9"/>
        <v>0</v>
      </c>
      <c r="K22" s="159">
        <f t="shared" si="9"/>
        <v>0</v>
      </c>
      <c r="L22" s="159">
        <f t="shared" si="9"/>
        <v>0</v>
      </c>
      <c r="M22" s="159">
        <f t="shared" si="9"/>
        <v>0</v>
      </c>
    </row>
    <row r="23" spans="1:13" ht="18" customHeight="1" x14ac:dyDescent="0.15">
      <c r="A23" s="10" t="s">
        <v>4</v>
      </c>
      <c r="B23" s="61"/>
      <c r="C23" s="61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4.25" customHeight="1" x14ac:dyDescent="0.15">
      <c r="A24" s="11" t="s">
        <v>5</v>
      </c>
      <c r="B24" s="28"/>
      <c r="C24" s="161">
        <f>C16</f>
        <v>0</v>
      </c>
      <c r="D24" s="161">
        <f t="shared" ref="D24:M24" si="10">D16</f>
        <v>0</v>
      </c>
      <c r="E24" s="161">
        <f t="shared" si="10"/>
        <v>0</v>
      </c>
      <c r="F24" s="161">
        <f t="shared" si="10"/>
        <v>0</v>
      </c>
      <c r="G24" s="161">
        <f t="shared" si="10"/>
        <v>0</v>
      </c>
      <c r="H24" s="161">
        <f t="shared" si="10"/>
        <v>0</v>
      </c>
      <c r="I24" s="161">
        <f t="shared" si="10"/>
        <v>0</v>
      </c>
      <c r="J24" s="161">
        <f t="shared" si="10"/>
        <v>0</v>
      </c>
      <c r="K24" s="161">
        <f t="shared" si="10"/>
        <v>0</v>
      </c>
      <c r="L24" s="161">
        <f t="shared" si="10"/>
        <v>0</v>
      </c>
      <c r="M24" s="161">
        <f t="shared" si="10"/>
        <v>0</v>
      </c>
    </row>
    <row r="25" spans="1:13" ht="14.25" customHeight="1" x14ac:dyDescent="0.15">
      <c r="A25" s="11" t="s">
        <v>3</v>
      </c>
      <c r="B25" s="32"/>
      <c r="C25" s="158">
        <f>-C22</f>
        <v>0</v>
      </c>
      <c r="D25" s="158">
        <f t="shared" ref="D25:M25" si="11">-D22</f>
        <v>0</v>
      </c>
      <c r="E25" s="158">
        <f t="shared" si="11"/>
        <v>0</v>
      </c>
      <c r="F25" s="158">
        <f t="shared" si="11"/>
        <v>0</v>
      </c>
      <c r="G25" s="158">
        <f t="shared" si="11"/>
        <v>0</v>
      </c>
      <c r="H25" s="158">
        <f t="shared" si="11"/>
        <v>0</v>
      </c>
      <c r="I25" s="158">
        <f t="shared" si="11"/>
        <v>0</v>
      </c>
      <c r="J25" s="158">
        <f t="shared" si="11"/>
        <v>0</v>
      </c>
      <c r="K25" s="158">
        <f t="shared" si="11"/>
        <v>0</v>
      </c>
      <c r="L25" s="158">
        <f t="shared" si="11"/>
        <v>0</v>
      </c>
      <c r="M25" s="158">
        <f t="shared" si="11"/>
        <v>0</v>
      </c>
    </row>
    <row r="26" spans="1:13" ht="14.25" customHeight="1" x14ac:dyDescent="0.15">
      <c r="A26" s="18" t="s">
        <v>6</v>
      </c>
      <c r="B26" s="73"/>
      <c r="C26" s="159">
        <f>SUM(C24:C25)</f>
        <v>0</v>
      </c>
      <c r="D26" s="159">
        <f t="shared" ref="D26:M26" si="12">SUM(D24:D25)</f>
        <v>0</v>
      </c>
      <c r="E26" s="159">
        <f t="shared" si="12"/>
        <v>0</v>
      </c>
      <c r="F26" s="159">
        <f t="shared" si="12"/>
        <v>0</v>
      </c>
      <c r="G26" s="159">
        <f t="shared" si="12"/>
        <v>0</v>
      </c>
      <c r="H26" s="159">
        <f t="shared" si="12"/>
        <v>0</v>
      </c>
      <c r="I26" s="159">
        <f t="shared" si="12"/>
        <v>0</v>
      </c>
      <c r="J26" s="159">
        <f t="shared" si="12"/>
        <v>0</v>
      </c>
      <c r="K26" s="159">
        <f t="shared" si="12"/>
        <v>0</v>
      </c>
      <c r="L26" s="159">
        <f t="shared" si="12"/>
        <v>0</v>
      </c>
      <c r="M26" s="159">
        <f t="shared" si="12"/>
        <v>0</v>
      </c>
    </row>
    <row r="27" spans="1:13" ht="18" customHeight="1" x14ac:dyDescent="0.15">
      <c r="A27" s="10" t="s">
        <v>40</v>
      </c>
      <c r="B27" s="163">
        <f>B26+NPV(B40,C26:M26)</f>
        <v>0</v>
      </c>
      <c r="C27" s="74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8" customHeight="1" x14ac:dyDescent="0.15">
      <c r="A28" s="20" t="s">
        <v>110</v>
      </c>
      <c r="B28" s="165" t="e">
        <f>IRR(B26:M26)</f>
        <v>#NUM!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8" customHeight="1" x14ac:dyDescent="0.15">
      <c r="A29" s="20" t="s">
        <v>96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1" spans="1:13" x14ac:dyDescent="0.15">
      <c r="A31" s="870" t="s">
        <v>170</v>
      </c>
      <c r="B31" s="871"/>
      <c r="C31" s="872"/>
    </row>
    <row r="32" spans="1:13" x14ac:dyDescent="0.15">
      <c r="B32" s="3" t="s">
        <v>172</v>
      </c>
      <c r="C32" s="3" t="s">
        <v>162</v>
      </c>
    </row>
    <row r="33" spans="1:3" x14ac:dyDescent="0.15">
      <c r="A33" s="1" t="s">
        <v>148</v>
      </c>
      <c r="B33" s="117">
        <f>C33/$B$9</f>
        <v>0</v>
      </c>
      <c r="C33" s="116">
        <f>SUM('Development Schedule'!E51:G51)</f>
        <v>0</v>
      </c>
    </row>
    <row r="34" spans="1:3" x14ac:dyDescent="0.15">
      <c r="A34" s="1" t="s">
        <v>151</v>
      </c>
      <c r="B34" s="117">
        <f t="shared" ref="B34:B35" si="13">C34/$B$9</f>
        <v>0</v>
      </c>
      <c r="C34" s="116">
        <f>SUM('Development Schedule'!H51:J51)</f>
        <v>0</v>
      </c>
    </row>
    <row r="35" spans="1:3" x14ac:dyDescent="0.15">
      <c r="A35" s="1" t="s">
        <v>152</v>
      </c>
      <c r="B35" s="117">
        <f t="shared" si="13"/>
        <v>0</v>
      </c>
      <c r="C35" s="116">
        <f>SUM('Development Schedule'!K51:N51)</f>
        <v>0</v>
      </c>
    </row>
    <row r="37" spans="1:3" x14ac:dyDescent="0.15">
      <c r="A37" s="870" t="s">
        <v>171</v>
      </c>
      <c r="B37" s="871"/>
      <c r="C37" s="872"/>
    </row>
    <row r="38" spans="1:3" x14ac:dyDescent="0.15">
      <c r="A38" s="1" t="s">
        <v>68</v>
      </c>
      <c r="B38" s="118">
        <v>0.05</v>
      </c>
    </row>
    <row r="39" spans="1:3" x14ac:dyDescent="0.15">
      <c r="A39" s="1" t="s">
        <v>69</v>
      </c>
      <c r="B39" s="118">
        <v>0.05</v>
      </c>
    </row>
    <row r="40" spans="1:3" x14ac:dyDescent="0.15">
      <c r="A40" s="1" t="s">
        <v>175</v>
      </c>
      <c r="B40" s="118">
        <v>0.09</v>
      </c>
    </row>
  </sheetData>
  <mergeCells count="5">
    <mergeCell ref="D3:F3"/>
    <mergeCell ref="G3:I3"/>
    <mergeCell ref="J3:M3"/>
    <mergeCell ref="A31:C31"/>
    <mergeCell ref="A37:C37"/>
  </mergeCells>
  <phoneticPr fontId="3" type="noConversion"/>
  <pageMargins left="0.5" right="0.5" top="1" bottom="0.5" header="0.5" footer="0.5"/>
  <pageSetup orientation="landscape" r:id="rId1"/>
  <headerFooter alignWithMargins="0">
    <oddHeader>&amp;L&amp;"Arial,Bold"3. Income Statement: Market-rate For Sale Housing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10C10-DB4F-DA4C-BAB0-F4CC5ECA83CF}">
  <dimension ref="A1:N64"/>
  <sheetViews>
    <sheetView topLeftCell="A34" zoomScale="140" zoomScaleNormal="140" workbookViewId="0">
      <selection activeCell="E55" sqref="E55"/>
    </sheetView>
  </sheetViews>
  <sheetFormatPr baseColWidth="10" defaultColWidth="9.1640625" defaultRowHeight="13" x14ac:dyDescent="0.15"/>
  <cols>
    <col min="1" max="1" width="23.33203125" style="1" customWidth="1"/>
    <col min="2" max="2" width="8.5" style="3" customWidth="1"/>
    <col min="3" max="3" width="10.5" style="3" bestFit="1" customWidth="1"/>
    <col min="4" max="12" width="8.83203125" style="1" customWidth="1"/>
    <col min="13" max="13" width="11.1640625" style="1" bestFit="1" customWidth="1"/>
    <col min="14" max="14" width="12.33203125" style="1" bestFit="1" customWidth="1"/>
    <col min="15" max="16384" width="9.1640625" style="1"/>
  </cols>
  <sheetData>
    <row r="1" spans="1:13" ht="14.25" customHeight="1" x14ac:dyDescent="0.15">
      <c r="L1" s="47" t="s">
        <v>352</v>
      </c>
      <c r="M1" s="48"/>
    </row>
    <row r="2" spans="1:13" ht="14.25" customHeight="1" x14ac:dyDescent="0.15">
      <c r="B2" s="65"/>
      <c r="C2" s="65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4.25" customHeight="1" x14ac:dyDescent="0.15">
      <c r="B3" s="65"/>
      <c r="C3" s="65" t="s">
        <v>105</v>
      </c>
      <c r="D3" s="867" t="s">
        <v>59</v>
      </c>
      <c r="E3" s="868"/>
      <c r="F3" s="869"/>
      <c r="G3" s="867" t="s">
        <v>151</v>
      </c>
      <c r="H3" s="868"/>
      <c r="I3" s="869"/>
      <c r="J3" s="867" t="s">
        <v>152</v>
      </c>
      <c r="K3" s="868"/>
      <c r="L3" s="868"/>
      <c r="M3" s="869"/>
    </row>
    <row r="4" spans="1:13" ht="14.25" customHeight="1" x14ac:dyDescent="0.15">
      <c r="A4" s="5"/>
      <c r="B4" s="68" t="s">
        <v>29</v>
      </c>
      <c r="C4" s="127" t="s">
        <v>130</v>
      </c>
      <c r="D4" s="68">
        <v>2021</v>
      </c>
      <c r="E4" s="68">
        <f>D4+1</f>
        <v>2022</v>
      </c>
      <c r="F4" s="68">
        <f t="shared" ref="F4:M4" si="0">E4+1</f>
        <v>2023</v>
      </c>
      <c r="G4" s="68">
        <f t="shared" si="0"/>
        <v>2024</v>
      </c>
      <c r="H4" s="68">
        <f t="shared" si="0"/>
        <v>2025</v>
      </c>
      <c r="I4" s="68">
        <f t="shared" si="0"/>
        <v>2026</v>
      </c>
      <c r="J4" s="68">
        <f t="shared" si="0"/>
        <v>2027</v>
      </c>
      <c r="K4" s="68">
        <f t="shared" si="0"/>
        <v>2028</v>
      </c>
      <c r="L4" s="68">
        <f t="shared" si="0"/>
        <v>2029</v>
      </c>
      <c r="M4" s="68">
        <f t="shared" si="0"/>
        <v>2030</v>
      </c>
    </row>
    <row r="5" spans="1:13" ht="18" customHeight="1" x14ac:dyDescent="0.15">
      <c r="A5" s="10" t="s">
        <v>11</v>
      </c>
      <c r="B5" s="69"/>
      <c r="C5" s="128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8" customHeight="1" x14ac:dyDescent="0.15">
      <c r="A6" s="120" t="s">
        <v>148</v>
      </c>
      <c r="B6" s="69"/>
      <c r="C6" s="128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x14ac:dyDescent="0.15">
      <c r="A7" s="86" t="s">
        <v>12</v>
      </c>
      <c r="B7" s="32">
        <v>0.02</v>
      </c>
      <c r="C7" s="129"/>
      <c r="D7" s="232"/>
      <c r="E7" s="232"/>
      <c r="F7" s="232"/>
      <c r="G7" s="71"/>
      <c r="H7" s="71"/>
      <c r="I7" s="71"/>
      <c r="J7" s="71"/>
      <c r="K7" s="71"/>
      <c r="L7" s="71"/>
      <c r="M7" s="71"/>
    </row>
    <row r="8" spans="1:13" ht="14.25" customHeight="1" x14ac:dyDescent="0.15">
      <c r="A8" s="86" t="s">
        <v>177</v>
      </c>
      <c r="B8" s="61"/>
      <c r="C8" s="209"/>
      <c r="D8" s="486">
        <f>'Development Schedule'!E50/B11</f>
        <v>22.574999999999999</v>
      </c>
      <c r="E8" s="487">
        <f>'Development Schedule'!F50/$B$11</f>
        <v>9.6750000000000007</v>
      </c>
      <c r="F8" s="488">
        <f>'Development Schedule'!G50/$B$11</f>
        <v>0</v>
      </c>
      <c r="G8" s="36"/>
      <c r="H8" s="36"/>
      <c r="I8" s="36"/>
      <c r="J8" s="36"/>
      <c r="K8" s="36"/>
      <c r="L8" s="36"/>
      <c r="M8" s="36"/>
    </row>
    <row r="9" spans="1:13" ht="14.25" customHeight="1" x14ac:dyDescent="0.15">
      <c r="A9" s="86" t="s">
        <v>60</v>
      </c>
      <c r="B9" s="61"/>
      <c r="C9" s="130"/>
      <c r="D9" s="36">
        <v>0</v>
      </c>
      <c r="E9" s="125">
        <v>0</v>
      </c>
      <c r="F9" s="125">
        <f>F10-SUM(D$9:$E9)</f>
        <v>9.6749999999999989</v>
      </c>
      <c r="G9" s="125">
        <f>G10-SUM($F$9:F9)</f>
        <v>14.512500000000001</v>
      </c>
      <c r="H9" s="125">
        <f>H10-SUM($F$9:G9)</f>
        <v>6.4499999999999993</v>
      </c>
      <c r="I9" s="125">
        <f>I10-SUM($F$9:H9)</f>
        <v>0</v>
      </c>
      <c r="J9" s="125">
        <f>J10-SUM($F$9:I9)</f>
        <v>0</v>
      </c>
      <c r="K9" s="125">
        <f>K10-SUM($F$9:J9)</f>
        <v>0</v>
      </c>
      <c r="L9" s="125">
        <f>L10-SUM($F$9:K9)</f>
        <v>0</v>
      </c>
      <c r="M9" s="125">
        <f>M10-SUM($F$9:L9)</f>
        <v>0</v>
      </c>
    </row>
    <row r="10" spans="1:13" ht="14.25" customHeight="1" x14ac:dyDescent="0.15">
      <c r="A10" s="86" t="s">
        <v>176</v>
      </c>
      <c r="B10" s="61"/>
      <c r="C10" s="130"/>
      <c r="D10" s="125">
        <f t="shared" ref="D10:G10" si="1">$B$57*D14</f>
        <v>0</v>
      </c>
      <c r="E10" s="125">
        <f t="shared" si="1"/>
        <v>0</v>
      </c>
      <c r="F10" s="125">
        <f t="shared" si="1"/>
        <v>9.6749999999999989</v>
      </c>
      <c r="G10" s="125">
        <f t="shared" si="1"/>
        <v>24.1875</v>
      </c>
      <c r="H10" s="125">
        <f>$B$57*H14</f>
        <v>30.637499999999999</v>
      </c>
      <c r="I10" s="125">
        <f t="shared" ref="I10:M10" si="2">$B$57*I14</f>
        <v>30.637499999999999</v>
      </c>
      <c r="J10" s="125">
        <f t="shared" si="2"/>
        <v>30.637499999999999</v>
      </c>
      <c r="K10" s="125">
        <f t="shared" si="2"/>
        <v>30.637499999999999</v>
      </c>
      <c r="L10" s="125">
        <f t="shared" si="2"/>
        <v>30.637499999999999</v>
      </c>
      <c r="M10" s="125">
        <f t="shared" si="2"/>
        <v>30.637499999999999</v>
      </c>
    </row>
    <row r="11" spans="1:13" ht="14.25" customHeight="1" x14ac:dyDescent="0.15">
      <c r="A11" s="86" t="s">
        <v>61</v>
      </c>
      <c r="B11" s="28">
        <v>1000</v>
      </c>
      <c r="C11" s="131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4.25" customHeight="1" x14ac:dyDescent="0.15">
      <c r="A12" s="86" t="s">
        <v>62</v>
      </c>
      <c r="B12" s="28"/>
      <c r="C12" s="131"/>
      <c r="D12" s="123">
        <f>SUM($D$8:D8)*$B$11</f>
        <v>22575</v>
      </c>
      <c r="E12" s="123">
        <f>SUM($D$8:E8)*$B$11</f>
        <v>32250</v>
      </c>
      <c r="F12" s="123">
        <f>SUM($D$8:F8)*$B$11</f>
        <v>32250</v>
      </c>
      <c r="G12" s="123">
        <f>SUM($D$8:G8)*$B$11</f>
        <v>32250</v>
      </c>
      <c r="H12" s="123">
        <f>SUM($D$8:H8)*$B$11</f>
        <v>32250</v>
      </c>
      <c r="I12" s="123">
        <f>SUM($D$8:I8)*$B$11</f>
        <v>32250</v>
      </c>
      <c r="J12" s="123">
        <f>SUM($D$8:J8)*$B$11</f>
        <v>32250</v>
      </c>
      <c r="K12" s="123">
        <f>SUM($D$8:K8)*$B$11</f>
        <v>32250</v>
      </c>
      <c r="L12" s="123">
        <f>SUM($D$8:L8)*$B$11</f>
        <v>32250</v>
      </c>
      <c r="M12" s="123">
        <f>SUM($D$8:M8)*$B$11</f>
        <v>32250</v>
      </c>
    </row>
    <row r="13" spans="1:13" ht="14.25" customHeight="1" x14ac:dyDescent="0.15">
      <c r="A13" s="86" t="s">
        <v>63</v>
      </c>
      <c r="B13" s="28"/>
      <c r="C13" s="132">
        <f>'Summary Board'!J129</f>
        <v>1.3974444444444443</v>
      </c>
      <c r="D13" s="138">
        <f>C13*(1+$B$7)</f>
        <v>1.4253933333333331</v>
      </c>
      <c r="E13" s="138">
        <f t="shared" ref="E13:M13" si="3">D13*(1+$B$7)</f>
        <v>1.4539011999999998</v>
      </c>
      <c r="F13" s="138">
        <f t="shared" si="3"/>
        <v>1.4829792239999997</v>
      </c>
      <c r="G13" s="138">
        <f t="shared" si="3"/>
        <v>1.5126388084799998</v>
      </c>
      <c r="H13" s="138">
        <f t="shared" si="3"/>
        <v>1.5428915846495999</v>
      </c>
      <c r="I13" s="138">
        <f t="shared" si="3"/>
        <v>1.5737494163425918</v>
      </c>
      <c r="J13" s="138">
        <f t="shared" si="3"/>
        <v>1.6052244046694437</v>
      </c>
      <c r="K13" s="138">
        <f t="shared" si="3"/>
        <v>1.6373288927628327</v>
      </c>
      <c r="L13" s="138">
        <f t="shared" si="3"/>
        <v>1.6700754706180894</v>
      </c>
      <c r="M13" s="138">
        <f t="shared" si="3"/>
        <v>1.7034769800304512</v>
      </c>
    </row>
    <row r="14" spans="1:13" ht="14.25" customHeight="1" x14ac:dyDescent="0.15">
      <c r="A14" s="18" t="s">
        <v>64</v>
      </c>
      <c r="B14" s="76"/>
      <c r="C14" s="133"/>
      <c r="D14" s="124">
        <v>0</v>
      </c>
      <c r="E14" s="124">
        <v>0</v>
      </c>
      <c r="F14" s="124">
        <v>0.3</v>
      </c>
      <c r="G14" s="124">
        <v>0.75</v>
      </c>
      <c r="H14" s="124">
        <v>0.95</v>
      </c>
      <c r="I14" s="124">
        <v>0.95</v>
      </c>
      <c r="J14" s="124">
        <v>0.95</v>
      </c>
      <c r="K14" s="124">
        <v>0.95</v>
      </c>
      <c r="L14" s="124">
        <v>0.95</v>
      </c>
      <c r="M14" s="124">
        <v>0.95</v>
      </c>
    </row>
    <row r="15" spans="1:13" ht="18" customHeight="1" x14ac:dyDescent="0.15">
      <c r="A15" s="120" t="s">
        <v>151</v>
      </c>
      <c r="B15" s="69"/>
      <c r="C15" s="128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x14ac:dyDescent="0.15">
      <c r="A16" s="86" t="s">
        <v>12</v>
      </c>
      <c r="B16" s="32">
        <v>0.02</v>
      </c>
      <c r="C16" s="129"/>
      <c r="D16" s="71"/>
      <c r="E16" s="71"/>
      <c r="F16" s="71"/>
      <c r="G16" s="232"/>
      <c r="H16" s="232"/>
      <c r="I16" s="232"/>
      <c r="J16" s="71"/>
      <c r="K16" s="71"/>
      <c r="L16" s="71"/>
      <c r="M16" s="71"/>
    </row>
    <row r="17" spans="1:13" x14ac:dyDescent="0.15">
      <c r="A17" s="86" t="s">
        <v>177</v>
      </c>
      <c r="B17" s="74"/>
      <c r="C17" s="139"/>
      <c r="D17" s="140"/>
      <c r="E17" s="140"/>
      <c r="F17" s="140"/>
      <c r="G17" s="233">
        <f>'Development Schedule'!H50/$B$20</f>
        <v>15</v>
      </c>
      <c r="H17" s="234">
        <f>'Development Schedule'!I50/$B$20</f>
        <v>5</v>
      </c>
      <c r="I17" s="235">
        <f>'Development Schedule'!J50/$B$20</f>
        <v>0</v>
      </c>
      <c r="J17" s="140"/>
      <c r="K17" s="140"/>
      <c r="L17" s="140"/>
      <c r="M17" s="140"/>
    </row>
    <row r="18" spans="1:13" ht="14.25" customHeight="1" x14ac:dyDescent="0.15">
      <c r="A18" s="86" t="s">
        <v>60</v>
      </c>
      <c r="B18" s="61"/>
      <c r="C18" s="130"/>
      <c r="D18" s="36">
        <v>0</v>
      </c>
      <c r="E18" s="36">
        <v>0</v>
      </c>
      <c r="F18" s="125">
        <f>F19-SUM($D$18:E18)</f>
        <v>0</v>
      </c>
      <c r="G18" s="125">
        <f>G19-SUM($D$18:F18)</f>
        <v>0</v>
      </c>
      <c r="H18" s="125">
        <f>H19-SUM($D$18:G18)</f>
        <v>0</v>
      </c>
      <c r="I18" s="125">
        <f>I19-SUM($D$18:H18)</f>
        <v>6</v>
      </c>
      <c r="J18" s="125">
        <f>J19-SUM($D$18:I18)</f>
        <v>9</v>
      </c>
      <c r="K18" s="125">
        <f>K19-SUM($D$18:J18)</f>
        <v>4</v>
      </c>
      <c r="L18" s="125">
        <f>L19-SUM($D$18:K18)</f>
        <v>0</v>
      </c>
      <c r="M18" s="125">
        <f>M19-SUM($D$18:L18)</f>
        <v>0</v>
      </c>
    </row>
    <row r="19" spans="1:13" ht="14.25" customHeight="1" x14ac:dyDescent="0.15">
      <c r="A19" s="86" t="s">
        <v>176</v>
      </c>
      <c r="B19" s="61"/>
      <c r="C19" s="130"/>
      <c r="D19" s="125">
        <f>$B$58*D23</f>
        <v>0</v>
      </c>
      <c r="E19" s="125">
        <f t="shared" ref="E19:M19" si="4">$B$58*E23</f>
        <v>0</v>
      </c>
      <c r="F19" s="125">
        <f t="shared" si="4"/>
        <v>0</v>
      </c>
      <c r="G19" s="125">
        <f t="shared" si="4"/>
        <v>0</v>
      </c>
      <c r="H19" s="125">
        <f t="shared" si="4"/>
        <v>0</v>
      </c>
      <c r="I19" s="125">
        <f t="shared" si="4"/>
        <v>6</v>
      </c>
      <c r="J19" s="125">
        <f t="shared" si="4"/>
        <v>15</v>
      </c>
      <c r="K19" s="125">
        <f t="shared" si="4"/>
        <v>19</v>
      </c>
      <c r="L19" s="125">
        <f t="shared" si="4"/>
        <v>19</v>
      </c>
      <c r="M19" s="125">
        <f t="shared" si="4"/>
        <v>19</v>
      </c>
    </row>
    <row r="20" spans="1:13" ht="14.25" customHeight="1" x14ac:dyDescent="0.15">
      <c r="A20" s="86" t="s">
        <v>61</v>
      </c>
      <c r="B20" s="28">
        <v>1000</v>
      </c>
      <c r="C20" s="131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4.25" customHeight="1" x14ac:dyDescent="0.15">
      <c r="A21" s="86" t="s">
        <v>62</v>
      </c>
      <c r="B21" s="28"/>
      <c r="C21" s="131"/>
      <c r="D21" s="141">
        <f>SUM($D$17:D17)*$B$20</f>
        <v>0</v>
      </c>
      <c r="E21" s="141">
        <f>SUM($D$17:E17)*$B$20</f>
        <v>0</v>
      </c>
      <c r="F21" s="141">
        <f>SUM($D$17:F17)*$B$20</f>
        <v>0</v>
      </c>
      <c r="G21" s="141">
        <f>SUM($D$17:G17)*$B$20</f>
        <v>15000</v>
      </c>
      <c r="H21" s="141">
        <f>SUM($D$17:H17)*$B$20</f>
        <v>20000</v>
      </c>
      <c r="I21" s="141">
        <f>SUM($D$17:I17)*$B$20</f>
        <v>20000</v>
      </c>
      <c r="J21" s="141">
        <f>SUM($D$17:J17)*$B$20</f>
        <v>20000</v>
      </c>
      <c r="K21" s="141">
        <f>SUM($D$17:K17)*$B$20</f>
        <v>20000</v>
      </c>
      <c r="L21" s="141">
        <f>SUM($D$17:L17)*$B$20</f>
        <v>20000</v>
      </c>
      <c r="M21" s="141">
        <f>SUM($D$17:M17)*$B$20</f>
        <v>20000</v>
      </c>
    </row>
    <row r="22" spans="1:13" ht="14.25" customHeight="1" x14ac:dyDescent="0.15">
      <c r="A22" s="86" t="s">
        <v>63</v>
      </c>
      <c r="B22" s="28"/>
      <c r="C22" s="134">
        <f>C13</f>
        <v>1.3974444444444443</v>
      </c>
      <c r="D22" s="138">
        <f>C22*(1+$B$16)</f>
        <v>1.4253933333333331</v>
      </c>
      <c r="E22" s="138">
        <f t="shared" ref="E22:M22" si="5">D22*(1+$B$16)</f>
        <v>1.4539011999999998</v>
      </c>
      <c r="F22" s="138">
        <f t="shared" si="5"/>
        <v>1.4829792239999997</v>
      </c>
      <c r="G22" s="138">
        <f t="shared" si="5"/>
        <v>1.5126388084799998</v>
      </c>
      <c r="H22" s="138">
        <f t="shared" si="5"/>
        <v>1.5428915846495999</v>
      </c>
      <c r="I22" s="138">
        <f t="shared" si="5"/>
        <v>1.5737494163425918</v>
      </c>
      <c r="J22" s="138">
        <f t="shared" si="5"/>
        <v>1.6052244046694437</v>
      </c>
      <c r="K22" s="138">
        <f t="shared" si="5"/>
        <v>1.6373288927628327</v>
      </c>
      <c r="L22" s="138">
        <f t="shared" si="5"/>
        <v>1.6700754706180894</v>
      </c>
      <c r="M22" s="138">
        <f t="shared" si="5"/>
        <v>1.7034769800304512</v>
      </c>
    </row>
    <row r="23" spans="1:13" ht="14.25" customHeight="1" x14ac:dyDescent="0.15">
      <c r="A23" s="18" t="s">
        <v>64</v>
      </c>
      <c r="B23" s="76"/>
      <c r="C23" s="133"/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0.3</v>
      </c>
      <c r="J23" s="124">
        <v>0.75</v>
      </c>
      <c r="K23" s="124">
        <v>0.95</v>
      </c>
      <c r="L23" s="124">
        <v>0.95</v>
      </c>
      <c r="M23" s="124">
        <v>0.95</v>
      </c>
    </row>
    <row r="24" spans="1:13" ht="18" customHeight="1" x14ac:dyDescent="0.15">
      <c r="A24" s="120" t="s">
        <v>152</v>
      </c>
      <c r="B24" s="69"/>
      <c r="C24" s="128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x14ac:dyDescent="0.15">
      <c r="A25" s="86" t="s">
        <v>12</v>
      </c>
      <c r="B25" s="32">
        <v>0.02</v>
      </c>
      <c r="C25" s="129"/>
      <c r="D25" s="71"/>
      <c r="E25" s="71"/>
      <c r="F25" s="71"/>
      <c r="G25" s="71"/>
      <c r="H25" s="71"/>
      <c r="I25" s="71"/>
      <c r="J25" s="232"/>
      <c r="K25" s="232"/>
      <c r="L25" s="232"/>
      <c r="M25" s="232"/>
    </row>
    <row r="26" spans="1:13" x14ac:dyDescent="0.15">
      <c r="A26" s="86" t="s">
        <v>177</v>
      </c>
      <c r="B26" s="74"/>
      <c r="C26" s="139"/>
      <c r="D26" s="140"/>
      <c r="E26" s="140"/>
      <c r="F26" s="140"/>
      <c r="G26" s="140"/>
      <c r="H26" s="140"/>
      <c r="I26" s="140"/>
      <c r="J26" s="233">
        <f>'Development Schedule'!K50/$B$29</f>
        <v>0</v>
      </c>
      <c r="K26" s="234">
        <f>'Development Schedule'!L50/$B$29</f>
        <v>0</v>
      </c>
      <c r="L26" s="234">
        <f>'Development Schedule'!M50/$B$29</f>
        <v>0</v>
      </c>
      <c r="M26" s="235">
        <f>'Development Schedule'!N50/$B$29</f>
        <v>0</v>
      </c>
    </row>
    <row r="27" spans="1:13" ht="14.25" customHeight="1" x14ac:dyDescent="0.15">
      <c r="A27" s="86" t="s">
        <v>60</v>
      </c>
      <c r="B27" s="61"/>
      <c r="C27" s="130"/>
      <c r="D27" s="36">
        <v>0</v>
      </c>
      <c r="E27" s="36">
        <v>0</v>
      </c>
      <c r="F27" s="125">
        <f>F28-SUM($D$27:E27)</f>
        <v>0</v>
      </c>
      <c r="G27" s="125">
        <f>G28-SUM($D$27:F27)</f>
        <v>0</v>
      </c>
      <c r="H27" s="125">
        <f>H28-SUM($D$27:G27)</f>
        <v>0</v>
      </c>
      <c r="I27" s="125">
        <f>I28-SUM($D$27:H27)</f>
        <v>0</v>
      </c>
      <c r="J27" s="125">
        <f>J28-SUM($D$27:I27)</f>
        <v>0</v>
      </c>
      <c r="K27" s="125">
        <f>K28-SUM($D$27:J27)</f>
        <v>0</v>
      </c>
      <c r="L27" s="125">
        <f>L28-SUM($D$27:K27)</f>
        <v>0</v>
      </c>
      <c r="M27" s="125">
        <f>M28-SUM($D$27:L27)</f>
        <v>0</v>
      </c>
    </row>
    <row r="28" spans="1:13" ht="14.25" customHeight="1" x14ac:dyDescent="0.15">
      <c r="A28" s="86" t="s">
        <v>176</v>
      </c>
      <c r="B28" s="61"/>
      <c r="C28" s="130"/>
      <c r="D28" s="125">
        <f>$B$59*D32</f>
        <v>0</v>
      </c>
      <c r="E28" s="125">
        <f t="shared" ref="E28:M28" si="6">$B$59*E32</f>
        <v>0</v>
      </c>
      <c r="F28" s="125">
        <f t="shared" si="6"/>
        <v>0</v>
      </c>
      <c r="G28" s="125">
        <f t="shared" si="6"/>
        <v>0</v>
      </c>
      <c r="H28" s="125">
        <f t="shared" si="6"/>
        <v>0</v>
      </c>
      <c r="I28" s="125">
        <f t="shared" si="6"/>
        <v>0</v>
      </c>
      <c r="J28" s="125">
        <f t="shared" si="6"/>
        <v>0</v>
      </c>
      <c r="K28" s="125">
        <f t="shared" si="6"/>
        <v>0</v>
      </c>
      <c r="L28" s="125">
        <f t="shared" si="6"/>
        <v>0</v>
      </c>
      <c r="M28" s="125">
        <f t="shared" si="6"/>
        <v>0</v>
      </c>
    </row>
    <row r="29" spans="1:13" ht="14.25" customHeight="1" x14ac:dyDescent="0.15">
      <c r="A29" s="86" t="s">
        <v>61</v>
      </c>
      <c r="B29" s="28">
        <v>1000</v>
      </c>
      <c r="C29" s="131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4.25" customHeight="1" x14ac:dyDescent="0.15">
      <c r="A30" s="86" t="s">
        <v>62</v>
      </c>
      <c r="B30" s="28"/>
      <c r="C30" s="131"/>
      <c r="D30" s="141">
        <f>SUM($D$26:D26)*$B$29</f>
        <v>0</v>
      </c>
      <c r="E30" s="141">
        <f>SUM($D$26:E26)*$B$29</f>
        <v>0</v>
      </c>
      <c r="F30" s="141">
        <f>SUM($D$26:F26)*$B$29</f>
        <v>0</v>
      </c>
      <c r="G30" s="141">
        <f>SUM($D$26:G26)*$B$29</f>
        <v>0</v>
      </c>
      <c r="H30" s="141">
        <f>SUM($D$26:H26)*$B$29</f>
        <v>0</v>
      </c>
      <c r="I30" s="141">
        <f>SUM($D$26:I26)*$B$29</f>
        <v>0</v>
      </c>
      <c r="J30" s="141">
        <f>SUM($D$26:J26)*$B$29</f>
        <v>0</v>
      </c>
      <c r="K30" s="141">
        <f>SUM($D$26:K26)*$B$29</f>
        <v>0</v>
      </c>
      <c r="L30" s="141">
        <f>SUM($D$26:L26)*$B$29</f>
        <v>0</v>
      </c>
      <c r="M30" s="141">
        <f>SUM($D$26:M26)*$B$29</f>
        <v>0</v>
      </c>
    </row>
    <row r="31" spans="1:13" ht="14.25" customHeight="1" x14ac:dyDescent="0.15">
      <c r="A31" s="86" t="s">
        <v>63</v>
      </c>
      <c r="B31" s="28"/>
      <c r="C31" s="134">
        <f>C22</f>
        <v>1.3974444444444443</v>
      </c>
      <c r="D31" s="706">
        <f>C31*(1+$B$25)</f>
        <v>1.4253933333333331</v>
      </c>
      <c r="E31" s="706">
        <f t="shared" ref="E31:M31" si="7">D31*(1+$B$25)</f>
        <v>1.4539011999999998</v>
      </c>
      <c r="F31" s="706">
        <f t="shared" si="7"/>
        <v>1.4829792239999997</v>
      </c>
      <c r="G31" s="706">
        <f t="shared" si="7"/>
        <v>1.5126388084799998</v>
      </c>
      <c r="H31" s="706">
        <f t="shared" si="7"/>
        <v>1.5428915846495999</v>
      </c>
      <c r="I31" s="706">
        <f t="shared" si="7"/>
        <v>1.5737494163425918</v>
      </c>
      <c r="J31" s="706">
        <f t="shared" si="7"/>
        <v>1.6052244046694437</v>
      </c>
      <c r="K31" s="706">
        <f t="shared" si="7"/>
        <v>1.6373288927628327</v>
      </c>
      <c r="L31" s="706">
        <f t="shared" si="7"/>
        <v>1.6700754706180894</v>
      </c>
      <c r="M31" s="706">
        <f t="shared" si="7"/>
        <v>1.7034769800304512</v>
      </c>
    </row>
    <row r="32" spans="1:13" ht="14.25" customHeight="1" x14ac:dyDescent="0.15">
      <c r="A32" s="18" t="s">
        <v>64</v>
      </c>
      <c r="B32" s="76"/>
      <c r="C32" s="133"/>
      <c r="D32" s="707">
        <v>0</v>
      </c>
      <c r="E32" s="707">
        <v>0</v>
      </c>
      <c r="F32" s="707">
        <v>0</v>
      </c>
      <c r="G32" s="707">
        <v>0</v>
      </c>
      <c r="H32" s="707">
        <v>0</v>
      </c>
      <c r="I32" s="707">
        <v>0</v>
      </c>
      <c r="J32" s="707">
        <v>0</v>
      </c>
      <c r="K32" s="707">
        <v>0.3</v>
      </c>
      <c r="L32" s="707">
        <v>0.75</v>
      </c>
      <c r="M32" s="707">
        <v>0.95</v>
      </c>
    </row>
    <row r="33" spans="1:14" ht="18" customHeight="1" x14ac:dyDescent="0.15">
      <c r="A33" s="10" t="s">
        <v>0</v>
      </c>
      <c r="B33" s="61"/>
      <c r="C33" s="130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4" ht="14.25" customHeight="1" x14ac:dyDescent="0.15">
      <c r="A34" s="86" t="s">
        <v>13</v>
      </c>
      <c r="B34" s="28"/>
      <c r="C34" s="131"/>
      <c r="D34" s="144">
        <f>SUM(D10,D19,D28)*$B$11*D13*12</f>
        <v>0</v>
      </c>
      <c r="E34" s="144">
        <f t="shared" ref="E34:M34" si="8">SUM(E10,E19,E28)*$B$11*E13*12</f>
        <v>0</v>
      </c>
      <c r="F34" s="144">
        <f t="shared" si="8"/>
        <v>172173.88790639993</v>
      </c>
      <c r="G34" s="144">
        <f t="shared" si="8"/>
        <v>439043.41416131996</v>
      </c>
      <c r="H34" s="144">
        <f t="shared" si="8"/>
        <v>567244.09109642543</v>
      </c>
      <c r="I34" s="144">
        <f t="shared" si="8"/>
        <v>691898.93089502049</v>
      </c>
      <c r="J34" s="144">
        <f t="shared" si="8"/>
        <v>879101.14521722076</v>
      </c>
      <c r="K34" s="144">
        <f t="shared" si="8"/>
        <v>975274.95497418125</v>
      </c>
      <c r="L34" s="144">
        <f t="shared" si="8"/>
        <v>994780.45407366485</v>
      </c>
      <c r="M34" s="144">
        <f t="shared" si="8"/>
        <v>1014676.0631551384</v>
      </c>
      <c r="N34" s="145"/>
    </row>
    <row r="35" spans="1:14" ht="14.25" hidden="1" customHeight="1" x14ac:dyDescent="0.15">
      <c r="A35" s="219" t="s">
        <v>293</v>
      </c>
      <c r="B35" s="143">
        <v>0</v>
      </c>
      <c r="C35" s="131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145"/>
    </row>
    <row r="36" spans="1:14" ht="14.25" customHeight="1" x14ac:dyDescent="0.15">
      <c r="A36" s="86" t="s">
        <v>65</v>
      </c>
      <c r="B36" s="142">
        <v>0.25</v>
      </c>
      <c r="C36" s="131"/>
      <c r="D36" s="147">
        <f>D34*-$B$36</f>
        <v>0</v>
      </c>
      <c r="E36" s="148">
        <f t="shared" ref="E36:F36" si="9">E34*-$B$36</f>
        <v>0</v>
      </c>
      <c r="F36" s="148">
        <f t="shared" si="9"/>
        <v>-43043.471976599983</v>
      </c>
      <c r="G36" s="148">
        <f>G34*-$B$36</f>
        <v>-109760.85354032999</v>
      </c>
      <c r="H36" s="148">
        <f t="shared" ref="H36:I36" si="10">H34*-$B$36</f>
        <v>-141811.02277410636</v>
      </c>
      <c r="I36" s="148">
        <f t="shared" si="10"/>
        <v>-172974.73272375512</v>
      </c>
      <c r="J36" s="148">
        <f>J34*-$B$36</f>
        <v>-219775.28630430519</v>
      </c>
      <c r="K36" s="148">
        <f t="shared" ref="K36:L36" si="11">K34*-$B$36</f>
        <v>-243818.73874354531</v>
      </c>
      <c r="L36" s="148">
        <f t="shared" si="11"/>
        <v>-248695.11351841621</v>
      </c>
      <c r="M36" s="148">
        <f>M34*-$B$36</f>
        <v>-253669.0157887846</v>
      </c>
    </row>
    <row r="37" spans="1:14" ht="14.25" customHeight="1" x14ac:dyDescent="0.15">
      <c r="A37" s="87" t="s">
        <v>5</v>
      </c>
      <c r="B37" s="34"/>
      <c r="C37" s="135"/>
      <c r="D37" s="149">
        <f>SUM(D34:D36)</f>
        <v>0</v>
      </c>
      <c r="E37" s="149">
        <f t="shared" ref="E37:M37" si="12">SUM(E34:E36)</f>
        <v>0</v>
      </c>
      <c r="F37" s="149">
        <f t="shared" si="12"/>
        <v>129130.41592979996</v>
      </c>
      <c r="G37" s="149">
        <f t="shared" si="12"/>
        <v>329282.56062099</v>
      </c>
      <c r="H37" s="149">
        <f t="shared" si="12"/>
        <v>425433.06832231907</v>
      </c>
      <c r="I37" s="149">
        <f t="shared" si="12"/>
        <v>518924.19817126537</v>
      </c>
      <c r="J37" s="149">
        <f t="shared" si="12"/>
        <v>659325.85891291557</v>
      </c>
      <c r="K37" s="149">
        <f t="shared" si="12"/>
        <v>731456.216230636</v>
      </c>
      <c r="L37" s="149">
        <f t="shared" si="12"/>
        <v>746085.34055524867</v>
      </c>
      <c r="M37" s="149">
        <f t="shared" si="12"/>
        <v>761007.0473663538</v>
      </c>
    </row>
    <row r="38" spans="1:14" ht="18" customHeight="1" x14ac:dyDescent="0.15">
      <c r="A38" s="10" t="s">
        <v>2</v>
      </c>
      <c r="B38" s="61"/>
      <c r="C38" s="130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4" ht="14.25" customHeight="1" x14ac:dyDescent="0.15">
      <c r="A39" s="86" t="s">
        <v>14</v>
      </c>
      <c r="B39" s="28"/>
      <c r="C39" s="131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4" ht="14.25" customHeight="1" x14ac:dyDescent="0.15">
      <c r="A40" s="86" t="s">
        <v>178</v>
      </c>
      <c r="B40" s="28"/>
      <c r="C40" s="132">
        <f>'Summary Board'!G112</f>
        <v>215.40039999999999</v>
      </c>
      <c r="D40" s="138">
        <f>C40*(1+$B$7)</f>
        <v>219.70840799999999</v>
      </c>
      <c r="E40" s="138">
        <f t="shared" ref="E40:M40" si="13">D40*(1+$B$7)</f>
        <v>224.10257615999998</v>
      </c>
      <c r="F40" s="138">
        <f t="shared" si="13"/>
        <v>228.58462768319998</v>
      </c>
      <c r="G40" s="138">
        <f t="shared" si="13"/>
        <v>233.15632023686399</v>
      </c>
      <c r="H40" s="138">
        <f t="shared" si="13"/>
        <v>237.81944664160127</v>
      </c>
      <c r="I40" s="138">
        <f t="shared" si="13"/>
        <v>242.57583557443331</v>
      </c>
      <c r="J40" s="138">
        <f t="shared" si="13"/>
        <v>247.42735228592198</v>
      </c>
      <c r="K40" s="138">
        <f t="shared" si="13"/>
        <v>252.37589933164043</v>
      </c>
      <c r="L40" s="138">
        <f t="shared" si="13"/>
        <v>257.42341731827327</v>
      </c>
      <c r="M40" s="138">
        <f t="shared" si="13"/>
        <v>262.57188566463873</v>
      </c>
    </row>
    <row r="41" spans="1:14" ht="14.25" customHeight="1" x14ac:dyDescent="0.15">
      <c r="A41" s="86" t="s">
        <v>2</v>
      </c>
      <c r="B41" s="28"/>
      <c r="C41" s="132"/>
      <c r="D41" s="144">
        <f>D40*'Development Schedule'!E50</f>
        <v>4959917.3105999995</v>
      </c>
      <c r="E41" s="144">
        <f>E40*'Development Schedule'!F50</f>
        <v>2168192.424348</v>
      </c>
      <c r="F41" s="144">
        <f>F40*'Development Schedule'!G50</f>
        <v>0</v>
      </c>
      <c r="G41" s="144">
        <f>G40*'Development Schedule'!H50</f>
        <v>3497344.80355296</v>
      </c>
      <c r="H41" s="144">
        <f>H40*'Development Schedule'!I50</f>
        <v>1189097.2332080065</v>
      </c>
      <c r="I41" s="144">
        <f>I40*'Development Schedule'!J50</f>
        <v>0</v>
      </c>
      <c r="J41" s="144">
        <f>J40*'Development Schedule'!K50</f>
        <v>0</v>
      </c>
      <c r="K41" s="144">
        <f>K40*'Development Schedule'!L50</f>
        <v>0</v>
      </c>
      <c r="L41" s="144">
        <f>L40*'Development Schedule'!M50</f>
        <v>0</v>
      </c>
      <c r="M41" s="144">
        <f>M40*'Development Schedule'!N50</f>
        <v>0</v>
      </c>
      <c r="N41" s="145"/>
    </row>
    <row r="42" spans="1:14" ht="14.25" customHeight="1" x14ac:dyDescent="0.15">
      <c r="A42" s="86" t="s">
        <v>15</v>
      </c>
      <c r="B42" s="28"/>
      <c r="C42" s="131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4" ht="14.25" customHeight="1" x14ac:dyDescent="0.15">
      <c r="A43" s="87" t="s">
        <v>3</v>
      </c>
      <c r="B43" s="34"/>
      <c r="C43" s="135"/>
      <c r="D43" s="150">
        <f>D41+D42</f>
        <v>4959917.3105999995</v>
      </c>
      <c r="E43" s="150">
        <f t="shared" ref="E43:M43" si="14">E41+E42</f>
        <v>2168192.424348</v>
      </c>
      <c r="F43" s="150">
        <f t="shared" si="14"/>
        <v>0</v>
      </c>
      <c r="G43" s="150">
        <f t="shared" si="14"/>
        <v>3497344.80355296</v>
      </c>
      <c r="H43" s="150">
        <f t="shared" si="14"/>
        <v>1189097.2332080065</v>
      </c>
      <c r="I43" s="150">
        <f t="shared" si="14"/>
        <v>0</v>
      </c>
      <c r="J43" s="150">
        <f t="shared" si="14"/>
        <v>0</v>
      </c>
      <c r="K43" s="150">
        <f t="shared" si="14"/>
        <v>0</v>
      </c>
      <c r="L43" s="150">
        <f t="shared" si="14"/>
        <v>0</v>
      </c>
      <c r="M43" s="150">
        <f t="shared" si="14"/>
        <v>0</v>
      </c>
    </row>
    <row r="44" spans="1:14" ht="18" customHeight="1" x14ac:dyDescent="0.15">
      <c r="A44" s="10" t="s">
        <v>4</v>
      </c>
      <c r="B44" s="61"/>
      <c r="C44" s="130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4" ht="14.25" customHeight="1" x14ac:dyDescent="0.15">
      <c r="A45" s="86" t="s">
        <v>5</v>
      </c>
      <c r="B45" s="28"/>
      <c r="C45" s="131"/>
      <c r="D45" s="151">
        <f>D37</f>
        <v>0</v>
      </c>
      <c r="E45" s="151">
        <f t="shared" ref="E45:M45" si="15">E37</f>
        <v>0</v>
      </c>
      <c r="F45" s="151">
        <f t="shared" si="15"/>
        <v>129130.41592979996</v>
      </c>
      <c r="G45" s="151">
        <f t="shared" si="15"/>
        <v>329282.56062099</v>
      </c>
      <c r="H45" s="151">
        <f t="shared" si="15"/>
        <v>425433.06832231907</v>
      </c>
      <c r="I45" s="151">
        <f t="shared" si="15"/>
        <v>518924.19817126537</v>
      </c>
      <c r="J45" s="151">
        <f t="shared" si="15"/>
        <v>659325.85891291557</v>
      </c>
      <c r="K45" s="151">
        <f t="shared" si="15"/>
        <v>731456.216230636</v>
      </c>
      <c r="L45" s="151">
        <f t="shared" si="15"/>
        <v>746085.34055524867</v>
      </c>
      <c r="M45" s="151">
        <f t="shared" si="15"/>
        <v>761007.0473663538</v>
      </c>
    </row>
    <row r="46" spans="1:14" ht="14.25" customHeight="1" x14ac:dyDescent="0.15">
      <c r="A46" s="30" t="s">
        <v>107</v>
      </c>
      <c r="B46" s="33">
        <f>C62</f>
        <v>0.06</v>
      </c>
      <c r="C46" s="136"/>
      <c r="D46" s="77"/>
      <c r="E46" s="77"/>
      <c r="F46" s="77"/>
      <c r="G46" s="77"/>
      <c r="H46" s="77"/>
      <c r="I46" s="77"/>
      <c r="J46" s="77"/>
      <c r="K46" s="77"/>
      <c r="L46" s="77"/>
      <c r="M46" s="152">
        <f>M45/B46</f>
        <v>12683450.789439231</v>
      </c>
    </row>
    <row r="47" spans="1:14" ht="14.25" customHeight="1" x14ac:dyDescent="0.15">
      <c r="A47" s="30" t="s">
        <v>108</v>
      </c>
      <c r="B47" s="33">
        <f>C63</f>
        <v>0.03</v>
      </c>
      <c r="C47" s="136"/>
      <c r="D47" s="77"/>
      <c r="E47" s="77"/>
      <c r="F47" s="77"/>
      <c r="G47" s="77"/>
      <c r="H47" s="77"/>
      <c r="I47" s="77"/>
      <c r="J47" s="77"/>
      <c r="K47" s="77"/>
      <c r="L47" s="77"/>
      <c r="M47" s="153">
        <f>M46*-B47</f>
        <v>-380503.5236831769</v>
      </c>
    </row>
    <row r="48" spans="1:14" ht="14.25" customHeight="1" x14ac:dyDescent="0.15">
      <c r="A48" s="87" t="s">
        <v>3</v>
      </c>
      <c r="B48" s="34"/>
      <c r="C48" s="135"/>
      <c r="D48" s="150">
        <f>-D43</f>
        <v>-4959917.3105999995</v>
      </c>
      <c r="E48" s="150">
        <f t="shared" ref="E48:M48" si="16">-E43</f>
        <v>-2168192.424348</v>
      </c>
      <c r="F48" s="150">
        <f t="shared" si="16"/>
        <v>0</v>
      </c>
      <c r="G48" s="150">
        <f t="shared" si="16"/>
        <v>-3497344.80355296</v>
      </c>
      <c r="H48" s="150">
        <f t="shared" si="16"/>
        <v>-1189097.2332080065</v>
      </c>
      <c r="I48" s="150">
        <f t="shared" si="16"/>
        <v>0</v>
      </c>
      <c r="J48" s="150">
        <f t="shared" si="16"/>
        <v>0</v>
      </c>
      <c r="K48" s="150">
        <f t="shared" si="16"/>
        <v>0</v>
      </c>
      <c r="L48" s="150">
        <f t="shared" si="16"/>
        <v>0</v>
      </c>
      <c r="M48" s="150">
        <f t="shared" si="16"/>
        <v>0</v>
      </c>
    </row>
    <row r="49" spans="1:13" ht="18" customHeight="1" x14ac:dyDescent="0.15">
      <c r="A49" s="14" t="s">
        <v>6</v>
      </c>
      <c r="B49" s="51"/>
      <c r="C49" s="137"/>
      <c r="D49" s="154">
        <f>SUM(D45:D48)</f>
        <v>-4959917.3105999995</v>
      </c>
      <c r="E49" s="154">
        <f t="shared" ref="E49:M49" si="17">SUM(E45:E48)</f>
        <v>-2168192.424348</v>
      </c>
      <c r="F49" s="154">
        <f t="shared" si="17"/>
        <v>129130.41592979996</v>
      </c>
      <c r="G49" s="154">
        <f t="shared" si="17"/>
        <v>-3168062.2429319699</v>
      </c>
      <c r="H49" s="154">
        <f t="shared" si="17"/>
        <v>-763664.16488568741</v>
      </c>
      <c r="I49" s="154">
        <f t="shared" si="17"/>
        <v>518924.19817126537</v>
      </c>
      <c r="J49" s="154">
        <f t="shared" si="17"/>
        <v>659325.85891291557</v>
      </c>
      <c r="K49" s="154">
        <f t="shared" si="17"/>
        <v>731456.216230636</v>
      </c>
      <c r="L49" s="154">
        <f t="shared" si="17"/>
        <v>746085.34055524867</v>
      </c>
      <c r="M49" s="154">
        <f t="shared" si="17"/>
        <v>13063954.313122408</v>
      </c>
    </row>
    <row r="50" spans="1:13" ht="18" customHeight="1" x14ac:dyDescent="0.15">
      <c r="A50" s="17" t="s">
        <v>40</v>
      </c>
      <c r="B50" s="32"/>
      <c r="C50" s="166">
        <f>C49+NPV(C64,D49:M49)</f>
        <v>-2117200.6602483965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8" customHeight="1" x14ac:dyDescent="0.15">
      <c r="A51" s="20" t="s">
        <v>110</v>
      </c>
      <c r="B51" s="34"/>
      <c r="C51" s="168">
        <f>IRR(C49:M49)</f>
        <v>5.0998958782647374E-2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8" customHeight="1" x14ac:dyDescent="0.15">
      <c r="A52" s="20" t="s">
        <v>96</v>
      </c>
      <c r="B52" s="34"/>
      <c r="C52" s="135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5" spans="1:13" x14ac:dyDescent="0.15">
      <c r="A55" s="113" t="s">
        <v>170</v>
      </c>
      <c r="B55" s="114"/>
      <c r="C55" s="115"/>
    </row>
    <row r="56" spans="1:13" x14ac:dyDescent="0.15">
      <c r="B56" s="3" t="s">
        <v>172</v>
      </c>
      <c r="C56" s="3" t="s">
        <v>162</v>
      </c>
    </row>
    <row r="57" spans="1:13" x14ac:dyDescent="0.15">
      <c r="A57" s="1" t="s">
        <v>148</v>
      </c>
      <c r="B57" s="116">
        <f>C57/B11</f>
        <v>32.25</v>
      </c>
      <c r="C57" s="116">
        <f>'Development Schedule'!E50+'Development Schedule'!F50</f>
        <v>32250</v>
      </c>
    </row>
    <row r="58" spans="1:13" x14ac:dyDescent="0.15">
      <c r="A58" s="1" t="s">
        <v>151</v>
      </c>
      <c r="B58" s="116">
        <f>C58/B11</f>
        <v>20</v>
      </c>
      <c r="C58" s="116">
        <f>'Development Schedule'!H50+'Development Schedule'!I50+'Development Schedule'!J50</f>
        <v>20000</v>
      </c>
    </row>
    <row r="59" spans="1:13" x14ac:dyDescent="0.15">
      <c r="A59" s="1" t="s">
        <v>152</v>
      </c>
      <c r="B59" s="117">
        <f>C59/B11</f>
        <v>0</v>
      </c>
      <c r="C59" s="116">
        <f>'Development Schedule'!K50+'Development Schedule'!L50+'Development Schedule'!M50+'Development Schedule'!N50</f>
        <v>0</v>
      </c>
    </row>
    <row r="61" spans="1:13" x14ac:dyDescent="0.15">
      <c r="A61" s="113" t="s">
        <v>171</v>
      </c>
      <c r="B61" s="114"/>
      <c r="C61" s="115"/>
    </row>
    <row r="62" spans="1:13" x14ac:dyDescent="0.15">
      <c r="A62" s="1" t="s">
        <v>173</v>
      </c>
      <c r="C62" s="708">
        <v>0.06</v>
      </c>
    </row>
    <row r="63" spans="1:13" x14ac:dyDescent="0.15">
      <c r="A63" s="1" t="s">
        <v>174</v>
      </c>
      <c r="C63" s="708">
        <v>0.03</v>
      </c>
    </row>
    <row r="64" spans="1:13" x14ac:dyDescent="0.15">
      <c r="A64" s="1" t="s">
        <v>175</v>
      </c>
      <c r="C64" s="708">
        <v>0.09</v>
      </c>
    </row>
  </sheetData>
  <mergeCells count="3">
    <mergeCell ref="D3:F3"/>
    <mergeCell ref="G3:I3"/>
    <mergeCell ref="J3:M3"/>
  </mergeCells>
  <pageMargins left="0.5" right="0.5" top="1" bottom="0.5" header="0.5" footer="0.5"/>
  <pageSetup orientation="landscape" r:id="rId1"/>
  <headerFooter alignWithMargins="0">
    <oddHeader>&amp;L&amp;"Arial,Bold"2. Income Statement: Market-rate Rental Housing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4F6BE-773C-DF4D-9138-16F58B7D8749}">
  <dimension ref="A1:M40"/>
  <sheetViews>
    <sheetView zoomScale="150" zoomScaleNormal="150" workbookViewId="0">
      <selection activeCell="L2" sqref="L2"/>
    </sheetView>
  </sheetViews>
  <sheetFormatPr baseColWidth="10" defaultColWidth="9.1640625" defaultRowHeight="13" x14ac:dyDescent="0.15"/>
  <cols>
    <col min="1" max="1" width="23.1640625" style="1" customWidth="1"/>
    <col min="2" max="2" width="11.5" style="3" bestFit="1" customWidth="1"/>
    <col min="3" max="3" width="10.83203125" style="3" customWidth="1"/>
    <col min="4" max="13" width="10.83203125" style="1" customWidth="1"/>
    <col min="14" max="16384" width="9.1640625" style="1"/>
  </cols>
  <sheetData>
    <row r="1" spans="1:13" ht="14.25" customHeight="1" x14ac:dyDescent="0.15">
      <c r="L1" s="47" t="s">
        <v>352</v>
      </c>
      <c r="M1" s="48"/>
    </row>
    <row r="2" spans="1:13" ht="14.25" customHeight="1" x14ac:dyDescent="0.15"/>
    <row r="3" spans="1:13" ht="14.25" customHeight="1" x14ac:dyDescent="0.15">
      <c r="B3" s="65"/>
      <c r="C3" s="65" t="s">
        <v>105</v>
      </c>
      <c r="D3" s="867" t="s">
        <v>59</v>
      </c>
      <c r="E3" s="868"/>
      <c r="F3" s="869"/>
      <c r="G3" s="867" t="s">
        <v>151</v>
      </c>
      <c r="H3" s="868"/>
      <c r="I3" s="869"/>
      <c r="J3" s="867" t="s">
        <v>152</v>
      </c>
      <c r="K3" s="868"/>
      <c r="L3" s="868"/>
      <c r="M3" s="869"/>
    </row>
    <row r="4" spans="1:13" ht="14.25" customHeight="1" x14ac:dyDescent="0.15">
      <c r="A4" s="5"/>
      <c r="B4" s="68" t="s">
        <v>29</v>
      </c>
      <c r="C4" s="68" t="s">
        <v>130</v>
      </c>
      <c r="D4" s="68">
        <v>2021</v>
      </c>
      <c r="E4" s="68">
        <f>D4+1</f>
        <v>2022</v>
      </c>
      <c r="F4" s="68">
        <f t="shared" ref="F4:M4" si="0">E4+1</f>
        <v>2023</v>
      </c>
      <c r="G4" s="68">
        <f t="shared" si="0"/>
        <v>2024</v>
      </c>
      <c r="H4" s="68">
        <f t="shared" si="0"/>
        <v>2025</v>
      </c>
      <c r="I4" s="68">
        <f t="shared" si="0"/>
        <v>2026</v>
      </c>
      <c r="J4" s="68">
        <f t="shared" si="0"/>
        <v>2027</v>
      </c>
      <c r="K4" s="68">
        <f t="shared" si="0"/>
        <v>2028</v>
      </c>
      <c r="L4" s="68">
        <f t="shared" si="0"/>
        <v>2029</v>
      </c>
      <c r="M4" s="68">
        <f t="shared" si="0"/>
        <v>2030</v>
      </c>
    </row>
    <row r="5" spans="1:13" ht="18" customHeight="1" x14ac:dyDescent="0.15">
      <c r="A5" s="10" t="s">
        <v>16</v>
      </c>
      <c r="B5" s="69"/>
      <c r="C5" s="69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4.25" customHeight="1" x14ac:dyDescent="0.15">
      <c r="A6" s="86" t="s">
        <v>12</v>
      </c>
      <c r="B6" s="32">
        <v>0.02</v>
      </c>
      <c r="C6" s="32"/>
      <c r="D6" s="232"/>
      <c r="E6" s="232"/>
      <c r="F6" s="232"/>
      <c r="G6" s="232"/>
      <c r="H6" s="232"/>
      <c r="I6" s="232"/>
      <c r="J6" s="232"/>
      <c r="K6" s="232"/>
      <c r="L6" s="232"/>
      <c r="M6" s="232"/>
    </row>
    <row r="7" spans="1:13" ht="14.25" customHeight="1" x14ac:dyDescent="0.15">
      <c r="A7" s="86" t="s">
        <v>127</v>
      </c>
      <c r="B7" s="74"/>
      <c r="C7" s="74"/>
      <c r="D7" s="233">
        <f>'Development Schedule'!E52/$B$9</f>
        <v>0</v>
      </c>
      <c r="E7" s="234">
        <f>'Development Schedule'!F52/$B$9</f>
        <v>0</v>
      </c>
      <c r="F7" s="234">
        <f>'Development Schedule'!G52/$B$9</f>
        <v>0</v>
      </c>
      <c r="G7" s="234">
        <f>'Development Schedule'!H52/$B$9</f>
        <v>0</v>
      </c>
      <c r="H7" s="234">
        <f>'Development Schedule'!I52/$B$9</f>
        <v>0</v>
      </c>
      <c r="I7" s="234">
        <f>'Development Schedule'!J52/$B$9</f>
        <v>0</v>
      </c>
      <c r="J7" s="234">
        <f>'Development Schedule'!K52/$B$9</f>
        <v>0</v>
      </c>
      <c r="K7" s="234">
        <f>'Development Schedule'!L52/$B$9</f>
        <v>0</v>
      </c>
      <c r="L7" s="234">
        <f>'Development Schedule'!M52/$B$9</f>
        <v>0</v>
      </c>
      <c r="M7" s="235">
        <f>'Development Schedule'!N52/$B$9</f>
        <v>0</v>
      </c>
    </row>
    <row r="8" spans="1:13" ht="14.25" customHeight="1" x14ac:dyDescent="0.15">
      <c r="A8" s="86" t="s">
        <v>126</v>
      </c>
      <c r="B8" s="61"/>
      <c r="C8" s="61"/>
      <c r="D8" s="36">
        <v>0</v>
      </c>
      <c r="E8" s="36">
        <v>0</v>
      </c>
      <c r="F8" s="36">
        <v>0</v>
      </c>
      <c r="G8" s="36">
        <v>0</v>
      </c>
      <c r="H8" s="125">
        <f>B34/3</f>
        <v>0</v>
      </c>
      <c r="I8" s="125">
        <f>H8</f>
        <v>0</v>
      </c>
      <c r="J8" s="125">
        <f>I8</f>
        <v>0</v>
      </c>
      <c r="K8" s="36">
        <v>0</v>
      </c>
      <c r="L8" s="36">
        <v>0</v>
      </c>
      <c r="M8" s="36">
        <v>0</v>
      </c>
    </row>
    <row r="9" spans="1:13" ht="14.25" customHeight="1" x14ac:dyDescent="0.15">
      <c r="A9" s="86" t="s">
        <v>61</v>
      </c>
      <c r="B9" s="28">
        <v>1000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4.25" customHeight="1" x14ac:dyDescent="0.15">
      <c r="A10" s="86" t="s">
        <v>66</v>
      </c>
      <c r="B10" s="28"/>
      <c r="C10" s="28"/>
      <c r="D10" s="29"/>
      <c r="E10" s="29"/>
      <c r="F10" s="29"/>
      <c r="G10" s="141">
        <f>G7*$B$9</f>
        <v>0</v>
      </c>
      <c r="H10" s="141">
        <f>(G7+H7)*$B$9</f>
        <v>0</v>
      </c>
      <c r="I10" s="141">
        <f>H10</f>
        <v>0</v>
      </c>
      <c r="J10" s="141">
        <f>I10</f>
        <v>0</v>
      </c>
      <c r="K10" s="141">
        <f t="shared" ref="K10:M10" si="1">J10</f>
        <v>0</v>
      </c>
      <c r="L10" s="141">
        <f t="shared" si="1"/>
        <v>0</v>
      </c>
      <c r="M10" s="141">
        <f t="shared" si="1"/>
        <v>0</v>
      </c>
    </row>
    <row r="11" spans="1:13" ht="14.25" customHeight="1" x14ac:dyDescent="0.15">
      <c r="A11" s="18" t="s">
        <v>67</v>
      </c>
      <c r="B11" s="34"/>
      <c r="C11" s="155">
        <v>200</v>
      </c>
      <c r="D11" s="156">
        <f>C11*(1+$B$6)</f>
        <v>204</v>
      </c>
      <c r="E11" s="156">
        <f t="shared" ref="E11:M11" si="2">D11*(1+$B$6)</f>
        <v>208.08</v>
      </c>
      <c r="F11" s="156">
        <f t="shared" si="2"/>
        <v>212.24160000000001</v>
      </c>
      <c r="G11" s="156">
        <f t="shared" si="2"/>
        <v>216.48643200000001</v>
      </c>
      <c r="H11" s="156">
        <f t="shared" si="2"/>
        <v>220.81616064000002</v>
      </c>
      <c r="I11" s="156">
        <f t="shared" si="2"/>
        <v>225.23248385280002</v>
      </c>
      <c r="J11" s="156">
        <f t="shared" si="2"/>
        <v>229.73713352985601</v>
      </c>
      <c r="K11" s="156">
        <f t="shared" si="2"/>
        <v>234.33187620045314</v>
      </c>
      <c r="L11" s="156">
        <f t="shared" si="2"/>
        <v>239.0185137244622</v>
      </c>
      <c r="M11" s="156">
        <f t="shared" si="2"/>
        <v>243.79888399895145</v>
      </c>
    </row>
    <row r="12" spans="1:13" ht="18" customHeight="1" x14ac:dyDescent="0.15">
      <c r="A12" s="10" t="s">
        <v>0</v>
      </c>
      <c r="B12" s="61"/>
      <c r="C12" s="61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4.25" customHeight="1" x14ac:dyDescent="0.15">
      <c r="A13" s="86" t="s">
        <v>17</v>
      </c>
      <c r="B13" s="28"/>
      <c r="C13" s="157">
        <f>C8*$B$9*C11</f>
        <v>0</v>
      </c>
      <c r="D13" s="157">
        <f t="shared" ref="D13:M13" si="3">D8*$B$9*D11</f>
        <v>0</v>
      </c>
      <c r="E13" s="157">
        <f t="shared" si="3"/>
        <v>0</v>
      </c>
      <c r="F13" s="157">
        <f t="shared" si="3"/>
        <v>0</v>
      </c>
      <c r="G13" s="157">
        <f t="shared" si="3"/>
        <v>0</v>
      </c>
      <c r="H13" s="157">
        <f t="shared" si="3"/>
        <v>0</v>
      </c>
      <c r="I13" s="157">
        <f t="shared" si="3"/>
        <v>0</v>
      </c>
      <c r="J13" s="157">
        <f t="shared" si="3"/>
        <v>0</v>
      </c>
      <c r="K13" s="157">
        <f t="shared" si="3"/>
        <v>0</v>
      </c>
      <c r="L13" s="157">
        <f t="shared" si="3"/>
        <v>0</v>
      </c>
      <c r="M13" s="157">
        <f t="shared" si="3"/>
        <v>0</v>
      </c>
    </row>
    <row r="14" spans="1:13" ht="14.25" customHeight="1" x14ac:dyDescent="0.15">
      <c r="A14" s="86" t="s">
        <v>68</v>
      </c>
      <c r="B14" s="32">
        <f>B38</f>
        <v>0.06</v>
      </c>
      <c r="C14" s="157">
        <f>C13*-$B$14</f>
        <v>0</v>
      </c>
      <c r="D14" s="157">
        <f t="shared" ref="D14:M14" si="4">D13*-$B$14</f>
        <v>0</v>
      </c>
      <c r="E14" s="157">
        <f t="shared" si="4"/>
        <v>0</v>
      </c>
      <c r="F14" s="157">
        <f t="shared" si="4"/>
        <v>0</v>
      </c>
      <c r="G14" s="157">
        <f t="shared" si="4"/>
        <v>0</v>
      </c>
      <c r="H14" s="157">
        <f t="shared" si="4"/>
        <v>0</v>
      </c>
      <c r="I14" s="157">
        <f t="shared" si="4"/>
        <v>0</v>
      </c>
      <c r="J14" s="157">
        <f t="shared" si="4"/>
        <v>0</v>
      </c>
      <c r="K14" s="157">
        <f t="shared" si="4"/>
        <v>0</v>
      </c>
      <c r="L14" s="157">
        <f t="shared" si="4"/>
        <v>0</v>
      </c>
      <c r="M14" s="157">
        <f t="shared" si="4"/>
        <v>0</v>
      </c>
    </row>
    <row r="15" spans="1:13" ht="14.25" customHeight="1" x14ac:dyDescent="0.15">
      <c r="A15" s="30" t="s">
        <v>69</v>
      </c>
      <c r="B15" s="33">
        <f>B39</f>
        <v>0.05</v>
      </c>
      <c r="C15" s="160">
        <f>C13*-$B$15</f>
        <v>0</v>
      </c>
      <c r="D15" s="160">
        <f t="shared" ref="D15:M15" si="5">D13*-$B$15</f>
        <v>0</v>
      </c>
      <c r="E15" s="160">
        <f t="shared" si="5"/>
        <v>0</v>
      </c>
      <c r="F15" s="160">
        <f t="shared" si="5"/>
        <v>0</v>
      </c>
      <c r="G15" s="160">
        <f t="shared" si="5"/>
        <v>0</v>
      </c>
      <c r="H15" s="160">
        <f t="shared" si="5"/>
        <v>0</v>
      </c>
      <c r="I15" s="160">
        <f t="shared" si="5"/>
        <v>0</v>
      </c>
      <c r="J15" s="160">
        <f t="shared" si="5"/>
        <v>0</v>
      </c>
      <c r="K15" s="160">
        <f t="shared" si="5"/>
        <v>0</v>
      </c>
      <c r="L15" s="160">
        <f t="shared" si="5"/>
        <v>0</v>
      </c>
      <c r="M15" s="160">
        <f t="shared" si="5"/>
        <v>0</v>
      </c>
    </row>
    <row r="16" spans="1:13" ht="14.25" customHeight="1" x14ac:dyDescent="0.15">
      <c r="A16" s="87" t="s">
        <v>5</v>
      </c>
      <c r="B16" s="34"/>
      <c r="C16" s="159">
        <f>SUM(C13:C15)</f>
        <v>0</v>
      </c>
      <c r="D16" s="159">
        <f t="shared" ref="D16:M16" si="6">SUM(D13:D15)</f>
        <v>0</v>
      </c>
      <c r="E16" s="159">
        <f t="shared" si="6"/>
        <v>0</v>
      </c>
      <c r="F16" s="159">
        <f t="shared" si="6"/>
        <v>0</v>
      </c>
      <c r="G16" s="159">
        <f t="shared" si="6"/>
        <v>0</v>
      </c>
      <c r="H16" s="159">
        <f t="shared" si="6"/>
        <v>0</v>
      </c>
      <c r="I16" s="159">
        <f t="shared" si="6"/>
        <v>0</v>
      </c>
      <c r="J16" s="159">
        <f t="shared" si="6"/>
        <v>0</v>
      </c>
      <c r="K16" s="159">
        <f t="shared" si="6"/>
        <v>0</v>
      </c>
      <c r="L16" s="159">
        <f t="shared" si="6"/>
        <v>0</v>
      </c>
      <c r="M16" s="159">
        <f t="shared" si="6"/>
        <v>0</v>
      </c>
    </row>
    <row r="17" spans="1:13" ht="18" customHeight="1" x14ac:dyDescent="0.15">
      <c r="A17" s="10" t="s">
        <v>2</v>
      </c>
      <c r="B17" s="61"/>
      <c r="C17" s="61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4.25" customHeight="1" x14ac:dyDescent="0.15">
      <c r="A18" s="86" t="s">
        <v>14</v>
      </c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4.25" customHeight="1" x14ac:dyDescent="0.15">
      <c r="A19" s="86" t="s">
        <v>178</v>
      </c>
      <c r="B19" s="121">
        <f>'Summary Board'!G112</f>
        <v>215.40039999999999</v>
      </c>
      <c r="C19" s="121">
        <f>B19*(1+$B$6)</f>
        <v>219.70840799999999</v>
      </c>
      <c r="D19" s="121">
        <f t="shared" ref="D19:M19" si="7">C19*(1+$B$6)</f>
        <v>224.10257615999998</v>
      </c>
      <c r="E19" s="121">
        <f t="shared" si="7"/>
        <v>228.58462768319998</v>
      </c>
      <c r="F19" s="121">
        <f t="shared" si="7"/>
        <v>233.15632023686399</v>
      </c>
      <c r="G19" s="121">
        <f t="shared" si="7"/>
        <v>237.81944664160127</v>
      </c>
      <c r="H19" s="121">
        <f t="shared" si="7"/>
        <v>242.57583557443331</v>
      </c>
      <c r="I19" s="121">
        <f t="shared" si="7"/>
        <v>247.42735228592198</v>
      </c>
      <c r="J19" s="121">
        <f t="shared" si="7"/>
        <v>252.37589933164043</v>
      </c>
      <c r="K19" s="121">
        <f t="shared" si="7"/>
        <v>257.42341731827327</v>
      </c>
      <c r="L19" s="121">
        <f t="shared" si="7"/>
        <v>262.57188566463873</v>
      </c>
      <c r="M19" s="121">
        <f t="shared" si="7"/>
        <v>267.8233233779315</v>
      </c>
    </row>
    <row r="20" spans="1:13" ht="14.25" customHeight="1" x14ac:dyDescent="0.15">
      <c r="A20" s="86" t="s">
        <v>2</v>
      </c>
      <c r="B20" s="28"/>
      <c r="C20" s="161">
        <f>C19*C7*$B$9</f>
        <v>0</v>
      </c>
      <c r="D20" s="161">
        <f t="shared" ref="D20:M20" si="8">D19*D7*$B$9</f>
        <v>0</v>
      </c>
      <c r="E20" s="161">
        <f t="shared" si="8"/>
        <v>0</v>
      </c>
      <c r="F20" s="161">
        <f t="shared" si="8"/>
        <v>0</v>
      </c>
      <c r="G20" s="161">
        <f t="shared" si="8"/>
        <v>0</v>
      </c>
      <c r="H20" s="161">
        <f t="shared" si="8"/>
        <v>0</v>
      </c>
      <c r="I20" s="161">
        <f t="shared" si="8"/>
        <v>0</v>
      </c>
      <c r="J20" s="161">
        <f t="shared" si="8"/>
        <v>0</v>
      </c>
      <c r="K20" s="161">
        <f t="shared" si="8"/>
        <v>0</v>
      </c>
      <c r="L20" s="161">
        <f t="shared" si="8"/>
        <v>0</v>
      </c>
      <c r="M20" s="161">
        <f t="shared" si="8"/>
        <v>0</v>
      </c>
    </row>
    <row r="21" spans="1:13" ht="14.25" customHeight="1" x14ac:dyDescent="0.15">
      <c r="A21" s="86" t="s">
        <v>15</v>
      </c>
      <c r="B21" s="34"/>
      <c r="C21" s="34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4.25" customHeight="1" x14ac:dyDescent="0.15">
      <c r="A22" s="87" t="s">
        <v>3</v>
      </c>
      <c r="B22" s="63"/>
      <c r="C22" s="159">
        <f>SUM(C20:C21)</f>
        <v>0</v>
      </c>
      <c r="D22" s="159">
        <f t="shared" ref="D22:M22" si="9">SUM(D20:D21)</f>
        <v>0</v>
      </c>
      <c r="E22" s="159">
        <f t="shared" si="9"/>
        <v>0</v>
      </c>
      <c r="F22" s="159">
        <f t="shared" si="9"/>
        <v>0</v>
      </c>
      <c r="G22" s="159">
        <f t="shared" si="9"/>
        <v>0</v>
      </c>
      <c r="H22" s="159">
        <f t="shared" si="9"/>
        <v>0</v>
      </c>
      <c r="I22" s="159">
        <f t="shared" si="9"/>
        <v>0</v>
      </c>
      <c r="J22" s="159">
        <f t="shared" si="9"/>
        <v>0</v>
      </c>
      <c r="K22" s="159">
        <f t="shared" si="9"/>
        <v>0</v>
      </c>
      <c r="L22" s="159">
        <f t="shared" si="9"/>
        <v>0</v>
      </c>
      <c r="M22" s="159">
        <f t="shared" si="9"/>
        <v>0</v>
      </c>
    </row>
    <row r="23" spans="1:13" ht="18" customHeight="1" x14ac:dyDescent="0.15">
      <c r="A23" s="10" t="s">
        <v>4</v>
      </c>
      <c r="B23" s="61"/>
      <c r="C23" s="61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4.25" customHeight="1" x14ac:dyDescent="0.15">
      <c r="A24" s="86" t="s">
        <v>5</v>
      </c>
      <c r="B24" s="28"/>
      <c r="C24" s="161">
        <f>C16</f>
        <v>0</v>
      </c>
      <c r="D24" s="161">
        <f t="shared" ref="D24:M24" si="10">D16</f>
        <v>0</v>
      </c>
      <c r="E24" s="161">
        <f t="shared" si="10"/>
        <v>0</v>
      </c>
      <c r="F24" s="161">
        <f t="shared" si="10"/>
        <v>0</v>
      </c>
      <c r="G24" s="161">
        <f t="shared" si="10"/>
        <v>0</v>
      </c>
      <c r="H24" s="161">
        <f t="shared" si="10"/>
        <v>0</v>
      </c>
      <c r="I24" s="161">
        <f t="shared" si="10"/>
        <v>0</v>
      </c>
      <c r="J24" s="161">
        <f t="shared" si="10"/>
        <v>0</v>
      </c>
      <c r="K24" s="161">
        <f t="shared" si="10"/>
        <v>0</v>
      </c>
      <c r="L24" s="161">
        <f t="shared" si="10"/>
        <v>0</v>
      </c>
      <c r="M24" s="161">
        <f t="shared" si="10"/>
        <v>0</v>
      </c>
    </row>
    <row r="25" spans="1:13" ht="14.25" customHeight="1" x14ac:dyDescent="0.15">
      <c r="A25" s="86" t="s">
        <v>3</v>
      </c>
      <c r="B25" s="32"/>
      <c r="C25" s="158">
        <f>-C22</f>
        <v>0</v>
      </c>
      <c r="D25" s="158">
        <f t="shared" ref="D25:M25" si="11">-D22</f>
        <v>0</v>
      </c>
      <c r="E25" s="158">
        <f t="shared" si="11"/>
        <v>0</v>
      </c>
      <c r="F25" s="158">
        <f t="shared" si="11"/>
        <v>0</v>
      </c>
      <c r="G25" s="158">
        <f t="shared" si="11"/>
        <v>0</v>
      </c>
      <c r="H25" s="158">
        <f t="shared" si="11"/>
        <v>0</v>
      </c>
      <c r="I25" s="158">
        <f t="shared" si="11"/>
        <v>0</v>
      </c>
      <c r="J25" s="158">
        <f t="shared" si="11"/>
        <v>0</v>
      </c>
      <c r="K25" s="158">
        <f t="shared" si="11"/>
        <v>0</v>
      </c>
      <c r="L25" s="158">
        <f t="shared" si="11"/>
        <v>0</v>
      </c>
      <c r="M25" s="158">
        <f t="shared" si="11"/>
        <v>0</v>
      </c>
    </row>
    <row r="26" spans="1:13" ht="14.25" customHeight="1" x14ac:dyDescent="0.15">
      <c r="A26" s="18" t="s">
        <v>6</v>
      </c>
      <c r="B26" s="73"/>
      <c r="C26" s="159">
        <f>SUM(C24:C25)</f>
        <v>0</v>
      </c>
      <c r="D26" s="159">
        <f t="shared" ref="D26:M26" si="12">SUM(D24:D25)</f>
        <v>0</v>
      </c>
      <c r="E26" s="159">
        <f t="shared" si="12"/>
        <v>0</v>
      </c>
      <c r="F26" s="159">
        <f t="shared" si="12"/>
        <v>0</v>
      </c>
      <c r="G26" s="159">
        <f t="shared" si="12"/>
        <v>0</v>
      </c>
      <c r="H26" s="159">
        <f t="shared" si="12"/>
        <v>0</v>
      </c>
      <c r="I26" s="159">
        <f t="shared" si="12"/>
        <v>0</v>
      </c>
      <c r="J26" s="159">
        <f t="shared" si="12"/>
        <v>0</v>
      </c>
      <c r="K26" s="159">
        <f t="shared" si="12"/>
        <v>0</v>
      </c>
      <c r="L26" s="159">
        <f t="shared" si="12"/>
        <v>0</v>
      </c>
      <c r="M26" s="159">
        <f t="shared" si="12"/>
        <v>0</v>
      </c>
    </row>
    <row r="27" spans="1:13" ht="18" customHeight="1" x14ac:dyDescent="0.15">
      <c r="A27" s="10" t="s">
        <v>40</v>
      </c>
      <c r="B27" s="163">
        <f>B26+NPV(B40,C26:M26)</f>
        <v>0</v>
      </c>
      <c r="C27" s="74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8" customHeight="1" x14ac:dyDescent="0.15">
      <c r="A28" s="20" t="s">
        <v>110</v>
      </c>
      <c r="B28" s="165" t="e">
        <f>IRR(B26:M26)</f>
        <v>#NUM!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8" customHeight="1" x14ac:dyDescent="0.15">
      <c r="A29" s="20" t="s">
        <v>96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1" spans="1:13" x14ac:dyDescent="0.15">
      <c r="A31" s="870" t="s">
        <v>170</v>
      </c>
      <c r="B31" s="871"/>
      <c r="C31" s="872"/>
    </row>
    <row r="32" spans="1:13" x14ac:dyDescent="0.15">
      <c r="B32" s="3" t="s">
        <v>172</v>
      </c>
      <c r="C32" s="3" t="s">
        <v>162</v>
      </c>
    </row>
    <row r="33" spans="1:3" x14ac:dyDescent="0.15">
      <c r="A33" s="1" t="s">
        <v>148</v>
      </c>
      <c r="B33" s="117">
        <f>C33/$B$9</f>
        <v>0</v>
      </c>
      <c r="C33" s="116">
        <f>SUM('Development Schedule'!E52:G52)</f>
        <v>0</v>
      </c>
    </row>
    <row r="34" spans="1:3" x14ac:dyDescent="0.15">
      <c r="A34" s="1" t="s">
        <v>151</v>
      </c>
      <c r="B34" s="117">
        <f t="shared" ref="B34:B35" si="13">C34/$B$9</f>
        <v>0</v>
      </c>
      <c r="C34" s="116">
        <f>SUM('Development Schedule'!H52:J52)</f>
        <v>0</v>
      </c>
    </row>
    <row r="35" spans="1:3" x14ac:dyDescent="0.15">
      <c r="A35" s="1" t="s">
        <v>152</v>
      </c>
      <c r="B35" s="117">
        <f t="shared" si="13"/>
        <v>0</v>
      </c>
      <c r="C35" s="116">
        <f>SUM('Development Schedule'!K52:N52)</f>
        <v>0</v>
      </c>
    </row>
    <row r="37" spans="1:3" x14ac:dyDescent="0.15">
      <c r="A37" s="870" t="s">
        <v>171</v>
      </c>
      <c r="B37" s="871"/>
      <c r="C37" s="872"/>
    </row>
    <row r="38" spans="1:3" x14ac:dyDescent="0.15">
      <c r="A38" s="1" t="s">
        <v>68</v>
      </c>
      <c r="B38" s="708">
        <v>0.06</v>
      </c>
    </row>
    <row r="39" spans="1:3" x14ac:dyDescent="0.15">
      <c r="A39" s="1" t="s">
        <v>69</v>
      </c>
      <c r="B39" s="708">
        <v>0.05</v>
      </c>
    </row>
    <row r="40" spans="1:3" x14ac:dyDescent="0.15">
      <c r="A40" s="1" t="s">
        <v>175</v>
      </c>
      <c r="B40" s="708">
        <v>0.09</v>
      </c>
    </row>
  </sheetData>
  <mergeCells count="5">
    <mergeCell ref="D3:F3"/>
    <mergeCell ref="G3:I3"/>
    <mergeCell ref="J3:M3"/>
    <mergeCell ref="A31:C31"/>
    <mergeCell ref="A37:C37"/>
  </mergeCells>
  <pageMargins left="0.5" right="0.5" top="1" bottom="0.5" header="0.5" footer="0.5"/>
  <pageSetup orientation="landscape" r:id="rId1"/>
  <headerFooter alignWithMargins="0">
    <oddHeader>&amp;L&amp;"Arial,Bold"3. Income Statement: Market-rate For Sale Housing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3"/>
  <sheetViews>
    <sheetView zoomScale="140" zoomScaleNormal="140" workbookViewId="0">
      <selection activeCell="B32" sqref="B32"/>
    </sheetView>
  </sheetViews>
  <sheetFormatPr baseColWidth="10" defaultColWidth="9.1640625" defaultRowHeight="13" x14ac:dyDescent="0.15"/>
  <cols>
    <col min="1" max="1" width="23.5" style="1" customWidth="1"/>
    <col min="2" max="3" width="8.5" style="3" customWidth="1"/>
    <col min="4" max="5" width="8.5" style="1" customWidth="1"/>
    <col min="6" max="6" width="10.5" style="1" bestFit="1" customWidth="1"/>
    <col min="7" max="10" width="8.5" style="1" customWidth="1"/>
    <col min="11" max="11" width="10.5" style="1" customWidth="1"/>
    <col min="12" max="12" width="8.5" style="1" customWidth="1"/>
    <col min="13" max="13" width="11" style="1" bestFit="1" customWidth="1"/>
    <col min="14" max="16384" width="9.1640625" style="1"/>
  </cols>
  <sheetData>
    <row r="1" spans="1:13" ht="14.25" customHeight="1" x14ac:dyDescent="0.15">
      <c r="L1" s="47" t="s">
        <v>352</v>
      </c>
      <c r="M1" s="48"/>
    </row>
    <row r="2" spans="1:13" ht="14.25" customHeight="1" x14ac:dyDescent="0.15">
      <c r="L2" s="49"/>
      <c r="M2" s="50"/>
    </row>
    <row r="3" spans="1:13" ht="14.25" customHeight="1" x14ac:dyDescent="0.15">
      <c r="B3" s="65"/>
      <c r="C3" s="65" t="s">
        <v>105</v>
      </c>
      <c r="D3" s="867" t="s">
        <v>59</v>
      </c>
      <c r="E3" s="868"/>
      <c r="F3" s="869"/>
      <c r="G3" s="867" t="s">
        <v>151</v>
      </c>
      <c r="H3" s="868"/>
      <c r="I3" s="869"/>
      <c r="J3" s="867" t="s">
        <v>152</v>
      </c>
      <c r="K3" s="868"/>
      <c r="L3" s="868"/>
      <c r="M3" s="869"/>
    </row>
    <row r="4" spans="1:13" ht="14.25" customHeight="1" x14ac:dyDescent="0.15">
      <c r="A4" s="5"/>
      <c r="B4" s="68" t="s">
        <v>29</v>
      </c>
      <c r="C4" s="68" t="s">
        <v>130</v>
      </c>
      <c r="D4" s="68">
        <v>2021</v>
      </c>
      <c r="E4" s="68">
        <f t="shared" ref="E4:M4" si="0">D4+1</f>
        <v>2022</v>
      </c>
      <c r="F4" s="68">
        <f t="shared" si="0"/>
        <v>2023</v>
      </c>
      <c r="G4" s="68">
        <f t="shared" si="0"/>
        <v>2024</v>
      </c>
      <c r="H4" s="68">
        <f t="shared" si="0"/>
        <v>2025</v>
      </c>
      <c r="I4" s="68">
        <f t="shared" si="0"/>
        <v>2026</v>
      </c>
      <c r="J4" s="68">
        <f t="shared" si="0"/>
        <v>2027</v>
      </c>
      <c r="K4" s="68">
        <f t="shared" si="0"/>
        <v>2028</v>
      </c>
      <c r="L4" s="68">
        <f t="shared" si="0"/>
        <v>2029</v>
      </c>
      <c r="M4" s="68">
        <f t="shared" si="0"/>
        <v>2030</v>
      </c>
    </row>
    <row r="5" spans="1:13" ht="18" customHeight="1" x14ac:dyDescent="0.15">
      <c r="A5" s="10" t="s">
        <v>16</v>
      </c>
      <c r="B5" s="69"/>
      <c r="C5" s="69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4.25" customHeight="1" x14ac:dyDescent="0.15">
      <c r="A6" s="11" t="s">
        <v>12</v>
      </c>
      <c r="B6" s="32">
        <v>0.02</v>
      </c>
      <c r="C6" s="32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4.25" customHeight="1" x14ac:dyDescent="0.15">
      <c r="A7" s="11" t="s">
        <v>128</v>
      </c>
      <c r="B7" s="61" t="s">
        <v>47</v>
      </c>
      <c r="C7" s="74"/>
      <c r="D7" s="140">
        <f>'Development Schedule'!D54</f>
        <v>0</v>
      </c>
      <c r="E7" s="140">
        <f>'Development Schedule'!E54</f>
        <v>0</v>
      </c>
      <c r="F7" s="140">
        <f>'Development Schedule'!F54</f>
        <v>0</v>
      </c>
      <c r="G7" s="140">
        <f>'Development Schedule'!G54</f>
        <v>0</v>
      </c>
      <c r="H7" s="140">
        <f>'Development Schedule'!H54</f>
        <v>0</v>
      </c>
      <c r="I7" s="140">
        <f>'Development Schedule'!I54</f>
        <v>0</v>
      </c>
      <c r="J7" s="140">
        <f>'Development Schedule'!J54</f>
        <v>0</v>
      </c>
      <c r="K7" s="140">
        <f>'Development Schedule'!K54</f>
        <v>130000</v>
      </c>
      <c r="L7" s="140">
        <f>'Development Schedule'!L54</f>
        <v>0</v>
      </c>
      <c r="M7" s="140">
        <f>'Development Schedule'!M54</f>
        <v>0</v>
      </c>
    </row>
    <row r="8" spans="1:13" ht="14.25" customHeight="1" x14ac:dyDescent="0.15">
      <c r="A8" s="11" t="s">
        <v>70</v>
      </c>
      <c r="B8" s="61" t="s">
        <v>47</v>
      </c>
      <c r="C8" s="61"/>
      <c r="D8" s="125">
        <f>D7</f>
        <v>0</v>
      </c>
      <c r="E8" s="125">
        <f t="shared" ref="E8" si="1">E7</f>
        <v>0</v>
      </c>
      <c r="F8" s="125">
        <f>F7+E8</f>
        <v>0</v>
      </c>
      <c r="G8" s="125">
        <f>F8+G7</f>
        <v>0</v>
      </c>
      <c r="H8" s="125">
        <f t="shared" ref="H8:M8" si="2">G8+H7</f>
        <v>0</v>
      </c>
      <c r="I8" s="125">
        <f t="shared" si="2"/>
        <v>0</v>
      </c>
      <c r="J8" s="125">
        <f t="shared" si="2"/>
        <v>0</v>
      </c>
      <c r="K8" s="125">
        <f t="shared" si="2"/>
        <v>130000</v>
      </c>
      <c r="L8" s="125">
        <f t="shared" si="2"/>
        <v>130000</v>
      </c>
      <c r="M8" s="125">
        <f t="shared" si="2"/>
        <v>130000</v>
      </c>
    </row>
    <row r="9" spans="1:13" ht="14.25" customHeight="1" x14ac:dyDescent="0.15">
      <c r="A9" s="11" t="s">
        <v>62</v>
      </c>
      <c r="B9" s="32">
        <v>0.9</v>
      </c>
      <c r="C9" s="32"/>
      <c r="D9" s="141">
        <f>D8*$B$9</f>
        <v>0</v>
      </c>
      <c r="E9" s="141">
        <f t="shared" ref="E9:M9" si="3">E8*$B$9</f>
        <v>0</v>
      </c>
      <c r="F9" s="141">
        <f t="shared" si="3"/>
        <v>0</v>
      </c>
      <c r="G9" s="141">
        <f t="shared" si="3"/>
        <v>0</v>
      </c>
      <c r="H9" s="141">
        <f t="shared" si="3"/>
        <v>0</v>
      </c>
      <c r="I9" s="141">
        <f t="shared" si="3"/>
        <v>0</v>
      </c>
      <c r="J9" s="141">
        <f t="shared" si="3"/>
        <v>0</v>
      </c>
      <c r="K9" s="141">
        <f t="shared" si="3"/>
        <v>117000</v>
      </c>
      <c r="L9" s="141">
        <f t="shared" si="3"/>
        <v>117000</v>
      </c>
      <c r="M9" s="141">
        <f t="shared" si="3"/>
        <v>117000</v>
      </c>
    </row>
    <row r="10" spans="1:13" ht="14.25" customHeight="1" x14ac:dyDescent="0.15">
      <c r="A10" s="11" t="s">
        <v>71</v>
      </c>
      <c r="B10" s="32"/>
      <c r="C10" s="32">
        <v>1</v>
      </c>
      <c r="D10" s="175">
        <v>1</v>
      </c>
      <c r="E10" s="175">
        <v>1</v>
      </c>
      <c r="F10" s="175">
        <v>1</v>
      </c>
      <c r="G10" s="175">
        <v>1</v>
      </c>
      <c r="H10" s="175">
        <v>1</v>
      </c>
      <c r="I10" s="175">
        <f t="shared" ref="I10:M10" si="4">H10</f>
        <v>1</v>
      </c>
      <c r="J10" s="175">
        <f t="shared" si="4"/>
        <v>1</v>
      </c>
      <c r="K10" s="175">
        <v>0.3</v>
      </c>
      <c r="L10" s="175">
        <v>0.1</v>
      </c>
      <c r="M10" s="175">
        <f t="shared" si="4"/>
        <v>0.1</v>
      </c>
    </row>
    <row r="11" spans="1:13" ht="14.25" customHeight="1" x14ac:dyDescent="0.15">
      <c r="A11" s="30" t="s">
        <v>193</v>
      </c>
      <c r="C11" s="247">
        <f>'Summary Board'!J132*1.2</f>
        <v>28.463999999999999</v>
      </c>
      <c r="D11" s="248">
        <f>C11*(1+$B$6)</f>
        <v>29.033279999999998</v>
      </c>
      <c r="E11" s="248">
        <f t="shared" ref="E11:M11" si="5">D11*(1+$B$6)</f>
        <v>29.613945599999997</v>
      </c>
      <c r="F11" s="248">
        <f t="shared" si="5"/>
        <v>30.206224511999999</v>
      </c>
      <c r="G11" s="248">
        <f t="shared" si="5"/>
        <v>30.810349002239999</v>
      </c>
      <c r="H11" s="248">
        <f t="shared" si="5"/>
        <v>31.4265559822848</v>
      </c>
      <c r="I11" s="248">
        <f t="shared" si="5"/>
        <v>32.055087101930496</v>
      </c>
      <c r="J11" s="248">
        <f t="shared" si="5"/>
        <v>32.696188843969104</v>
      </c>
      <c r="K11" s="248">
        <f t="shared" si="5"/>
        <v>33.350112620848485</v>
      </c>
      <c r="L11" s="248">
        <f t="shared" si="5"/>
        <v>34.017114873265456</v>
      </c>
      <c r="M11" s="248">
        <f t="shared" si="5"/>
        <v>34.697457170730765</v>
      </c>
    </row>
    <row r="12" spans="1:13" ht="14.25" customHeight="1" x14ac:dyDescent="0.15">
      <c r="A12" s="18" t="s">
        <v>129</v>
      </c>
      <c r="B12" s="63"/>
      <c r="C12" s="159">
        <f>C9*(1-C10)*C11</f>
        <v>0</v>
      </c>
      <c r="D12" s="159">
        <f t="shared" ref="D12:M12" si="6">D9*(1-D10)*D11</f>
        <v>0</v>
      </c>
      <c r="E12" s="159">
        <f t="shared" si="6"/>
        <v>0</v>
      </c>
      <c r="F12" s="159">
        <f t="shared" si="6"/>
        <v>0</v>
      </c>
      <c r="G12" s="159">
        <f t="shared" si="6"/>
        <v>0</v>
      </c>
      <c r="H12" s="159">
        <f t="shared" si="6"/>
        <v>0</v>
      </c>
      <c r="I12" s="159">
        <f t="shared" si="6"/>
        <v>0</v>
      </c>
      <c r="J12" s="159">
        <f t="shared" si="6"/>
        <v>0</v>
      </c>
      <c r="K12" s="159">
        <f t="shared" si="6"/>
        <v>2731374.2236474911</v>
      </c>
      <c r="L12" s="159">
        <f t="shared" si="6"/>
        <v>3582002.1961548524</v>
      </c>
      <c r="M12" s="159">
        <f t="shared" si="6"/>
        <v>3653642.2400779496</v>
      </c>
    </row>
    <row r="13" spans="1:13" ht="18" customHeight="1" x14ac:dyDescent="0.15">
      <c r="A13" s="10" t="s">
        <v>0</v>
      </c>
      <c r="B13" s="61"/>
      <c r="C13" s="61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4.25" customHeight="1" x14ac:dyDescent="0.15">
      <c r="A14" s="11" t="s">
        <v>18</v>
      </c>
      <c r="B14" s="28"/>
      <c r="C14" s="161">
        <f>C12</f>
        <v>0</v>
      </c>
      <c r="D14" s="161">
        <f t="shared" ref="D14:M14" si="7">D12</f>
        <v>0</v>
      </c>
      <c r="E14" s="161">
        <f t="shared" si="7"/>
        <v>0</v>
      </c>
      <c r="F14" s="161">
        <f t="shared" si="7"/>
        <v>0</v>
      </c>
      <c r="G14" s="161">
        <f t="shared" si="7"/>
        <v>0</v>
      </c>
      <c r="H14" s="161">
        <f t="shared" si="7"/>
        <v>0</v>
      </c>
      <c r="I14" s="161">
        <f t="shared" si="7"/>
        <v>0</v>
      </c>
      <c r="J14" s="161">
        <f t="shared" si="7"/>
        <v>0</v>
      </c>
      <c r="K14" s="161">
        <f t="shared" si="7"/>
        <v>2731374.2236474911</v>
      </c>
      <c r="L14" s="161">
        <f t="shared" si="7"/>
        <v>3582002.1961548524</v>
      </c>
      <c r="M14" s="161">
        <f t="shared" si="7"/>
        <v>3653642.2400779496</v>
      </c>
    </row>
    <row r="15" spans="1:13" s="39" customFormat="1" ht="28" x14ac:dyDescent="0.15">
      <c r="A15" s="37" t="s">
        <v>73</v>
      </c>
      <c r="B15" s="249">
        <f>C40</f>
        <v>10</v>
      </c>
      <c r="C15" s="530">
        <f>C9*-$B$15</f>
        <v>0</v>
      </c>
      <c r="D15" s="530">
        <f t="shared" ref="D15:M15" si="8">D9*-$B$15</f>
        <v>0</v>
      </c>
      <c r="E15" s="530">
        <f t="shared" si="8"/>
        <v>0</v>
      </c>
      <c r="F15" s="530">
        <f t="shared" si="8"/>
        <v>0</v>
      </c>
      <c r="G15" s="530">
        <f t="shared" si="8"/>
        <v>0</v>
      </c>
      <c r="H15" s="530">
        <f t="shared" si="8"/>
        <v>0</v>
      </c>
      <c r="I15" s="530">
        <f t="shared" si="8"/>
        <v>0</v>
      </c>
      <c r="J15" s="530">
        <f t="shared" si="8"/>
        <v>0</v>
      </c>
      <c r="K15" s="530">
        <f t="shared" si="8"/>
        <v>-1170000</v>
      </c>
      <c r="L15" s="530">
        <f t="shared" si="8"/>
        <v>-1170000</v>
      </c>
      <c r="M15" s="530">
        <f t="shared" si="8"/>
        <v>-1170000</v>
      </c>
    </row>
    <row r="16" spans="1:13" ht="14.25" customHeight="1" x14ac:dyDescent="0.15">
      <c r="A16" s="22" t="s">
        <v>5</v>
      </c>
      <c r="B16" s="34"/>
      <c r="C16" s="159">
        <f>C14+C15</f>
        <v>0</v>
      </c>
      <c r="D16" s="159">
        <f t="shared" ref="D16:M16" si="9">D14+D15</f>
        <v>0</v>
      </c>
      <c r="E16" s="159">
        <f t="shared" si="9"/>
        <v>0</v>
      </c>
      <c r="F16" s="159">
        <f t="shared" si="9"/>
        <v>0</v>
      </c>
      <c r="G16" s="159">
        <f t="shared" si="9"/>
        <v>0</v>
      </c>
      <c r="H16" s="159">
        <f t="shared" si="9"/>
        <v>0</v>
      </c>
      <c r="I16" s="159">
        <f t="shared" si="9"/>
        <v>0</v>
      </c>
      <c r="J16" s="159">
        <f t="shared" si="9"/>
        <v>0</v>
      </c>
      <c r="K16" s="159">
        <f t="shared" si="9"/>
        <v>1561374.2236474911</v>
      </c>
      <c r="L16" s="159">
        <f t="shared" si="9"/>
        <v>2412002.1961548524</v>
      </c>
      <c r="M16" s="159">
        <f t="shared" si="9"/>
        <v>2483642.2400779496</v>
      </c>
    </row>
    <row r="17" spans="1:13" ht="18" customHeight="1" x14ac:dyDescent="0.15">
      <c r="A17" s="10" t="s">
        <v>2</v>
      </c>
      <c r="B17" s="61"/>
      <c r="C17" s="61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4.25" customHeight="1" x14ac:dyDescent="0.15">
      <c r="A18" s="11" t="s">
        <v>14</v>
      </c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4.25" customHeight="1" x14ac:dyDescent="0.15">
      <c r="A19" s="11" t="s">
        <v>178</v>
      </c>
      <c r="B19" s="121">
        <f>'Summary Board'!G113</f>
        <v>206.80719999999999</v>
      </c>
      <c r="C19" s="121">
        <f>B19*(1+$B$6)</f>
        <v>210.943344</v>
      </c>
      <c r="D19" s="121">
        <f t="shared" ref="D19:M19" si="10">C19*(1+$B$6)</f>
        <v>215.16221088</v>
      </c>
      <c r="E19" s="121">
        <f t="shared" si="10"/>
        <v>219.4654550976</v>
      </c>
      <c r="F19" s="121">
        <f t="shared" si="10"/>
        <v>223.85476419955199</v>
      </c>
      <c r="G19" s="121">
        <f t="shared" si="10"/>
        <v>228.33185948354304</v>
      </c>
      <c r="H19" s="121">
        <f t="shared" si="10"/>
        <v>232.89849667321391</v>
      </c>
      <c r="I19" s="121">
        <f t="shared" si="10"/>
        <v>237.55646660667819</v>
      </c>
      <c r="J19" s="121">
        <f t="shared" si="10"/>
        <v>242.30759593881174</v>
      </c>
      <c r="K19" s="121">
        <f t="shared" si="10"/>
        <v>247.15374785758797</v>
      </c>
      <c r="L19" s="121">
        <f t="shared" si="10"/>
        <v>252.09682281473974</v>
      </c>
      <c r="M19" s="121">
        <f t="shared" si="10"/>
        <v>257.13875927103453</v>
      </c>
    </row>
    <row r="20" spans="1:13" ht="14.25" customHeight="1" x14ac:dyDescent="0.15">
      <c r="A20" s="86" t="s">
        <v>2</v>
      </c>
      <c r="B20" s="121"/>
      <c r="C20" s="121"/>
      <c r="D20" s="121">
        <f>D7*D19</f>
        <v>0</v>
      </c>
      <c r="E20" s="157">
        <f t="shared" ref="E20:M20" si="11">E7*E19</f>
        <v>0</v>
      </c>
      <c r="F20" s="157">
        <f t="shared" si="11"/>
        <v>0</v>
      </c>
      <c r="G20" s="121">
        <f t="shared" si="11"/>
        <v>0</v>
      </c>
      <c r="H20" s="121">
        <f t="shared" si="11"/>
        <v>0</v>
      </c>
      <c r="I20" s="121">
        <f t="shared" si="11"/>
        <v>0</v>
      </c>
      <c r="J20" s="121">
        <f t="shared" si="11"/>
        <v>0</v>
      </c>
      <c r="K20" s="157">
        <f t="shared" si="11"/>
        <v>32129987.221486438</v>
      </c>
      <c r="L20" s="121">
        <f t="shared" si="11"/>
        <v>0</v>
      </c>
      <c r="M20" s="121">
        <f t="shared" si="11"/>
        <v>0</v>
      </c>
    </row>
    <row r="21" spans="1:13" ht="14.25" customHeight="1" x14ac:dyDescent="0.15">
      <c r="A21" s="11" t="s">
        <v>15</v>
      </c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4.25" customHeight="1" x14ac:dyDescent="0.15">
      <c r="A22" s="22" t="s">
        <v>3</v>
      </c>
      <c r="B22" s="34"/>
      <c r="C22" s="158">
        <f>C20+C21</f>
        <v>0</v>
      </c>
      <c r="D22" s="158">
        <f t="shared" ref="D22:M22" si="12">D20+D21</f>
        <v>0</v>
      </c>
      <c r="E22" s="158">
        <f t="shared" si="12"/>
        <v>0</v>
      </c>
      <c r="F22" s="158">
        <f t="shared" si="12"/>
        <v>0</v>
      </c>
      <c r="G22" s="158">
        <f t="shared" si="12"/>
        <v>0</v>
      </c>
      <c r="H22" s="158">
        <f t="shared" si="12"/>
        <v>0</v>
      </c>
      <c r="I22" s="158">
        <f t="shared" si="12"/>
        <v>0</v>
      </c>
      <c r="J22" s="158">
        <f t="shared" si="12"/>
        <v>0</v>
      </c>
      <c r="K22" s="158">
        <f t="shared" si="12"/>
        <v>32129987.221486438</v>
      </c>
      <c r="L22" s="158">
        <f t="shared" si="12"/>
        <v>0</v>
      </c>
      <c r="M22" s="158">
        <f t="shared" si="12"/>
        <v>0</v>
      </c>
    </row>
    <row r="23" spans="1:13" ht="18" customHeight="1" x14ac:dyDescent="0.15">
      <c r="A23" s="10" t="s">
        <v>4</v>
      </c>
      <c r="B23" s="61"/>
      <c r="C23" s="61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4.25" customHeight="1" x14ac:dyDescent="0.15">
      <c r="A24" s="11" t="s">
        <v>5</v>
      </c>
      <c r="B24" s="31"/>
      <c r="C24" s="250">
        <f>C16</f>
        <v>0</v>
      </c>
      <c r="D24" s="250">
        <f t="shared" ref="D24:M24" si="13">D16</f>
        <v>0</v>
      </c>
      <c r="E24" s="250">
        <f t="shared" si="13"/>
        <v>0</v>
      </c>
      <c r="F24" s="250">
        <f t="shared" si="13"/>
        <v>0</v>
      </c>
      <c r="G24" s="250">
        <f t="shared" si="13"/>
        <v>0</v>
      </c>
      <c r="H24" s="250">
        <f t="shared" si="13"/>
        <v>0</v>
      </c>
      <c r="I24" s="250">
        <f t="shared" si="13"/>
        <v>0</v>
      </c>
      <c r="J24" s="250">
        <f t="shared" si="13"/>
        <v>0</v>
      </c>
      <c r="K24" s="250">
        <f t="shared" si="13"/>
        <v>1561374.2236474911</v>
      </c>
      <c r="L24" s="250">
        <f t="shared" si="13"/>
        <v>2412002.1961548524</v>
      </c>
      <c r="M24" s="250">
        <f t="shared" si="13"/>
        <v>2483642.2400779496</v>
      </c>
    </row>
    <row r="25" spans="1:13" ht="14.25" customHeight="1" x14ac:dyDescent="0.15">
      <c r="A25" s="11" t="s">
        <v>107</v>
      </c>
      <c r="B25" s="32"/>
      <c r="C25" s="32"/>
      <c r="D25" s="29"/>
      <c r="E25" s="29"/>
      <c r="F25" s="29"/>
      <c r="G25" s="29"/>
      <c r="H25" s="29"/>
      <c r="I25" s="29"/>
      <c r="J25" s="29"/>
      <c r="K25" s="29"/>
      <c r="L25" s="29"/>
      <c r="M25" s="144">
        <f>M24/C41</f>
        <v>49672844.801558986</v>
      </c>
    </row>
    <row r="26" spans="1:13" ht="14.25" customHeight="1" x14ac:dyDescent="0.15">
      <c r="A26" s="11" t="s">
        <v>108</v>
      </c>
      <c r="B26" s="32"/>
      <c r="C26" s="32"/>
      <c r="D26" s="29"/>
      <c r="E26" s="29"/>
      <c r="F26" s="29"/>
      <c r="G26" s="29"/>
      <c r="H26" s="29"/>
      <c r="I26" s="29"/>
      <c r="J26" s="29"/>
      <c r="K26" s="29"/>
      <c r="L26" s="29"/>
      <c r="M26" s="144">
        <f>M25*-C42</f>
        <v>-1490185.3440467694</v>
      </c>
    </row>
    <row r="27" spans="1:13" ht="14.25" customHeight="1" x14ac:dyDescent="0.15">
      <c r="A27" s="11" t="s">
        <v>3</v>
      </c>
      <c r="B27" s="32"/>
      <c r="C27" s="161">
        <f>-C22</f>
        <v>0</v>
      </c>
      <c r="D27" s="161">
        <f t="shared" ref="D27:M27" si="14">-D22</f>
        <v>0</v>
      </c>
      <c r="E27" s="161">
        <f t="shared" si="14"/>
        <v>0</v>
      </c>
      <c r="F27" s="161">
        <f t="shared" si="14"/>
        <v>0</v>
      </c>
      <c r="G27" s="161">
        <f t="shared" si="14"/>
        <v>0</v>
      </c>
      <c r="H27" s="161">
        <f t="shared" si="14"/>
        <v>0</v>
      </c>
      <c r="I27" s="161">
        <f t="shared" si="14"/>
        <v>0</v>
      </c>
      <c r="J27" s="161">
        <f t="shared" si="14"/>
        <v>0</v>
      </c>
      <c r="K27" s="161">
        <f t="shared" si="14"/>
        <v>-32129987.221486438</v>
      </c>
      <c r="L27" s="161">
        <f t="shared" si="14"/>
        <v>0</v>
      </c>
      <c r="M27" s="161">
        <f t="shared" si="14"/>
        <v>0</v>
      </c>
    </row>
    <row r="28" spans="1:13" ht="14.25" customHeight="1" x14ac:dyDescent="0.15">
      <c r="A28" s="18" t="s">
        <v>6</v>
      </c>
      <c r="B28" s="73"/>
      <c r="C28" s="158">
        <f>SUM(C24:C27)</f>
        <v>0</v>
      </c>
      <c r="D28" s="158">
        <f t="shared" ref="D28:M28" si="15">SUM(D24:D27)</f>
        <v>0</v>
      </c>
      <c r="E28" s="158">
        <f t="shared" si="15"/>
        <v>0</v>
      </c>
      <c r="F28" s="158">
        <f t="shared" si="15"/>
        <v>0</v>
      </c>
      <c r="G28" s="158">
        <f t="shared" si="15"/>
        <v>0</v>
      </c>
      <c r="H28" s="158">
        <f t="shared" si="15"/>
        <v>0</v>
      </c>
      <c r="I28" s="158">
        <f t="shared" si="15"/>
        <v>0</v>
      </c>
      <c r="J28" s="158">
        <f t="shared" si="15"/>
        <v>0</v>
      </c>
      <c r="K28" s="158">
        <f t="shared" si="15"/>
        <v>-30568612.997838948</v>
      </c>
      <c r="L28" s="158">
        <f t="shared" si="15"/>
        <v>2412002.1961548524</v>
      </c>
      <c r="M28" s="158">
        <f t="shared" si="15"/>
        <v>50666301.697590165</v>
      </c>
    </row>
    <row r="29" spans="1:13" ht="18" customHeight="1" x14ac:dyDescent="0.15">
      <c r="A29" s="10" t="s">
        <v>40</v>
      </c>
      <c r="B29" s="163">
        <f>B28+NPV(C43,C28:M28)</f>
        <v>6579073.5026435237</v>
      </c>
      <c r="C29" s="74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8" customHeight="1" x14ac:dyDescent="0.15">
      <c r="A30" s="20" t="s">
        <v>110</v>
      </c>
      <c r="B30" s="164">
        <f>IRR(B28:M28)</f>
        <v>0.32748101902711113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8" customHeight="1" x14ac:dyDescent="0.15">
      <c r="A31" s="20" t="s">
        <v>96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3" spans="1:3" x14ac:dyDescent="0.15">
      <c r="A33" s="113" t="s">
        <v>170</v>
      </c>
      <c r="B33" s="114"/>
      <c r="C33" s="115"/>
    </row>
    <row r="34" spans="1:3" x14ac:dyDescent="0.15">
      <c r="B34" s="3" t="s">
        <v>181</v>
      </c>
    </row>
    <row r="35" spans="1:3" x14ac:dyDescent="0.15">
      <c r="A35" s="1" t="s">
        <v>194</v>
      </c>
      <c r="B35" s="116">
        <f>'Development Schedule'!E54+'Development Schedule'!F54+'Development Schedule'!G54</f>
        <v>0</v>
      </c>
    </row>
    <row r="36" spans="1:3" x14ac:dyDescent="0.15">
      <c r="A36" s="1" t="s">
        <v>195</v>
      </c>
      <c r="B36" s="116">
        <f>'Development Schedule'!H54+'Development Schedule'!I54+'Development Schedule'!J54</f>
        <v>0</v>
      </c>
    </row>
    <row r="37" spans="1:3" x14ac:dyDescent="0.15">
      <c r="A37" s="1" t="s">
        <v>196</v>
      </c>
      <c r="B37" s="116">
        <f>'Development Schedule'!K54+'Development Schedule'!L54+'Development Schedule'!M54+'Development Schedule'!N54</f>
        <v>130000</v>
      </c>
    </row>
    <row r="39" spans="1:3" x14ac:dyDescent="0.15">
      <c r="A39" s="113" t="s">
        <v>171</v>
      </c>
      <c r="B39" s="114"/>
      <c r="C39" s="115"/>
    </row>
    <row r="40" spans="1:3" x14ac:dyDescent="0.15">
      <c r="A40" s="1" t="s">
        <v>184</v>
      </c>
      <c r="C40" s="251">
        <v>10</v>
      </c>
    </row>
    <row r="41" spans="1:3" x14ac:dyDescent="0.15">
      <c r="A41" s="1" t="s">
        <v>173</v>
      </c>
      <c r="C41" s="112">
        <v>0.05</v>
      </c>
    </row>
    <row r="42" spans="1:3" x14ac:dyDescent="0.15">
      <c r="A42" s="1" t="s">
        <v>174</v>
      </c>
      <c r="C42" s="112">
        <v>0.03</v>
      </c>
    </row>
    <row r="43" spans="1:3" x14ac:dyDescent="0.15">
      <c r="A43" s="1" t="s">
        <v>175</v>
      </c>
      <c r="C43" s="112">
        <v>0.09</v>
      </c>
    </row>
  </sheetData>
  <mergeCells count="3">
    <mergeCell ref="D3:F3"/>
    <mergeCell ref="G3:I3"/>
    <mergeCell ref="J3:M3"/>
  </mergeCells>
  <phoneticPr fontId="3" type="noConversion"/>
  <pageMargins left="0.5" right="0.5" top="1" bottom="0.5" header="0.5" footer="0.5"/>
  <pageSetup orientation="landscape" r:id="rId1"/>
  <headerFooter alignWithMargins="0">
    <oddHeader>&amp;L&amp;"Arial,Bold"6. Income Statement: Office/Commercial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Summary Board</vt:lpstr>
      <vt:lpstr>Budget</vt:lpstr>
      <vt:lpstr>Financing</vt:lpstr>
      <vt:lpstr>1.Infrastructure Costs</vt:lpstr>
      <vt:lpstr>2.Market-rate Rental Housing</vt:lpstr>
      <vt:lpstr>3.Market-rate For-Sale Housing</vt:lpstr>
      <vt:lpstr>4.Affordable Rental Housing</vt:lpstr>
      <vt:lpstr>5.Affordable For-Sale Housing</vt:lpstr>
      <vt:lpstr>6.Office_Commercial</vt:lpstr>
      <vt:lpstr>7.Market-rate Retail</vt:lpstr>
      <vt:lpstr>8.Hotel</vt:lpstr>
      <vt:lpstr>9.Structured Parking (New)</vt:lpstr>
      <vt:lpstr>9.Structured Parking (Existing)</vt:lpstr>
      <vt:lpstr>10.Other</vt:lpstr>
      <vt:lpstr>10.Surface Parking</vt:lpstr>
      <vt:lpstr>Development Schedule</vt:lpstr>
      <vt:lpstr>Assumptions</vt:lpstr>
      <vt:lpstr>'1.Infrastructure Costs'!Print_Area</vt:lpstr>
      <vt:lpstr>'3.Market-rate For-Sale Housing'!Print_Area</vt:lpstr>
      <vt:lpstr>'5.Affordable For-Sale Housing'!Print_Area</vt:lpstr>
      <vt:lpstr>'8.Hotel'!Print_Area</vt:lpstr>
      <vt:lpstr>Financing!Print_Area</vt:lpstr>
      <vt:lpstr>'Summary Board'!Print_Area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Finkenbinder-Best</dc:creator>
  <cp:lastModifiedBy>Bryan Katz</cp:lastModifiedBy>
  <cp:lastPrinted>2019-01-23T17:16:19Z</cp:lastPrinted>
  <dcterms:created xsi:type="dcterms:W3CDTF">2007-12-12T14:49:40Z</dcterms:created>
  <dcterms:modified xsi:type="dcterms:W3CDTF">2019-01-27T23:21:25Z</dcterms:modified>
</cp:coreProperties>
</file>