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/>
  <mc:AlternateContent xmlns:mc="http://schemas.openxmlformats.org/markup-compatibility/2006">
    <mc:Choice Requires="x15">
      <x15ac:absPath xmlns:x15ac="http://schemas.microsoft.com/office/spreadsheetml/2010/11/ac" url="C:\0BBBB- ACADEMICS\SEMESTER 11\NCARB\HINES\FINAL SUBMISSION\"/>
    </mc:Choice>
  </mc:AlternateContent>
  <xr:revisionPtr revIDLastSave="0" documentId="13_ncr:1_{7ED620F4-7C3A-4D46-B69F-A48B1C20C74C}" xr6:coauthVersionLast="36" xr6:coauthVersionMax="40" xr10:uidLastSave="{00000000-0000-0000-0000-000000000000}"/>
  <bookViews>
    <workbookView xWindow="0" yWindow="0" windowWidth="19200" windowHeight="5975" tabRatio="913" xr2:uid="{C385FBD0-2778-430E-B5E9-279E5324A788}"/>
  </bookViews>
  <sheets>
    <sheet name="SummarySheet1" sheetId="4" r:id="rId1"/>
    <sheet name="SummarySheet2" sheetId="20" r:id="rId2"/>
    <sheet name="CashFlow-Combined" sheetId="18" r:id="rId3"/>
    <sheet name="BuildingSummary" sheetId="1" r:id="rId4"/>
    <sheet name="Assumptions-Overall" sheetId="10" r:id="rId5"/>
    <sheet name="Assumptions-ResRental" sheetId="2" r:id="rId6"/>
    <sheet name="CashFlow-ResRental" sheetId="12" r:id="rId7"/>
    <sheet name="Assumptions-ResCondo" sheetId="5" r:id="rId8"/>
    <sheet name="CashFlow-ResCondo" sheetId="13" r:id="rId9"/>
    <sheet name="Assumptions-Retail" sheetId="6" r:id="rId10"/>
    <sheet name="CashFlow-Retail" sheetId="14" r:id="rId11"/>
    <sheet name="Assumptions-Office" sheetId="7" r:id="rId12"/>
    <sheet name="CashFlow-Office" sheetId="15" r:id="rId13"/>
    <sheet name="Assumptions-Hotel" sheetId="8" r:id="rId14"/>
    <sheet name="CashFlow-Hotel" sheetId="16" r:id="rId15"/>
    <sheet name="Assumptions-Parking" sheetId="11" r:id="rId16"/>
    <sheet name="CashFlow-Parking" sheetId="17" r:id="rId17"/>
    <sheet name="Assumptions-Land&amp;Infrastructure" sheetId="9" r:id="rId18"/>
    <sheet name="CashFlow-Infrastructure" sheetId="22" r:id="rId19"/>
    <sheet name="Assumptions-Cable Car" sheetId="21" state="hidden" r:id="rId20"/>
  </sheets>
  <externalReferences>
    <externalReference r:id="rId21"/>
  </externalReferences>
  <definedNames>
    <definedName name="idk">[1]BuildingSummary!$C$4</definedName>
    <definedName name="LandPhaseI">'Assumptions-Land&amp;Infrastructure'!$F$8</definedName>
    <definedName name="LandPhaseII">'Assumptions-Land&amp;Infrastructure'!$F$9</definedName>
    <definedName name="LandPhaseIII">'Assumptions-Land&amp;Infrastructure'!$F$10</definedName>
    <definedName name="LandSF">BuildingSummary!$C$7</definedName>
    <definedName name="PhaseIComplete">'Assumptions-Overall'!$C$11</definedName>
    <definedName name="PhaseIConBegin">'Assumptions-Overall'!$C$10</definedName>
    <definedName name="PhaseIConEnd">'Assumptions-Overall'!$E$10</definedName>
    <definedName name="PhaseIIComplete">'Assumptions-Overall'!$C$18</definedName>
    <definedName name="PhaseIIConBegin">'Assumptions-Overall'!$C$17</definedName>
    <definedName name="PhaseIIConEnd">'Assumptions-Overall'!$E$17</definedName>
    <definedName name="PhaseIIIComplete">'Assumptions-Overall'!$C$25</definedName>
    <definedName name="PhaseIIIConBegin">'Assumptions-Overall'!$C$24</definedName>
    <definedName name="PhaseIIIConEnd">'Assumptions-Overall'!$E$24</definedName>
    <definedName name="PhaseIIIPreconBegin">'Assumptions-Overall'!$C$23</definedName>
    <definedName name="PhaseIIIRefi">'Assumptions-Overall'!$C$26</definedName>
    <definedName name="PhaseIIPreconBegin">'Assumptions-Overall'!$C$16</definedName>
    <definedName name="PhaseIIRefi">'Assumptions-Overall'!$C$19</definedName>
    <definedName name="PhaseIPreconBegin">'Assumptions-Overall'!$C$9</definedName>
    <definedName name="PhaseIRefi">'Assumptions-Overall'!$C$12</definedName>
    <definedName name="_xlnm.Print_Area" localSheetId="0">SummarySheet1!$A$1:$N$99</definedName>
    <definedName name="ProjectName">BuildingSummary!$C$3</definedName>
    <definedName name="ProjectName1">[1]BuildingSummary!$C$3</definedName>
    <definedName name="TeamNumber">BuildingSummary!$C$4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05" i="4" l="1"/>
  <c r="G21" i="17"/>
  <c r="H21" i="17"/>
  <c r="I21" i="17"/>
  <c r="J21" i="17"/>
  <c r="K21" i="17"/>
  <c r="L21" i="17"/>
  <c r="M21" i="17"/>
  <c r="D21" i="17"/>
  <c r="E21" i="17"/>
  <c r="F21" i="17"/>
  <c r="E151" i="14"/>
  <c r="F151" i="14"/>
  <c r="G151" i="14"/>
  <c r="H151" i="14"/>
  <c r="I151" i="14"/>
  <c r="J151" i="14"/>
  <c r="K151" i="14"/>
  <c r="L151" i="14"/>
  <c r="M151" i="14"/>
  <c r="N151" i="14"/>
  <c r="D151" i="14"/>
  <c r="H28" i="17"/>
  <c r="M52" i="17"/>
  <c r="J53" i="17"/>
  <c r="M73" i="4"/>
  <c r="K73" i="4"/>
  <c r="E52" i="17"/>
  <c r="F52" i="17"/>
  <c r="G52" i="17"/>
  <c r="H52" i="17"/>
  <c r="I52" i="17"/>
  <c r="J52" i="17"/>
  <c r="K52" i="17"/>
  <c r="L52" i="17"/>
  <c r="D52" i="17"/>
  <c r="D176" i="18"/>
  <c r="H53" i="17" l="1"/>
  <c r="G53" i="17"/>
  <c r="F53" i="17"/>
  <c r="I53" i="17"/>
  <c r="E53" i="17"/>
  <c r="M53" i="17"/>
  <c r="D53" i="17"/>
  <c r="L53" i="17"/>
  <c r="I54" i="17"/>
  <c r="K53" i="17"/>
  <c r="J54" i="17"/>
  <c r="J55" i="17" s="1"/>
  <c r="C4" i="20"/>
  <c r="C11" i="20"/>
  <c r="C18" i="20"/>
  <c r="G94" i="22" l="1"/>
  <c r="H49" i="22"/>
  <c r="G49" i="22"/>
  <c r="W28" i="1" l="1"/>
  <c r="X28" i="1"/>
  <c r="V28" i="1"/>
  <c r="Y28" i="1" s="1"/>
  <c r="L10" i="7" l="1"/>
  <c r="N16" i="8"/>
  <c r="K8" i="8"/>
  <c r="I13" i="6"/>
  <c r="J13" i="6" s="1"/>
  <c r="T13" i="10"/>
  <c r="V13" i="10" s="1"/>
  <c r="S5" i="4" l="1"/>
  <c r="T5" i="4" s="1"/>
  <c r="U5" i="4" s="1"/>
  <c r="V5" i="4" s="1"/>
  <c r="W5" i="4" s="1"/>
  <c r="X5" i="4" s="1"/>
  <c r="Y5" i="4" s="1"/>
  <c r="Z5" i="4" s="1"/>
  <c r="C10" i="4"/>
  <c r="M41" i="18" l="1"/>
  <c r="E28" i="18"/>
  <c r="F28" i="18"/>
  <c r="G28" i="18"/>
  <c r="H28" i="18"/>
  <c r="I28" i="18"/>
  <c r="J28" i="18"/>
  <c r="K28" i="18"/>
  <c r="L28" i="18"/>
  <c r="M28" i="18"/>
  <c r="D28" i="18"/>
  <c r="D17" i="18"/>
  <c r="E17" i="18"/>
  <c r="F17" i="18"/>
  <c r="G17" i="18"/>
  <c r="I17" i="18"/>
  <c r="J17" i="18"/>
  <c r="K17" i="18"/>
  <c r="L17" i="18"/>
  <c r="M17" i="18"/>
  <c r="H17" i="18"/>
  <c r="C14" i="11" l="1"/>
  <c r="C10" i="11"/>
  <c r="C9" i="11"/>
  <c r="C11" i="11"/>
  <c r="B82" i="22"/>
  <c r="E73" i="22"/>
  <c r="F73" i="22"/>
  <c r="G73" i="22"/>
  <c r="H73" i="22"/>
  <c r="I73" i="22"/>
  <c r="J73" i="22"/>
  <c r="K73" i="22"/>
  <c r="L73" i="22"/>
  <c r="M73" i="22"/>
  <c r="D73" i="22"/>
  <c r="E71" i="22"/>
  <c r="F71" i="22"/>
  <c r="G71" i="22"/>
  <c r="H71" i="22"/>
  <c r="I71" i="22"/>
  <c r="J71" i="22"/>
  <c r="K71" i="22"/>
  <c r="L71" i="22"/>
  <c r="M71" i="22"/>
  <c r="D71" i="22"/>
  <c r="E70" i="22"/>
  <c r="F70" i="22"/>
  <c r="G70" i="22"/>
  <c r="H70" i="22"/>
  <c r="I70" i="22"/>
  <c r="J70" i="22"/>
  <c r="K70" i="22"/>
  <c r="L70" i="22"/>
  <c r="M70" i="22"/>
  <c r="D70" i="22"/>
  <c r="D69" i="22"/>
  <c r="E69" i="22"/>
  <c r="F69" i="22"/>
  <c r="G69" i="22"/>
  <c r="H69" i="22"/>
  <c r="I69" i="22"/>
  <c r="J69" i="22"/>
  <c r="K69" i="22"/>
  <c r="L69" i="22"/>
  <c r="M69" i="22"/>
  <c r="E66" i="22"/>
  <c r="F66" i="22"/>
  <c r="G66" i="22"/>
  <c r="H66" i="22"/>
  <c r="I66" i="22"/>
  <c r="J66" i="22"/>
  <c r="K66" i="22"/>
  <c r="L66" i="22"/>
  <c r="M66" i="22"/>
  <c r="D66" i="22"/>
  <c r="E65" i="22"/>
  <c r="F65" i="22"/>
  <c r="G65" i="22"/>
  <c r="H65" i="22"/>
  <c r="I65" i="22"/>
  <c r="J65" i="22"/>
  <c r="K65" i="22"/>
  <c r="L65" i="22"/>
  <c r="M65" i="22"/>
  <c r="D65" i="22"/>
  <c r="E61" i="22"/>
  <c r="E92" i="18" s="1"/>
  <c r="F61" i="22"/>
  <c r="F92" i="18" s="1"/>
  <c r="G61" i="22"/>
  <c r="G92" i="18" s="1"/>
  <c r="H61" i="22"/>
  <c r="H92" i="18" s="1"/>
  <c r="I61" i="22"/>
  <c r="I92" i="18" s="1"/>
  <c r="J61" i="22"/>
  <c r="J92" i="18" s="1"/>
  <c r="K61" i="22"/>
  <c r="K92" i="18" s="1"/>
  <c r="L61" i="22"/>
  <c r="L92" i="18" s="1"/>
  <c r="M61" i="22"/>
  <c r="M92" i="18" s="1"/>
  <c r="N61" i="22"/>
  <c r="D61" i="22"/>
  <c r="D92" i="18" s="1"/>
  <c r="E59" i="22"/>
  <c r="F59" i="22"/>
  <c r="G59" i="22"/>
  <c r="H59" i="22"/>
  <c r="I59" i="22"/>
  <c r="J59" i="22"/>
  <c r="K59" i="22"/>
  <c r="L59" i="22"/>
  <c r="M59" i="22"/>
  <c r="N59" i="22"/>
  <c r="D59" i="22"/>
  <c r="E57" i="22"/>
  <c r="F57" i="22"/>
  <c r="G57" i="22"/>
  <c r="H57" i="22"/>
  <c r="I57" i="22"/>
  <c r="J57" i="22"/>
  <c r="K57" i="22"/>
  <c r="L57" i="22"/>
  <c r="M57" i="22"/>
  <c r="N57" i="22"/>
  <c r="D57" i="22"/>
  <c r="E54" i="22"/>
  <c r="F54" i="22"/>
  <c r="G54" i="22"/>
  <c r="H54" i="22"/>
  <c r="I54" i="22"/>
  <c r="J54" i="22"/>
  <c r="K54" i="22"/>
  <c r="L54" i="22"/>
  <c r="M54" i="22"/>
  <c r="N54" i="22"/>
  <c r="E53" i="22"/>
  <c r="F53" i="22"/>
  <c r="G53" i="22"/>
  <c r="H53" i="22"/>
  <c r="I53" i="22"/>
  <c r="J53" i="22"/>
  <c r="K53" i="22"/>
  <c r="L53" i="22"/>
  <c r="M53" i="22"/>
  <c r="N53" i="22"/>
  <c r="E52" i="22"/>
  <c r="F52" i="22"/>
  <c r="G52" i="22"/>
  <c r="H52" i="22"/>
  <c r="I52" i="22"/>
  <c r="J52" i="22"/>
  <c r="K52" i="22"/>
  <c r="L52" i="22"/>
  <c r="M52" i="22"/>
  <c r="N52" i="22"/>
  <c r="D54" i="22"/>
  <c r="D53" i="22"/>
  <c r="D52" i="22"/>
  <c r="J49" i="22"/>
  <c r="K49" i="22"/>
  <c r="L49" i="22"/>
  <c r="M49" i="22"/>
  <c r="N49" i="22"/>
  <c r="I49" i="22"/>
  <c r="B49" i="22"/>
  <c r="B16" i="22"/>
  <c r="B25" i="11" l="1"/>
  <c r="B24" i="11"/>
  <c r="B19" i="11"/>
  <c r="E14" i="11"/>
  <c r="D19" i="11"/>
  <c r="E11" i="11"/>
  <c r="E10" i="11"/>
  <c r="E9" i="11"/>
  <c r="D4" i="11"/>
  <c r="D3" i="11"/>
  <c r="G36" i="9"/>
  <c r="G35" i="9"/>
  <c r="G34" i="9"/>
  <c r="G33" i="9"/>
  <c r="G32" i="9"/>
  <c r="G31" i="9"/>
  <c r="G30" i="9"/>
  <c r="G29" i="9"/>
  <c r="I28" i="9"/>
  <c r="G28" i="9"/>
  <c r="I27" i="9"/>
  <c r="G27" i="9"/>
  <c r="G26" i="9"/>
  <c r="G94" i="4" s="1"/>
  <c r="G25" i="9"/>
  <c r="G24" i="9"/>
  <c r="G23" i="9"/>
  <c r="G22" i="9"/>
  <c r="G21" i="9"/>
  <c r="D17" i="9"/>
  <c r="G17" i="9" s="1"/>
  <c r="D16" i="9"/>
  <c r="G16" i="9" s="1"/>
  <c r="L15" i="9"/>
  <c r="L16" i="9" s="1"/>
  <c r="D15" i="9"/>
  <c r="G15" i="9" s="1"/>
  <c r="F10" i="9"/>
  <c r="C10" i="9"/>
  <c r="F9" i="9"/>
  <c r="C9" i="9"/>
  <c r="F8" i="9"/>
  <c r="C8" i="9"/>
  <c r="C4" i="9"/>
  <c r="G10" i="11" l="1"/>
  <c r="B52" i="22"/>
  <c r="B85" i="22"/>
  <c r="B19" i="22"/>
  <c r="B53" i="22"/>
  <c r="B86" i="22"/>
  <c r="B20" i="22"/>
  <c r="F11" i="9"/>
  <c r="K49" i="4" s="1"/>
  <c r="G38" i="9"/>
  <c r="D19" i="9"/>
  <c r="G19" i="9" s="1"/>
  <c r="L17" i="9"/>
  <c r="G11" i="11"/>
  <c r="E12" i="11"/>
  <c r="G9" i="11"/>
  <c r="E15" i="11"/>
  <c r="G14" i="11"/>
  <c r="G15" i="11" s="1"/>
  <c r="F12" i="11"/>
  <c r="G39" i="9"/>
  <c r="D20" i="9"/>
  <c r="G20" i="9" s="1"/>
  <c r="D18" i="9"/>
  <c r="G18" i="9" s="1"/>
  <c r="G37" i="9" s="1"/>
  <c r="L18" i="9"/>
  <c r="D21" i="16"/>
  <c r="E21" i="16" s="1"/>
  <c r="F21" i="16" s="1"/>
  <c r="G21" i="16" s="1"/>
  <c r="H21" i="16" s="1"/>
  <c r="I21" i="16" s="1"/>
  <c r="J21" i="16" s="1"/>
  <c r="K21" i="16" s="1"/>
  <c r="L21" i="16" s="1"/>
  <c r="M21" i="16" s="1"/>
  <c r="J9" i="6"/>
  <c r="P8" i="5"/>
  <c r="T9" i="10"/>
  <c r="V9" i="10" s="1"/>
  <c r="T22" i="10"/>
  <c r="E21" i="1"/>
  <c r="D21" i="1"/>
  <c r="C21" i="1"/>
  <c r="C30" i="1" s="1"/>
  <c r="C31" i="1" l="1"/>
  <c r="L19" i="9"/>
  <c r="G40" i="9"/>
  <c r="G12" i="11"/>
  <c r="I9" i="21"/>
  <c r="I10" i="21" s="1"/>
  <c r="K14" i="21"/>
  <c r="K13" i="21"/>
  <c r="I11" i="21" l="1"/>
  <c r="I12" i="21"/>
  <c r="I13" i="21" s="1"/>
  <c r="O9" i="7"/>
  <c r="N10" i="7"/>
  <c r="O10" i="7" s="1"/>
  <c r="E11" i="6" l="1"/>
  <c r="D11" i="6"/>
  <c r="J21" i="1" l="1"/>
  <c r="S30" i="1"/>
  <c r="S31" i="1" s="1"/>
  <c r="S32" i="1" s="1"/>
  <c r="B164" i="14" l="1"/>
  <c r="B161" i="14"/>
  <c r="B158" i="14"/>
  <c r="B155" i="14"/>
  <c r="B169" i="14"/>
  <c r="B204" i="14"/>
  <c r="B203" i="14"/>
  <c r="B202" i="14"/>
  <c r="B201" i="14"/>
  <c r="B186" i="14"/>
  <c r="B185" i="14"/>
  <c r="B184" i="14"/>
  <c r="B183" i="14"/>
  <c r="B179" i="14"/>
  <c r="B178" i="14"/>
  <c r="B177" i="14"/>
  <c r="B176" i="14"/>
  <c r="B172" i="14"/>
  <c r="B171" i="14"/>
  <c r="B170" i="14"/>
  <c r="B134" i="14"/>
  <c r="B133" i="14"/>
  <c r="B132" i="14"/>
  <c r="B131" i="14"/>
  <c r="B116" i="14"/>
  <c r="B115" i="14"/>
  <c r="B114" i="14"/>
  <c r="B113" i="14"/>
  <c r="B109" i="14"/>
  <c r="B108" i="14"/>
  <c r="B107" i="14"/>
  <c r="B106" i="14"/>
  <c r="B102" i="14"/>
  <c r="B101" i="14"/>
  <c r="B100" i="14"/>
  <c r="B99" i="14"/>
  <c r="D8" i="22" l="1"/>
  <c r="E7" i="22"/>
  <c r="F7" i="22" s="1"/>
  <c r="G7" i="22" s="1"/>
  <c r="H7" i="22" s="1"/>
  <c r="I7" i="22" s="1"/>
  <c r="J7" i="22" s="1"/>
  <c r="K7" i="22" s="1"/>
  <c r="L7" i="22" s="1"/>
  <c r="M7" i="22" s="1"/>
  <c r="N7" i="22" s="1"/>
  <c r="C4" i="22"/>
  <c r="C3" i="22"/>
  <c r="C4" i="21"/>
  <c r="C3" i="21"/>
  <c r="K9" i="8"/>
  <c r="D10" i="7"/>
  <c r="D11" i="7"/>
  <c r="D9" i="7"/>
  <c r="F10" i="7"/>
  <c r="E10" i="7"/>
  <c r="F9" i="7"/>
  <c r="E9" i="7"/>
  <c r="E8" i="22" l="1"/>
  <c r="D9" i="22"/>
  <c r="B64" i="14"/>
  <c r="B63" i="14"/>
  <c r="B62" i="14"/>
  <c r="B61" i="14"/>
  <c r="B39" i="14"/>
  <c r="B38" i="14"/>
  <c r="B37" i="14"/>
  <c r="B36" i="14"/>
  <c r="B46" i="14"/>
  <c r="B45" i="14"/>
  <c r="B44" i="14"/>
  <c r="B43" i="14"/>
  <c r="B32" i="14"/>
  <c r="B31" i="14"/>
  <c r="B30" i="14"/>
  <c r="B29" i="14"/>
  <c r="B24" i="14"/>
  <c r="B94" i="14" s="1"/>
  <c r="B21" i="14"/>
  <c r="B91" i="14" s="1"/>
  <c r="B18" i="14"/>
  <c r="B88" i="14" s="1"/>
  <c r="B15" i="14"/>
  <c r="B85" i="14" s="1"/>
  <c r="E9" i="22" l="1"/>
  <c r="F8" i="22"/>
  <c r="M11" i="6"/>
  <c r="M10" i="6"/>
  <c r="M9" i="6"/>
  <c r="M8" i="6"/>
  <c r="V63" i="1"/>
  <c r="W38" i="1"/>
  <c r="X38" i="1"/>
  <c r="W39" i="1"/>
  <c r="X39" i="1"/>
  <c r="W40" i="1"/>
  <c r="X40" i="1"/>
  <c r="W41" i="1"/>
  <c r="X41" i="1"/>
  <c r="W42" i="1"/>
  <c r="X42" i="1"/>
  <c r="W43" i="1"/>
  <c r="X43" i="1"/>
  <c r="W44" i="1"/>
  <c r="X44" i="1"/>
  <c r="W45" i="1"/>
  <c r="X45" i="1"/>
  <c r="W50" i="1"/>
  <c r="X50" i="1"/>
  <c r="W51" i="1"/>
  <c r="X51" i="1"/>
  <c r="V38" i="1"/>
  <c r="V39" i="1"/>
  <c r="V40" i="1"/>
  <c r="V41" i="1"/>
  <c r="V42" i="1"/>
  <c r="V43" i="1"/>
  <c r="V44" i="1"/>
  <c r="V45" i="1"/>
  <c r="V50" i="1"/>
  <c r="V51" i="1"/>
  <c r="W29" i="1"/>
  <c r="X29" i="1"/>
  <c r="W27" i="1"/>
  <c r="X27" i="1"/>
  <c r="W26" i="1"/>
  <c r="X26" i="1"/>
  <c r="W25" i="1"/>
  <c r="X25" i="1"/>
  <c r="W24" i="1"/>
  <c r="X24" i="1"/>
  <c r="V25" i="1"/>
  <c r="Y25" i="1" s="1"/>
  <c r="V23" i="1"/>
  <c r="W22" i="1"/>
  <c r="X22" i="1"/>
  <c r="V22" i="1"/>
  <c r="V29" i="1"/>
  <c r="V26" i="1"/>
  <c r="V24" i="1"/>
  <c r="D9" i="6"/>
  <c r="F12" i="6"/>
  <c r="F11" i="6"/>
  <c r="F10" i="6"/>
  <c r="E10" i="6"/>
  <c r="E12" i="6"/>
  <c r="D12" i="6"/>
  <c r="J12" i="6"/>
  <c r="J11" i="6"/>
  <c r="J10" i="6"/>
  <c r="O16" i="5"/>
  <c r="Y29" i="1" l="1"/>
  <c r="G8" i="22"/>
  <c r="F9" i="22"/>
  <c r="Y22" i="1"/>
  <c r="Y24" i="1"/>
  <c r="D13" i="6"/>
  <c r="H31" i="1"/>
  <c r="H21" i="1"/>
  <c r="G35" i="1"/>
  <c r="G21" i="1"/>
  <c r="G30" i="1" s="1"/>
  <c r="G31" i="1" s="1"/>
  <c r="G32" i="1" s="1"/>
  <c r="H8" i="22" l="1"/>
  <c r="G9" i="22"/>
  <c r="D9" i="5"/>
  <c r="H9" i="22" l="1"/>
  <c r="I8" i="22"/>
  <c r="C12" i="6"/>
  <c r="C10" i="6"/>
  <c r="I9" i="22" l="1"/>
  <c r="J8" i="22"/>
  <c r="P11" i="5"/>
  <c r="P10" i="5"/>
  <c r="P9" i="5"/>
  <c r="T18" i="10"/>
  <c r="D10" i="8"/>
  <c r="E10" i="8"/>
  <c r="F9" i="8"/>
  <c r="F10" i="8" s="1"/>
  <c r="X63" i="1"/>
  <c r="W63" i="1"/>
  <c r="K8" i="22" l="1"/>
  <c r="J9" i="22"/>
  <c r="Y63" i="1"/>
  <c r="D34" i="2"/>
  <c r="F36" i="2"/>
  <c r="E36" i="2"/>
  <c r="F35" i="2"/>
  <c r="E35" i="2"/>
  <c r="F34" i="2"/>
  <c r="E34" i="2"/>
  <c r="F33" i="2"/>
  <c r="E33" i="2"/>
  <c r="F28" i="2"/>
  <c r="E28" i="2"/>
  <c r="F27" i="2"/>
  <c r="E27" i="2"/>
  <c r="F26" i="2"/>
  <c r="E26" i="2"/>
  <c r="F25" i="2"/>
  <c r="E25" i="2"/>
  <c r="V27" i="1"/>
  <c r="Y27" i="1" s="1"/>
  <c r="W23" i="1"/>
  <c r="C53" i="1"/>
  <c r="C52" i="1"/>
  <c r="C49" i="1"/>
  <c r="C35" i="1"/>
  <c r="C48" i="1" s="1"/>
  <c r="L8" i="22" l="1"/>
  <c r="K9" i="22"/>
  <c r="C55" i="1"/>
  <c r="D28" i="2" s="1"/>
  <c r="C28" i="2" s="1"/>
  <c r="D35" i="2"/>
  <c r="C35" i="2" s="1"/>
  <c r="C62" i="1"/>
  <c r="D33" i="2"/>
  <c r="C33" i="2" s="1"/>
  <c r="D26" i="2"/>
  <c r="E29" i="2"/>
  <c r="D36" i="2"/>
  <c r="C36" i="2" s="1"/>
  <c r="C34" i="2"/>
  <c r="F29" i="2"/>
  <c r="F37" i="2"/>
  <c r="E37" i="2"/>
  <c r="J53" i="1"/>
  <c r="J52" i="1"/>
  <c r="J35" i="1"/>
  <c r="P35" i="1"/>
  <c r="P47" i="1" s="1"/>
  <c r="P53" i="1" s="1"/>
  <c r="P21" i="1"/>
  <c r="P30" i="1" s="1"/>
  <c r="P31" i="1" s="1"/>
  <c r="P32" i="1" s="1"/>
  <c r="O21" i="1"/>
  <c r="O30" i="1" s="1"/>
  <c r="O31" i="1" s="1"/>
  <c r="O32" i="1" s="1"/>
  <c r="O35" i="1"/>
  <c r="O47" i="1" s="1"/>
  <c r="O53" i="1" s="1"/>
  <c r="Q55" i="1"/>
  <c r="Q54" i="1"/>
  <c r="Q35" i="1"/>
  <c r="Q21" i="1"/>
  <c r="G52" i="1"/>
  <c r="G55" i="1"/>
  <c r="F52" i="1"/>
  <c r="D52" i="1"/>
  <c r="D55" i="1"/>
  <c r="K55" i="1"/>
  <c r="U21" i="1"/>
  <c r="T21" i="1"/>
  <c r="T30" i="1" s="1"/>
  <c r="I21" i="1"/>
  <c r="I31" i="1"/>
  <c r="I32" i="1" s="1"/>
  <c r="I35" i="1"/>
  <c r="K35" i="1"/>
  <c r="K21" i="1"/>
  <c r="K30" i="1" s="1"/>
  <c r="H35" i="1"/>
  <c r="H32" i="1"/>
  <c r="F35" i="1"/>
  <c r="F49" i="1" s="1"/>
  <c r="F21" i="1"/>
  <c r="V21" i="1" s="1"/>
  <c r="L9" i="22" l="1"/>
  <c r="M8" i="22"/>
  <c r="K46" i="1"/>
  <c r="K52" i="1" s="1"/>
  <c r="C36" i="1"/>
  <c r="C37" i="1" s="1"/>
  <c r="Q47" i="1"/>
  <c r="C54" i="1"/>
  <c r="D27" i="2" s="1"/>
  <c r="C27" i="2" s="1"/>
  <c r="C32" i="1"/>
  <c r="C26" i="2"/>
  <c r="F55" i="1"/>
  <c r="H49" i="1"/>
  <c r="H55" i="1" s="1"/>
  <c r="D25" i="2"/>
  <c r="C37" i="2"/>
  <c r="D37" i="2"/>
  <c r="P48" i="1"/>
  <c r="P54" i="1" s="1"/>
  <c r="J62" i="1"/>
  <c r="J48" i="1"/>
  <c r="J30" i="1"/>
  <c r="J31" i="1" s="1"/>
  <c r="J32" i="1" s="1"/>
  <c r="J49" i="1"/>
  <c r="J55" i="1" s="1"/>
  <c r="E12" i="2" s="1"/>
  <c r="Q62" i="1"/>
  <c r="P46" i="1"/>
  <c r="P52" i="1" s="1"/>
  <c r="P49" i="1"/>
  <c r="P55" i="1" s="1"/>
  <c r="P62" i="1"/>
  <c r="O62" i="1"/>
  <c r="O46" i="1"/>
  <c r="O49" i="1"/>
  <c r="O55" i="1" s="1"/>
  <c r="O48" i="1"/>
  <c r="O54" i="1" s="1"/>
  <c r="Q46" i="1"/>
  <c r="Q30" i="1"/>
  <c r="Q31" i="1" s="1"/>
  <c r="Q32" i="1" s="1"/>
  <c r="I62" i="1"/>
  <c r="I47" i="1"/>
  <c r="I53" i="1" s="1"/>
  <c r="I46" i="1"/>
  <c r="I49" i="1"/>
  <c r="I55" i="1" s="1"/>
  <c r="I48" i="1"/>
  <c r="I54" i="1" s="1"/>
  <c r="K31" i="1"/>
  <c r="K32" i="1" s="1"/>
  <c r="F62" i="1"/>
  <c r="K62" i="1"/>
  <c r="H46" i="1"/>
  <c r="H52" i="1" s="1"/>
  <c r="H47" i="1"/>
  <c r="H53" i="1" s="1"/>
  <c r="K48" i="1"/>
  <c r="K54" i="1" s="1"/>
  <c r="K47" i="1"/>
  <c r="K53" i="1" s="1"/>
  <c r="H62" i="1"/>
  <c r="H48" i="1"/>
  <c r="H54" i="1" s="1"/>
  <c r="G47" i="1"/>
  <c r="G48" i="1"/>
  <c r="G54" i="1" s="1"/>
  <c r="F47" i="1"/>
  <c r="F53" i="1" s="1"/>
  <c r="F48" i="1"/>
  <c r="F54" i="1" s="1"/>
  <c r="F30" i="1"/>
  <c r="F31" i="1" s="1"/>
  <c r="F32" i="1" s="1"/>
  <c r="T35" i="1"/>
  <c r="T31" i="1"/>
  <c r="T32" i="1" s="1"/>
  <c r="U35" i="1"/>
  <c r="R35" i="1"/>
  <c r="R46" i="1" s="1"/>
  <c r="R21" i="1"/>
  <c r="M9" i="22" l="1"/>
  <c r="N8" i="22"/>
  <c r="U55" i="1"/>
  <c r="X46" i="1"/>
  <c r="X35" i="1"/>
  <c r="Q53" i="1"/>
  <c r="D10" i="5"/>
  <c r="G53" i="1"/>
  <c r="G36" i="1"/>
  <c r="G37" i="1" s="1"/>
  <c r="J36" i="1"/>
  <c r="J37" i="1" s="1"/>
  <c r="J54" i="1"/>
  <c r="P36" i="1"/>
  <c r="P37" i="1" s="1"/>
  <c r="O52" i="1"/>
  <c r="O36" i="1"/>
  <c r="O37" i="1" s="1"/>
  <c r="Q36" i="1"/>
  <c r="Q52" i="1"/>
  <c r="I36" i="1"/>
  <c r="I37" i="1" s="1"/>
  <c r="I52" i="1"/>
  <c r="H36" i="1"/>
  <c r="H37" i="1" s="1"/>
  <c r="K36" i="1"/>
  <c r="K37" i="1" s="1"/>
  <c r="F36" i="1"/>
  <c r="F37" i="1" s="1"/>
  <c r="T62" i="1"/>
  <c r="U52" i="1"/>
  <c r="T53" i="1"/>
  <c r="U47" i="1"/>
  <c r="U53" i="1" s="1"/>
  <c r="T52" i="1"/>
  <c r="T48" i="1"/>
  <c r="T54" i="1" s="1"/>
  <c r="T55" i="1"/>
  <c r="U48" i="1"/>
  <c r="U54" i="1" s="1"/>
  <c r="U62" i="1"/>
  <c r="R47" i="1"/>
  <c r="R53" i="1" s="1"/>
  <c r="R62" i="1"/>
  <c r="R52" i="1"/>
  <c r="R48" i="1"/>
  <c r="R49" i="1"/>
  <c r="D35" i="1"/>
  <c r="N9" i="22" l="1"/>
  <c r="R54" i="1"/>
  <c r="X54" i="1" s="1"/>
  <c r="X48" i="1"/>
  <c r="X47" i="1"/>
  <c r="X53" i="1"/>
  <c r="R55" i="1"/>
  <c r="X55" i="1" s="1"/>
  <c r="X49" i="1"/>
  <c r="X52" i="1"/>
  <c r="Q37" i="1"/>
  <c r="T36" i="1"/>
  <c r="T37" i="1" s="1"/>
  <c r="U36" i="1"/>
  <c r="U37" i="1" s="1"/>
  <c r="R36" i="1"/>
  <c r="R37" i="1" s="1"/>
  <c r="C48" i="4"/>
  <c r="C42" i="4"/>
  <c r="C15" i="4"/>
  <c r="C13" i="4"/>
  <c r="E3" i="4"/>
  <c r="F3" i="4" s="1"/>
  <c r="G3" i="4" s="1"/>
  <c r="H3" i="4" s="1"/>
  <c r="I3" i="4" s="1"/>
  <c r="J3" i="4" s="1"/>
  <c r="K3" i="4" s="1"/>
  <c r="L3" i="4" s="1"/>
  <c r="M3" i="4" s="1"/>
  <c r="N3" i="4" s="1"/>
  <c r="C131" i="20"/>
  <c r="B131" i="20"/>
  <c r="C130" i="20"/>
  <c r="B130" i="20"/>
  <c r="A126" i="20"/>
  <c r="D125" i="20"/>
  <c r="C125" i="20"/>
  <c r="A125" i="20"/>
  <c r="D124" i="20"/>
  <c r="C124" i="20"/>
  <c r="A124" i="20"/>
  <c r="F119" i="20"/>
  <c r="A119" i="20"/>
  <c r="F118" i="20"/>
  <c r="F117" i="20"/>
  <c r="D117" i="20"/>
  <c r="B117" i="20"/>
  <c r="A112" i="20"/>
  <c r="A111" i="20"/>
  <c r="A110" i="20"/>
  <c r="D105" i="20"/>
  <c r="A105" i="20"/>
  <c r="D104" i="20"/>
  <c r="D103" i="20"/>
  <c r="B103" i="20"/>
  <c r="D102" i="20"/>
  <c r="B102" i="20"/>
  <c r="D101" i="20"/>
  <c r="B101" i="20"/>
  <c r="A96" i="20"/>
  <c r="A95" i="20"/>
  <c r="A94" i="20"/>
  <c r="E93" i="20"/>
  <c r="C93" i="20"/>
  <c r="A93" i="20"/>
  <c r="E92" i="20"/>
  <c r="C92" i="20"/>
  <c r="A92" i="20"/>
  <c r="A87" i="20"/>
  <c r="A86" i="20"/>
  <c r="A85" i="20"/>
  <c r="A84" i="20"/>
  <c r="C80" i="20"/>
  <c r="A80" i="20"/>
  <c r="C79" i="20"/>
  <c r="A79" i="20"/>
  <c r="C78" i="20"/>
  <c r="A78" i="20"/>
  <c r="C77" i="20"/>
  <c r="A77" i="20"/>
  <c r="A56" i="20"/>
  <c r="A55" i="20"/>
  <c r="A54" i="20"/>
  <c r="A53" i="20"/>
  <c r="C49" i="20"/>
  <c r="A49" i="20"/>
  <c r="C48" i="20"/>
  <c r="A48" i="20"/>
  <c r="C47" i="20"/>
  <c r="A47" i="20"/>
  <c r="C46" i="20"/>
  <c r="A46" i="20"/>
  <c r="A73" i="20"/>
  <c r="A72" i="20"/>
  <c r="A71" i="20"/>
  <c r="A70" i="20"/>
  <c r="A69" i="20"/>
  <c r="A65" i="20"/>
  <c r="A64" i="20"/>
  <c r="A63" i="20"/>
  <c r="A62" i="20"/>
  <c r="A61" i="20"/>
  <c r="A42" i="20"/>
  <c r="A41" i="20"/>
  <c r="A40" i="20"/>
  <c r="A39" i="20"/>
  <c r="A38" i="20"/>
  <c r="A34" i="20"/>
  <c r="A33" i="20"/>
  <c r="A32" i="20"/>
  <c r="A31" i="20"/>
  <c r="A30" i="20"/>
  <c r="H62" i="20"/>
  <c r="H63" i="20"/>
  <c r="A25" i="20"/>
  <c r="B24" i="20"/>
  <c r="A24" i="20"/>
  <c r="C20" i="20"/>
  <c r="C19" i="20"/>
  <c r="A21" i="20"/>
  <c r="A20" i="20"/>
  <c r="A19" i="20"/>
  <c r="B18" i="20"/>
  <c r="A18" i="20"/>
  <c r="C13" i="20"/>
  <c r="C12" i="20"/>
  <c r="A14" i="20"/>
  <c r="A13" i="20"/>
  <c r="A12" i="20"/>
  <c r="B11" i="20"/>
  <c r="A11" i="20"/>
  <c r="C6" i="20"/>
  <c r="C5" i="20"/>
  <c r="A7" i="20"/>
  <c r="A6" i="20"/>
  <c r="A5" i="20"/>
  <c r="B4" i="20"/>
  <c r="A4" i="20"/>
  <c r="J113" i="20"/>
  <c r="H105" i="20"/>
  <c r="H104" i="20"/>
  <c r="H96" i="20"/>
  <c r="J92" i="20"/>
  <c r="H93" i="20"/>
  <c r="H92" i="20"/>
  <c r="H91" i="20"/>
  <c r="H90" i="20"/>
  <c r="H89" i="20"/>
  <c r="J71" i="20"/>
  <c r="H54" i="20"/>
  <c r="J50" i="20"/>
  <c r="H51" i="20"/>
  <c r="H50" i="20"/>
  <c r="H49" i="20"/>
  <c r="H48" i="20"/>
  <c r="H47" i="20"/>
  <c r="J29" i="20"/>
  <c r="H21" i="20"/>
  <c r="H20" i="20"/>
  <c r="H12" i="20"/>
  <c r="J8" i="20"/>
  <c r="H9" i="20"/>
  <c r="H8" i="20"/>
  <c r="H7" i="20"/>
  <c r="H6" i="20"/>
  <c r="H5" i="20"/>
  <c r="G54" i="4"/>
  <c r="H54" i="4" s="1"/>
  <c r="I54" i="4" s="1"/>
  <c r="J54" i="4" s="1"/>
  <c r="K54" i="4" s="1"/>
  <c r="L54" i="4" s="1"/>
  <c r="M54" i="4" s="1"/>
  <c r="N54" i="4" s="1"/>
  <c r="C33" i="4"/>
  <c r="C32" i="4"/>
  <c r="C26" i="4"/>
  <c r="C18" i="4"/>
  <c r="C17" i="4"/>
  <c r="C16" i="4"/>
  <c r="X36" i="1" l="1"/>
  <c r="X37" i="1"/>
  <c r="R192" i="18"/>
  <c r="K119" i="20" s="1"/>
  <c r="R189" i="18"/>
  <c r="K116" i="20" s="1"/>
  <c r="O187" i="18"/>
  <c r="H114" i="20" s="1"/>
  <c r="O186" i="18"/>
  <c r="H113" i="20" s="1"/>
  <c r="O185" i="18"/>
  <c r="H112" i="20" s="1"/>
  <c r="O184" i="18"/>
  <c r="H111" i="20" s="1"/>
  <c r="O183" i="18"/>
  <c r="H110" i="20" s="1"/>
  <c r="O182" i="18"/>
  <c r="H109" i="20" s="1"/>
  <c r="O176" i="18"/>
  <c r="H103" i="20" s="1"/>
  <c r="O175" i="18"/>
  <c r="H102" i="20" s="1"/>
  <c r="O174" i="18"/>
  <c r="H101" i="20" s="1"/>
  <c r="O173" i="18"/>
  <c r="H100" i="20" s="1"/>
  <c r="O172" i="18"/>
  <c r="H99" i="20" s="1"/>
  <c r="O171" i="18"/>
  <c r="H98" i="20" s="1"/>
  <c r="O170" i="18"/>
  <c r="H97" i="20" s="1"/>
  <c r="Q164" i="18"/>
  <c r="J91" i="20" s="1"/>
  <c r="Q163" i="18"/>
  <c r="J90" i="20" s="1"/>
  <c r="D213" i="18"/>
  <c r="D205" i="18"/>
  <c r="R118" i="18"/>
  <c r="K77" i="20" s="1"/>
  <c r="R44" i="18"/>
  <c r="K35" i="20" s="1"/>
  <c r="D139" i="18"/>
  <c r="D131" i="18"/>
  <c r="R115" i="18"/>
  <c r="K74" i="20" s="1"/>
  <c r="O113" i="18"/>
  <c r="H72" i="20" s="1"/>
  <c r="O112" i="18"/>
  <c r="H71" i="20" s="1"/>
  <c r="O111" i="18"/>
  <c r="H70" i="20" s="1"/>
  <c r="O110" i="18"/>
  <c r="H69" i="20" s="1"/>
  <c r="O109" i="18"/>
  <c r="H68" i="20" s="1"/>
  <c r="O108" i="18"/>
  <c r="H67" i="20" s="1"/>
  <c r="O102" i="18"/>
  <c r="H61" i="20" s="1"/>
  <c r="O101" i="18"/>
  <c r="H60" i="20" s="1"/>
  <c r="O100" i="18"/>
  <c r="H59" i="20" s="1"/>
  <c r="O99" i="18"/>
  <c r="H58" i="20" s="1"/>
  <c r="O98" i="18"/>
  <c r="H57" i="20" s="1"/>
  <c r="O97" i="18"/>
  <c r="H56" i="20" s="1"/>
  <c r="O96" i="18"/>
  <c r="H55" i="20" s="1"/>
  <c r="Q90" i="18"/>
  <c r="Q89" i="18"/>
  <c r="J48" i="20" s="1"/>
  <c r="R41" i="18"/>
  <c r="K32" i="20" s="1"/>
  <c r="O35" i="18"/>
  <c r="H26" i="20" s="1"/>
  <c r="O36" i="18"/>
  <c r="H27" i="20" s="1"/>
  <c r="O37" i="18"/>
  <c r="H28" i="20" s="1"/>
  <c r="O38" i="18"/>
  <c r="H29" i="20" s="1"/>
  <c r="O39" i="18"/>
  <c r="H30" i="20" s="1"/>
  <c r="O34" i="18"/>
  <c r="H25" i="20" s="1"/>
  <c r="D65" i="18"/>
  <c r="D66" i="18" s="1"/>
  <c r="D57" i="18"/>
  <c r="D58" i="18" s="1"/>
  <c r="Q15" i="18"/>
  <c r="Q16" i="18"/>
  <c r="J7" i="20" s="1"/>
  <c r="O23" i="18"/>
  <c r="H14" i="20" s="1"/>
  <c r="O24" i="18"/>
  <c r="H15" i="20" s="1"/>
  <c r="O25" i="18"/>
  <c r="H16" i="20" s="1"/>
  <c r="O26" i="18"/>
  <c r="H17" i="20" s="1"/>
  <c r="O27" i="18"/>
  <c r="H18" i="20" s="1"/>
  <c r="O28" i="18"/>
  <c r="H19" i="20" s="1"/>
  <c r="O22" i="18"/>
  <c r="H13" i="20" s="1"/>
  <c r="J6" i="20" l="1"/>
  <c r="J49" i="20"/>
  <c r="D279" i="18"/>
  <c r="D287" i="18"/>
  <c r="D206" i="18"/>
  <c r="D214" i="18"/>
  <c r="D132" i="18"/>
  <c r="D140" i="18"/>
  <c r="D280" i="18" l="1"/>
  <c r="D288" i="18"/>
  <c r="D8" i="18" l="1"/>
  <c r="E7" i="18"/>
  <c r="F7" i="18" s="1"/>
  <c r="G7" i="18" s="1"/>
  <c r="H7" i="18" s="1"/>
  <c r="I7" i="18" s="1"/>
  <c r="J7" i="18" s="1"/>
  <c r="K7" i="18" s="1"/>
  <c r="L7" i="18" s="1"/>
  <c r="M7" i="18" s="1"/>
  <c r="C4" i="18"/>
  <c r="C3" i="18"/>
  <c r="C7" i="1"/>
  <c r="E8" i="18" l="1"/>
  <c r="D8" i="17"/>
  <c r="E7" i="17"/>
  <c r="F7" i="17" s="1"/>
  <c r="G7" i="17" s="1"/>
  <c r="H7" i="17" s="1"/>
  <c r="I7" i="17" s="1"/>
  <c r="J7" i="17" s="1"/>
  <c r="K7" i="17" s="1"/>
  <c r="L7" i="17" s="1"/>
  <c r="M7" i="17" s="1"/>
  <c r="N7" i="17" s="1"/>
  <c r="C4" i="17"/>
  <c r="C3" i="17"/>
  <c r="N25" i="16"/>
  <c r="M25" i="16"/>
  <c r="L25" i="16"/>
  <c r="K25" i="16"/>
  <c r="J25" i="16"/>
  <c r="I25" i="16"/>
  <c r="H25" i="16"/>
  <c r="G25" i="16"/>
  <c r="F25" i="16"/>
  <c r="E25" i="16"/>
  <c r="D25" i="16"/>
  <c r="N24" i="16"/>
  <c r="M24" i="16"/>
  <c r="L24" i="16"/>
  <c r="K24" i="16"/>
  <c r="J24" i="16"/>
  <c r="I24" i="16"/>
  <c r="H24" i="16"/>
  <c r="G24" i="16"/>
  <c r="F24" i="16"/>
  <c r="E24" i="16"/>
  <c r="D24" i="16"/>
  <c r="N22" i="16"/>
  <c r="D22" i="16"/>
  <c r="E22" i="16" s="1"/>
  <c r="F22" i="16" s="1"/>
  <c r="G22" i="16" s="1"/>
  <c r="H22" i="16" s="1"/>
  <c r="I22" i="16" s="1"/>
  <c r="J22" i="16" s="1"/>
  <c r="K22" i="16" s="1"/>
  <c r="L22" i="16" s="1"/>
  <c r="M22" i="16" s="1"/>
  <c r="N21" i="16"/>
  <c r="B17" i="16"/>
  <c r="B33" i="16" s="1"/>
  <c r="B38" i="16" s="1"/>
  <c r="B43" i="16" s="1"/>
  <c r="B16" i="16"/>
  <c r="B32" i="16" s="1"/>
  <c r="B37" i="16" s="1"/>
  <c r="N90" i="16"/>
  <c r="M90" i="16"/>
  <c r="L90" i="16"/>
  <c r="K90" i="16"/>
  <c r="J90" i="16"/>
  <c r="I90" i="16"/>
  <c r="H90" i="16"/>
  <c r="G90" i="16"/>
  <c r="F90" i="16"/>
  <c r="E90" i="16"/>
  <c r="D90" i="16"/>
  <c r="N89" i="16"/>
  <c r="M89" i="16"/>
  <c r="L89" i="16"/>
  <c r="K89" i="16"/>
  <c r="J89" i="16"/>
  <c r="I89" i="16"/>
  <c r="H89" i="16"/>
  <c r="G89" i="16"/>
  <c r="F89" i="16"/>
  <c r="E89" i="16"/>
  <c r="D89" i="16"/>
  <c r="N87" i="16"/>
  <c r="M87" i="16"/>
  <c r="L87" i="16"/>
  <c r="K87" i="16"/>
  <c r="J87" i="16"/>
  <c r="I87" i="16"/>
  <c r="H87" i="16"/>
  <c r="G87" i="16"/>
  <c r="F87" i="16"/>
  <c r="E87" i="16"/>
  <c r="D87" i="16"/>
  <c r="N86" i="16"/>
  <c r="M86" i="16"/>
  <c r="L86" i="16"/>
  <c r="K86" i="16"/>
  <c r="J86" i="16"/>
  <c r="I86" i="16"/>
  <c r="H86" i="16"/>
  <c r="G86" i="16"/>
  <c r="F86" i="16"/>
  <c r="E86" i="16"/>
  <c r="D86" i="16"/>
  <c r="N155" i="16"/>
  <c r="M155" i="16"/>
  <c r="L155" i="16"/>
  <c r="K155" i="16"/>
  <c r="J155" i="16"/>
  <c r="I155" i="16"/>
  <c r="H155" i="16"/>
  <c r="G155" i="16"/>
  <c r="F155" i="16"/>
  <c r="N154" i="16"/>
  <c r="M154" i="16"/>
  <c r="L154" i="16"/>
  <c r="K154" i="16"/>
  <c r="J154" i="16"/>
  <c r="I154" i="16"/>
  <c r="H154" i="16"/>
  <c r="G154" i="16"/>
  <c r="F154" i="16"/>
  <c r="E155" i="16"/>
  <c r="E154" i="16"/>
  <c r="D155" i="16"/>
  <c r="D154" i="16"/>
  <c r="D152" i="16"/>
  <c r="E152" i="16" s="1"/>
  <c r="F152" i="16" s="1"/>
  <c r="D151" i="16"/>
  <c r="B81" i="16"/>
  <c r="B97" i="16" s="1"/>
  <c r="B102" i="16" s="1"/>
  <c r="B107" i="16" s="1"/>
  <c r="D8" i="16"/>
  <c r="E7" i="16"/>
  <c r="C4" i="16"/>
  <c r="C3" i="16"/>
  <c r="B16" i="15"/>
  <c r="B15" i="15"/>
  <c r="D8" i="15"/>
  <c r="E7" i="15"/>
  <c r="C4" i="15"/>
  <c r="C3" i="15"/>
  <c r="D8" i="14"/>
  <c r="E7" i="14"/>
  <c r="C4" i="14"/>
  <c r="C3" i="14"/>
  <c r="G27" i="16" l="1"/>
  <c r="I27" i="16"/>
  <c r="F28" i="16"/>
  <c r="N28" i="16"/>
  <c r="F7" i="16"/>
  <c r="K27" i="16"/>
  <c r="G90" i="4"/>
  <c r="E27" i="16"/>
  <c r="J28" i="16"/>
  <c r="M27" i="16"/>
  <c r="H28" i="16"/>
  <c r="I28" i="16"/>
  <c r="G93" i="4"/>
  <c r="G91" i="4"/>
  <c r="D28" i="16"/>
  <c r="L28" i="16"/>
  <c r="J27" i="16"/>
  <c r="G92" i="4"/>
  <c r="H27" i="16"/>
  <c r="L27" i="16"/>
  <c r="E28" i="16"/>
  <c r="M28" i="16"/>
  <c r="D27" i="16"/>
  <c r="F8" i="18"/>
  <c r="E8" i="17"/>
  <c r="F27" i="16"/>
  <c r="N27" i="16"/>
  <c r="G28" i="16"/>
  <c r="K28" i="16"/>
  <c r="B42" i="16"/>
  <c r="B82" i="16"/>
  <c r="B98" i="16" s="1"/>
  <c r="B103" i="16" s="1"/>
  <c r="B108" i="16" s="1"/>
  <c r="B21" i="16"/>
  <c r="B24" i="16" s="1"/>
  <c r="B27" i="16" s="1"/>
  <c r="B22" i="16"/>
  <c r="B25" i="16" s="1"/>
  <c r="B28" i="16" s="1"/>
  <c r="E93" i="16"/>
  <c r="E92" i="16"/>
  <c r="B86" i="16"/>
  <c r="B89" i="16" s="1"/>
  <c r="B92" i="16" s="1"/>
  <c r="D92" i="16"/>
  <c r="D93" i="16"/>
  <c r="D157" i="16"/>
  <c r="D158" i="16"/>
  <c r="E151" i="16"/>
  <c r="F151" i="16" s="1"/>
  <c r="G151" i="16" s="1"/>
  <c r="H151" i="16" s="1"/>
  <c r="I151" i="16" s="1"/>
  <c r="J151" i="16" s="1"/>
  <c r="K151" i="16" s="1"/>
  <c r="L151" i="16" s="1"/>
  <c r="M151" i="16" s="1"/>
  <c r="N151" i="16" s="1"/>
  <c r="F158" i="16"/>
  <c r="G152" i="16"/>
  <c r="H152" i="16" s="1"/>
  <c r="I152" i="16" s="1"/>
  <c r="J152" i="16" s="1"/>
  <c r="K152" i="16" s="1"/>
  <c r="L152" i="16" s="1"/>
  <c r="M152" i="16" s="1"/>
  <c r="N152" i="16" s="1"/>
  <c r="E158" i="16"/>
  <c r="D9" i="16"/>
  <c r="E8" i="16"/>
  <c r="B20" i="15"/>
  <c r="B21" i="15"/>
  <c r="E8" i="15"/>
  <c r="F7" i="15"/>
  <c r="G7" i="15" s="1"/>
  <c r="H7" i="15" s="1"/>
  <c r="I7" i="15" s="1"/>
  <c r="J7" i="15" s="1"/>
  <c r="K7" i="15" s="1"/>
  <c r="L7" i="15" s="1"/>
  <c r="M7" i="15" s="1"/>
  <c r="N7" i="15" s="1"/>
  <c r="E8" i="14"/>
  <c r="F7" i="14"/>
  <c r="G7" i="16" l="1"/>
  <c r="G95" i="4"/>
  <c r="G97" i="4" s="1"/>
  <c r="B87" i="16"/>
  <c r="B90" i="16" s="1"/>
  <c r="B93" i="16" s="1"/>
  <c r="F157" i="16"/>
  <c r="G8" i="18"/>
  <c r="F8" i="17"/>
  <c r="F92" i="16"/>
  <c r="F93" i="16"/>
  <c r="E9" i="16"/>
  <c r="E157" i="16"/>
  <c r="G157" i="16"/>
  <c r="H157" i="16"/>
  <c r="G158" i="16"/>
  <c r="F8" i="16"/>
  <c r="B147" i="16"/>
  <c r="B146" i="16"/>
  <c r="B65" i="15"/>
  <c r="B66" i="15"/>
  <c r="F8" i="15"/>
  <c r="G7" i="14"/>
  <c r="F8" i="14"/>
  <c r="H7" i="16" l="1"/>
  <c r="H8" i="18"/>
  <c r="G8" i="17"/>
  <c r="G92" i="16"/>
  <c r="G93" i="16"/>
  <c r="F9" i="16"/>
  <c r="B162" i="16"/>
  <c r="B167" i="16" s="1"/>
  <c r="B172" i="16" s="1"/>
  <c r="B151" i="16"/>
  <c r="B154" i="16" s="1"/>
  <c r="B157" i="16" s="1"/>
  <c r="B163" i="16"/>
  <c r="B168" i="16" s="1"/>
  <c r="B173" i="16" s="1"/>
  <c r="B152" i="16"/>
  <c r="B155" i="16" s="1"/>
  <c r="B158" i="16" s="1"/>
  <c r="H158" i="16"/>
  <c r="G8" i="16"/>
  <c r="B70" i="15"/>
  <c r="B75" i="15" s="1"/>
  <c r="B71" i="15"/>
  <c r="B76" i="15" s="1"/>
  <c r="G8" i="15"/>
  <c r="H7" i="14"/>
  <c r="G8" i="14"/>
  <c r="I7" i="16" l="1"/>
  <c r="I8" i="18"/>
  <c r="H8" i="17"/>
  <c r="H92" i="16"/>
  <c r="H93" i="16"/>
  <c r="G9" i="16"/>
  <c r="H8" i="16"/>
  <c r="I157" i="16"/>
  <c r="I158" i="16"/>
  <c r="J157" i="16"/>
  <c r="B116" i="15"/>
  <c r="B121" i="15" s="1"/>
  <c r="B126" i="15" s="1"/>
  <c r="B115" i="15"/>
  <c r="B120" i="15" s="1"/>
  <c r="B125" i="15" s="1"/>
  <c r="H8" i="15"/>
  <c r="I7" i="14"/>
  <c r="H8" i="14"/>
  <c r="J7" i="16" l="1"/>
  <c r="J8" i="18"/>
  <c r="I8" i="17"/>
  <c r="I92" i="16"/>
  <c r="I93" i="16"/>
  <c r="H9" i="16"/>
  <c r="I8" i="16"/>
  <c r="K157" i="16"/>
  <c r="J158" i="16"/>
  <c r="I8" i="15"/>
  <c r="I8" i="14"/>
  <c r="J7" i="14"/>
  <c r="K7" i="16" l="1"/>
  <c r="K8" i="18"/>
  <c r="J8" i="17"/>
  <c r="J92" i="16"/>
  <c r="J93" i="16"/>
  <c r="I9" i="16"/>
  <c r="J8" i="16"/>
  <c r="K158" i="16"/>
  <c r="L157" i="16"/>
  <c r="J8" i="15"/>
  <c r="K7" i="14"/>
  <c r="J8" i="14"/>
  <c r="L7" i="16" l="1"/>
  <c r="L8" i="18"/>
  <c r="K8" i="17"/>
  <c r="K92" i="16"/>
  <c r="K93" i="16"/>
  <c r="J9" i="16"/>
  <c r="K8" i="16"/>
  <c r="N157" i="16"/>
  <c r="M157" i="16"/>
  <c r="L158" i="16"/>
  <c r="K8" i="15"/>
  <c r="K8" i="14"/>
  <c r="L7" i="14"/>
  <c r="C87" i="20"/>
  <c r="C86" i="20"/>
  <c r="C85" i="20"/>
  <c r="C84" i="20"/>
  <c r="D8" i="13"/>
  <c r="E7" i="13"/>
  <c r="C4" i="13"/>
  <c r="C3" i="13"/>
  <c r="D8" i="12"/>
  <c r="E7" i="12"/>
  <c r="F7" i="12" s="1"/>
  <c r="G7" i="12" s="1"/>
  <c r="H7" i="12" s="1"/>
  <c r="I7" i="12" s="1"/>
  <c r="J7" i="12" s="1"/>
  <c r="K7" i="12" s="1"/>
  <c r="L7" i="12" s="1"/>
  <c r="M7" i="12" s="1"/>
  <c r="N7" i="12" s="1"/>
  <c r="C4" i="12"/>
  <c r="C3" i="12"/>
  <c r="M13" i="8"/>
  <c r="M12" i="8"/>
  <c r="D131" i="20"/>
  <c r="D130" i="20"/>
  <c r="H9" i="8"/>
  <c r="A131" i="20" s="1"/>
  <c r="H8" i="8"/>
  <c r="A130" i="20" s="1"/>
  <c r="E125" i="20"/>
  <c r="E124" i="20"/>
  <c r="E11" i="8"/>
  <c r="D126" i="20" s="1"/>
  <c r="C4" i="8"/>
  <c r="C3" i="8"/>
  <c r="D118" i="20"/>
  <c r="E117" i="20"/>
  <c r="E111" i="20"/>
  <c r="D111" i="20"/>
  <c r="E110" i="20"/>
  <c r="D110" i="20"/>
  <c r="K10" i="7"/>
  <c r="A118" i="20" s="1"/>
  <c r="M9" i="7"/>
  <c r="C117" i="20" s="1"/>
  <c r="K9" i="7"/>
  <c r="A117" i="20" s="1"/>
  <c r="C4" i="7"/>
  <c r="C3" i="7"/>
  <c r="C103" i="20"/>
  <c r="C102" i="20"/>
  <c r="C101" i="20"/>
  <c r="H12" i="6"/>
  <c r="A104" i="20" s="1"/>
  <c r="H11" i="6"/>
  <c r="A103" i="20" s="1"/>
  <c r="H10" i="6"/>
  <c r="A102" i="20" s="1"/>
  <c r="H9" i="6"/>
  <c r="A101" i="20" s="1"/>
  <c r="E95" i="20"/>
  <c r="C95" i="20"/>
  <c r="C94" i="20"/>
  <c r="E94" i="20"/>
  <c r="D93" i="20"/>
  <c r="D92" i="20"/>
  <c r="C4" i="6"/>
  <c r="C3" i="6"/>
  <c r="O24" i="5"/>
  <c r="O23" i="5"/>
  <c r="O22" i="5"/>
  <c r="O21" i="5"/>
  <c r="O17" i="5"/>
  <c r="C4" i="5"/>
  <c r="C3" i="5"/>
  <c r="M7" i="16" l="1"/>
  <c r="M10" i="7"/>
  <c r="C118" i="20" s="1"/>
  <c r="B118" i="20"/>
  <c r="C104" i="20"/>
  <c r="B104" i="20"/>
  <c r="M8" i="18"/>
  <c r="L8" i="17"/>
  <c r="L92" i="16"/>
  <c r="L93" i="16"/>
  <c r="K9" i="16"/>
  <c r="L8" i="16"/>
  <c r="N158" i="16"/>
  <c r="M158" i="16"/>
  <c r="L8" i="15"/>
  <c r="M7" i="14"/>
  <c r="L8" i="14"/>
  <c r="C9" i="8"/>
  <c r="C10" i="8"/>
  <c r="B125" i="20" s="1"/>
  <c r="E8" i="13"/>
  <c r="F7" i="13"/>
  <c r="E8" i="12"/>
  <c r="F11" i="8"/>
  <c r="E126" i="20" s="1"/>
  <c r="D11" i="8"/>
  <c r="C126" i="20" s="1"/>
  <c r="E118" i="20"/>
  <c r="F11" i="7"/>
  <c r="E112" i="20" s="1"/>
  <c r="C11" i="6"/>
  <c r="D95" i="20"/>
  <c r="B93" i="20"/>
  <c r="F13" i="6"/>
  <c r="E96" i="20" s="1"/>
  <c r="C9" i="6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2" i="10"/>
  <c r="V11" i="10"/>
  <c r="V10" i="10"/>
  <c r="B124" i="20" l="1"/>
  <c r="C11" i="8"/>
  <c r="B126" i="20" s="1"/>
  <c r="N7" i="16"/>
  <c r="B92" i="20"/>
  <c r="C13" i="6"/>
  <c r="Q108" i="18"/>
  <c r="J67" i="20" s="1"/>
  <c r="Q182" i="18"/>
  <c r="J109" i="20" s="1"/>
  <c r="Q34" i="18"/>
  <c r="J25" i="20" s="1"/>
  <c r="Q37" i="18"/>
  <c r="J28" i="20" s="1"/>
  <c r="Q185" i="18"/>
  <c r="J112" i="20" s="1"/>
  <c r="Q111" i="18"/>
  <c r="J70" i="20" s="1"/>
  <c r="B94" i="20"/>
  <c r="D94" i="20"/>
  <c r="Q184" i="18"/>
  <c r="J111" i="20" s="1"/>
  <c r="Q110" i="18"/>
  <c r="J69" i="20" s="1"/>
  <c r="Q36" i="18"/>
  <c r="J27" i="20" s="1"/>
  <c r="Q183" i="18"/>
  <c r="J110" i="20" s="1"/>
  <c r="Q109" i="18"/>
  <c r="J68" i="20" s="1"/>
  <c r="Q35" i="18"/>
  <c r="J26" i="20" s="1"/>
  <c r="M8" i="17"/>
  <c r="M92" i="16"/>
  <c r="M93" i="16"/>
  <c r="L9" i="16"/>
  <c r="M8" i="16"/>
  <c r="M8" i="15"/>
  <c r="M8" i="14"/>
  <c r="N7" i="14"/>
  <c r="F8" i="13"/>
  <c r="G7" i="13"/>
  <c r="F8" i="12"/>
  <c r="E11" i="7"/>
  <c r="N11" i="7" s="1"/>
  <c r="O11" i="7" s="1"/>
  <c r="E13" i="6"/>
  <c r="D96" i="20" s="1"/>
  <c r="B95" i="20"/>
  <c r="C96" i="20"/>
  <c r="D112" i="20" l="1"/>
  <c r="N8" i="17"/>
  <c r="N8" i="16"/>
  <c r="N92" i="16"/>
  <c r="N93" i="16"/>
  <c r="M9" i="16"/>
  <c r="N8" i="15"/>
  <c r="N8" i="14"/>
  <c r="G8" i="13"/>
  <c r="H7" i="13"/>
  <c r="G8" i="12"/>
  <c r="B105" i="20" l="1"/>
  <c r="B96" i="20"/>
  <c r="E119" i="20"/>
  <c r="D119" i="20"/>
  <c r="N9" i="16"/>
  <c r="H8" i="13"/>
  <c r="I7" i="13"/>
  <c r="H8" i="12"/>
  <c r="C105" i="20" l="1"/>
  <c r="I8" i="13"/>
  <c r="J7" i="13"/>
  <c r="I8" i="12"/>
  <c r="K7" i="13" l="1"/>
  <c r="J8" i="13"/>
  <c r="J8" i="12"/>
  <c r="X23" i="1"/>
  <c r="Y23" i="1" s="1"/>
  <c r="K8" i="13" l="1"/>
  <c r="L7" i="13"/>
  <c r="K8" i="12"/>
  <c r="Y26" i="1"/>
  <c r="M7" i="13" l="1"/>
  <c r="L8" i="13"/>
  <c r="L8" i="12"/>
  <c r="N16" i="10"/>
  <c r="C30" i="10"/>
  <c r="N15" i="10"/>
  <c r="N20" i="10"/>
  <c r="N24" i="10" s="1"/>
  <c r="N32" i="10" s="1"/>
  <c r="N19" i="10"/>
  <c r="N23" i="10" s="1"/>
  <c r="N27" i="10" s="1"/>
  <c r="O11" i="10"/>
  <c r="O12" i="10" s="1"/>
  <c r="L16" i="10"/>
  <c r="L24" i="10" s="1"/>
  <c r="L28" i="10" s="1"/>
  <c r="L15" i="10"/>
  <c r="L23" i="10" s="1"/>
  <c r="L27" i="10" s="1"/>
  <c r="M11" i="10"/>
  <c r="Q162" i="18" s="1"/>
  <c r="J89" i="20" s="1"/>
  <c r="B25" i="20" l="1"/>
  <c r="M12" i="10"/>
  <c r="Q14" i="18"/>
  <c r="Q88" i="18"/>
  <c r="M8" i="13"/>
  <c r="N7" i="13"/>
  <c r="M8" i="12"/>
  <c r="N28" i="10"/>
  <c r="N31" i="10"/>
  <c r="L19" i="10"/>
  <c r="L20" i="10"/>
  <c r="J5" i="20" l="1"/>
  <c r="J47" i="20"/>
  <c r="N8" i="13"/>
  <c r="N8" i="12"/>
  <c r="E23" i="10"/>
  <c r="E16" i="10"/>
  <c r="D11" i="20" s="1"/>
  <c r="E9" i="10"/>
  <c r="C4" i="2"/>
  <c r="C3" i="2"/>
  <c r="C4" i="10"/>
  <c r="C3" i="10"/>
  <c r="E35" i="1"/>
  <c r="V35" i="1" s="1"/>
  <c r="L35" i="1"/>
  <c r="M35" i="1"/>
  <c r="M49" i="1" s="1"/>
  <c r="M55" i="1" s="1"/>
  <c r="N35" i="1"/>
  <c r="N49" i="1" s="1"/>
  <c r="E30" i="1"/>
  <c r="L21" i="1"/>
  <c r="M21" i="1"/>
  <c r="M30" i="1" s="1"/>
  <c r="M31" i="1" s="1"/>
  <c r="M32" i="1" s="1"/>
  <c r="N21" i="1"/>
  <c r="N30" i="1" s="1"/>
  <c r="N31" i="1" s="1"/>
  <c r="N32" i="1" s="1"/>
  <c r="L46" i="1" l="1"/>
  <c r="L52" i="1" s="1"/>
  <c r="W35" i="1"/>
  <c r="L30" i="1"/>
  <c r="L31" i="1" s="1"/>
  <c r="L32" i="1" s="1"/>
  <c r="W21" i="1"/>
  <c r="E47" i="1"/>
  <c r="E53" i="1" s="1"/>
  <c r="M46" i="1"/>
  <c r="M52" i="1" s="1"/>
  <c r="L47" i="1"/>
  <c r="N46" i="1"/>
  <c r="N52" i="1" s="1"/>
  <c r="L62" i="1"/>
  <c r="D30" i="1"/>
  <c r="V30" i="1" s="1"/>
  <c r="M48" i="1"/>
  <c r="M54" i="1" s="1"/>
  <c r="M47" i="1"/>
  <c r="M53" i="1" s="1"/>
  <c r="E48" i="1"/>
  <c r="E54" i="1" s="1"/>
  <c r="N47" i="1"/>
  <c r="N53" i="1" s="1"/>
  <c r="C10" i="10"/>
  <c r="D4" i="20"/>
  <c r="C24" i="10"/>
  <c r="D18" i="20"/>
  <c r="F12" i="2"/>
  <c r="E33" i="20" s="1"/>
  <c r="N48" i="1"/>
  <c r="M62" i="1"/>
  <c r="E62" i="1"/>
  <c r="F11" i="2"/>
  <c r="E32" i="20" s="1"/>
  <c r="E46" i="1"/>
  <c r="E49" i="1"/>
  <c r="V49" i="1" s="1"/>
  <c r="F10" i="2"/>
  <c r="E31" i="20" s="1"/>
  <c r="N55" i="1"/>
  <c r="Y41" i="1"/>
  <c r="N62" i="1"/>
  <c r="Y43" i="1"/>
  <c r="Y40" i="1"/>
  <c r="X21" i="1"/>
  <c r="G62" i="1"/>
  <c r="Y42" i="1"/>
  <c r="D47" i="1"/>
  <c r="D62" i="1"/>
  <c r="C17" i="10"/>
  <c r="L48" i="1"/>
  <c r="D48" i="1"/>
  <c r="L49" i="1"/>
  <c r="V31" i="1" l="1"/>
  <c r="V32" i="1" s="1"/>
  <c r="Y21" i="1"/>
  <c r="V47" i="1"/>
  <c r="W52" i="1"/>
  <c r="V48" i="1"/>
  <c r="D31" i="1"/>
  <c r="D32" i="1" s="1"/>
  <c r="L55" i="1"/>
  <c r="W55" i="1" s="1"/>
  <c r="W49" i="1"/>
  <c r="B19" i="20"/>
  <c r="W46" i="1"/>
  <c r="L54" i="1"/>
  <c r="W48" i="1"/>
  <c r="E17" i="2"/>
  <c r="D38" i="20" s="1"/>
  <c r="V46" i="1"/>
  <c r="L53" i="1"/>
  <c r="W53" i="1" s="1"/>
  <c r="W47" i="1"/>
  <c r="B5" i="20"/>
  <c r="E24" i="10"/>
  <c r="E99" i="22" s="1"/>
  <c r="B12" i="20"/>
  <c r="E9" i="5"/>
  <c r="E10" i="5"/>
  <c r="D62" i="20" s="1"/>
  <c r="E52" i="1"/>
  <c r="D18" i="2"/>
  <c r="C39" i="20" s="1"/>
  <c r="E55" i="1"/>
  <c r="V55" i="1" s="1"/>
  <c r="F20" i="2"/>
  <c r="E41" i="20" s="1"/>
  <c r="E18" i="5"/>
  <c r="D70" i="20" s="1"/>
  <c r="E17" i="5"/>
  <c r="D69" i="20" s="1"/>
  <c r="F12" i="5"/>
  <c r="E64" i="20" s="1"/>
  <c r="F20" i="5"/>
  <c r="E72" i="20" s="1"/>
  <c r="F19" i="5"/>
  <c r="E71" i="20" s="1"/>
  <c r="E20" i="5"/>
  <c r="D72" i="20" s="1"/>
  <c r="F17" i="5"/>
  <c r="E69" i="20" s="1"/>
  <c r="F18" i="2"/>
  <c r="E39" i="20" s="1"/>
  <c r="M36" i="1"/>
  <c r="M37" i="1" s="1"/>
  <c r="F18" i="5"/>
  <c r="E70" i="20" s="1"/>
  <c r="F17" i="2"/>
  <c r="E38" i="20" s="1"/>
  <c r="F19" i="2"/>
  <c r="E40" i="20" s="1"/>
  <c r="F10" i="5"/>
  <c r="E62" i="20" s="1"/>
  <c r="N54" i="1"/>
  <c r="F11" i="5" s="1"/>
  <c r="E63" i="20" s="1"/>
  <c r="N36" i="1"/>
  <c r="N37" i="1" s="1"/>
  <c r="D19" i="5"/>
  <c r="C71" i="20" s="1"/>
  <c r="D19" i="2"/>
  <c r="C40" i="20" s="1"/>
  <c r="D17" i="5"/>
  <c r="C69" i="20" s="1"/>
  <c r="D17" i="2"/>
  <c r="D20" i="5"/>
  <c r="C72" i="20" s="1"/>
  <c r="D20" i="2"/>
  <c r="C41" i="20" s="1"/>
  <c r="W30" i="1"/>
  <c r="E17" i="10"/>
  <c r="D103" i="18" s="1"/>
  <c r="E19" i="5"/>
  <c r="D71" i="20" s="1"/>
  <c r="Y61" i="1"/>
  <c r="Y59" i="1"/>
  <c r="E36" i="1"/>
  <c r="E37" i="1" s="1"/>
  <c r="Y60" i="1"/>
  <c r="Y58" i="1"/>
  <c r="D53" i="1"/>
  <c r="V53" i="1" s="1"/>
  <c r="D18" i="5"/>
  <c r="C70" i="20" s="1"/>
  <c r="E20" i="2"/>
  <c r="D41" i="20" s="1"/>
  <c r="E19" i="2"/>
  <c r="D40" i="20" s="1"/>
  <c r="E9" i="2"/>
  <c r="D30" i="20" s="1"/>
  <c r="E18" i="2"/>
  <c r="D39" i="20" s="1"/>
  <c r="D54" i="1"/>
  <c r="V54" i="1" s="1"/>
  <c r="D36" i="1"/>
  <c r="L36" i="1"/>
  <c r="Y35" i="1"/>
  <c r="W36" i="1" l="1"/>
  <c r="G102" i="13"/>
  <c r="F99" i="22"/>
  <c r="G99" i="22"/>
  <c r="D102" i="13"/>
  <c r="M99" i="22"/>
  <c r="J99" i="22"/>
  <c r="I99" i="22"/>
  <c r="D99" i="22"/>
  <c r="L99" i="22"/>
  <c r="K99" i="22"/>
  <c r="H99" i="22"/>
  <c r="L103" i="18"/>
  <c r="H103" i="18"/>
  <c r="I177" i="18"/>
  <c r="K177" i="18"/>
  <c r="J177" i="18"/>
  <c r="K103" i="18"/>
  <c r="G103" i="18"/>
  <c r="H177" i="18"/>
  <c r="J103" i="18"/>
  <c r="F103" i="18"/>
  <c r="G177" i="18"/>
  <c r="F177" i="18"/>
  <c r="M103" i="18"/>
  <c r="M177" i="18"/>
  <c r="E177" i="18"/>
  <c r="I103" i="18"/>
  <c r="E103" i="18"/>
  <c r="L177" i="18"/>
  <c r="D177" i="18"/>
  <c r="H102" i="13"/>
  <c r="J102" i="13"/>
  <c r="E102" i="13"/>
  <c r="M102" i="13"/>
  <c r="F102" i="13"/>
  <c r="D94" i="18"/>
  <c r="E94" i="18"/>
  <c r="F94" i="18"/>
  <c r="G94" i="18"/>
  <c r="H94" i="18"/>
  <c r="I94" i="18"/>
  <c r="J94" i="18"/>
  <c r="K94" i="18"/>
  <c r="L94" i="18"/>
  <c r="M94" i="18"/>
  <c r="I102" i="13"/>
  <c r="D168" i="18"/>
  <c r="E168" i="18"/>
  <c r="F168" i="18"/>
  <c r="G168" i="18"/>
  <c r="H168" i="18"/>
  <c r="I168" i="18"/>
  <c r="J168" i="18"/>
  <c r="K168" i="18"/>
  <c r="L168" i="18"/>
  <c r="M168" i="18"/>
  <c r="D68" i="13"/>
  <c r="V36" i="1"/>
  <c r="M34" i="13"/>
  <c r="L34" i="13"/>
  <c r="K34" i="13"/>
  <c r="J34" i="13"/>
  <c r="I34" i="13"/>
  <c r="H34" i="13"/>
  <c r="V52" i="1"/>
  <c r="D9" i="2" s="1"/>
  <c r="W54" i="1"/>
  <c r="D19" i="20"/>
  <c r="C25" i="10"/>
  <c r="F130" i="12" s="1"/>
  <c r="D12" i="2"/>
  <c r="C33" i="20" s="1"/>
  <c r="E11" i="5"/>
  <c r="D63" i="20" s="1"/>
  <c r="D10" i="2"/>
  <c r="C31" i="20" s="1"/>
  <c r="D11" i="2"/>
  <c r="C32" i="20" s="1"/>
  <c r="F9" i="2"/>
  <c r="F9" i="5"/>
  <c r="E61" i="20" s="1"/>
  <c r="E11" i="2"/>
  <c r="D32" i="20" s="1"/>
  <c r="D33" i="20"/>
  <c r="F21" i="5"/>
  <c r="E73" i="20" s="1"/>
  <c r="Y46" i="1"/>
  <c r="C17" i="2"/>
  <c r="B38" i="20" s="1"/>
  <c r="F21" i="2"/>
  <c r="E42" i="20" s="1"/>
  <c r="D61" i="20"/>
  <c r="C17" i="5"/>
  <c r="B69" i="20" s="1"/>
  <c r="C20" i="5"/>
  <c r="B72" i="20" s="1"/>
  <c r="C19" i="5"/>
  <c r="B71" i="20" s="1"/>
  <c r="C38" i="20"/>
  <c r="D21" i="2"/>
  <c r="C42" i="20" s="1"/>
  <c r="E21" i="5"/>
  <c r="D73" i="20" s="1"/>
  <c r="W31" i="1"/>
  <c r="W32" i="1" s="1"/>
  <c r="D12" i="20"/>
  <c r="K68" i="13"/>
  <c r="G68" i="13"/>
  <c r="J68" i="13"/>
  <c r="F68" i="13"/>
  <c r="M68" i="13"/>
  <c r="E68" i="13"/>
  <c r="L68" i="13"/>
  <c r="C18" i="10"/>
  <c r="E12" i="5"/>
  <c r="C19" i="2"/>
  <c r="B40" i="20" s="1"/>
  <c r="C20" i="2"/>
  <c r="B41" i="20" s="1"/>
  <c r="Y47" i="1"/>
  <c r="I8" i="5"/>
  <c r="I8" i="2"/>
  <c r="L8" i="2" s="1"/>
  <c r="R8" i="2" s="1"/>
  <c r="I11" i="5"/>
  <c r="I11" i="2"/>
  <c r="Y62" i="1"/>
  <c r="I10" i="5"/>
  <c r="I10" i="2"/>
  <c r="I9" i="5"/>
  <c r="I9" i="2"/>
  <c r="L9" i="2" s="1"/>
  <c r="R9" i="2" s="1"/>
  <c r="C18" i="5"/>
  <c r="D21" i="5"/>
  <c r="C73" i="20" s="1"/>
  <c r="C62" i="20"/>
  <c r="D12" i="5"/>
  <c r="D11" i="5"/>
  <c r="C18" i="2"/>
  <c r="B39" i="20" s="1"/>
  <c r="E21" i="2"/>
  <c r="D42" i="20" s="1"/>
  <c r="E10" i="2"/>
  <c r="D31" i="20" s="1"/>
  <c r="D37" i="1"/>
  <c r="V37" i="1" s="1"/>
  <c r="Y49" i="1"/>
  <c r="L37" i="1"/>
  <c r="W37" i="1" s="1"/>
  <c r="Y48" i="1"/>
  <c r="F22" i="17" l="1"/>
  <c r="F23" i="17"/>
  <c r="E23" i="17"/>
  <c r="E22" i="17"/>
  <c r="D147" i="16"/>
  <c r="D163" i="16" s="1"/>
  <c r="D168" i="16" s="1"/>
  <c r="G134" i="12"/>
  <c r="N92" i="13"/>
  <c r="M128" i="12"/>
  <c r="K91" i="13"/>
  <c r="J86" i="13"/>
  <c r="N134" i="12"/>
  <c r="K128" i="12"/>
  <c r="G90" i="13"/>
  <c r="K129" i="12"/>
  <c r="N129" i="12"/>
  <c r="L133" i="12"/>
  <c r="K90" i="13"/>
  <c r="I85" i="13"/>
  <c r="G115" i="15"/>
  <c r="G120" i="15" s="1"/>
  <c r="H82" i="22"/>
  <c r="I82" i="22"/>
  <c r="J82" i="22"/>
  <c r="D59" i="17"/>
  <c r="F82" i="22"/>
  <c r="K82" i="22"/>
  <c r="L59" i="17"/>
  <c r="M59" i="17" s="1"/>
  <c r="M60" i="17" s="1"/>
  <c r="M61" i="17" s="1"/>
  <c r="D82" i="22"/>
  <c r="L82" i="22"/>
  <c r="E82" i="22"/>
  <c r="M82" i="22"/>
  <c r="G82" i="22"/>
  <c r="N85" i="13"/>
  <c r="N84" i="13"/>
  <c r="M130" i="12"/>
  <c r="L129" i="12"/>
  <c r="J91" i="13"/>
  <c r="H133" i="12"/>
  <c r="F136" i="12"/>
  <c r="M85" i="13"/>
  <c r="I133" i="12"/>
  <c r="L92" i="13"/>
  <c r="F84" i="13"/>
  <c r="M86" i="13"/>
  <c r="L135" i="12"/>
  <c r="J89" i="13"/>
  <c r="H136" i="12"/>
  <c r="D90" i="13"/>
  <c r="M134" i="12"/>
  <c r="I86" i="13"/>
  <c r="G136" i="12"/>
  <c r="K123" i="12"/>
  <c r="I84" i="13"/>
  <c r="N135" i="12"/>
  <c r="M92" i="13"/>
  <c r="L128" i="12"/>
  <c r="J133" i="12"/>
  <c r="H123" i="12"/>
  <c r="H146" i="16"/>
  <c r="H162" i="16" s="1"/>
  <c r="H172" i="16" s="1"/>
  <c r="B20" i="20"/>
  <c r="N136" i="12"/>
  <c r="L79" i="13"/>
  <c r="K84" i="13"/>
  <c r="J135" i="12"/>
  <c r="H90" i="13"/>
  <c r="E85" i="13"/>
  <c r="G89" i="13"/>
  <c r="L147" i="16"/>
  <c r="L163" i="16" s="1"/>
  <c r="L168" i="16" s="1"/>
  <c r="P95" i="18"/>
  <c r="I54" i="20" s="1"/>
  <c r="P169" i="18"/>
  <c r="I96" i="20" s="1"/>
  <c r="H89" i="13"/>
  <c r="G130" i="12"/>
  <c r="M147" i="16"/>
  <c r="M163" i="16" s="1"/>
  <c r="M168" i="16" s="1"/>
  <c r="D136" i="12"/>
  <c r="I135" i="12"/>
  <c r="H85" i="13"/>
  <c r="F134" i="12"/>
  <c r="E79" i="13"/>
  <c r="F135" i="12"/>
  <c r="E91" i="13"/>
  <c r="J136" i="12"/>
  <c r="I134" i="12"/>
  <c r="G123" i="12"/>
  <c r="F123" i="12"/>
  <c r="E129" i="12"/>
  <c r="N130" i="12"/>
  <c r="M90" i="13"/>
  <c r="M123" i="12"/>
  <c r="L90" i="13"/>
  <c r="K136" i="12"/>
  <c r="K85" i="13"/>
  <c r="J84" i="13"/>
  <c r="I130" i="12"/>
  <c r="I123" i="12"/>
  <c r="I124" i="12" s="1"/>
  <c r="H92" i="13"/>
  <c r="G128" i="12"/>
  <c r="G135" i="12"/>
  <c r="M115" i="15"/>
  <c r="M125" i="15" s="1"/>
  <c r="F129" i="12"/>
  <c r="E133" i="12"/>
  <c r="G147" i="16"/>
  <c r="G163" i="16" s="1"/>
  <c r="G168" i="16" s="1"/>
  <c r="N86" i="13"/>
  <c r="N89" i="13"/>
  <c r="M133" i="12"/>
  <c r="L86" i="13"/>
  <c r="L91" i="13"/>
  <c r="K86" i="13"/>
  <c r="J92" i="13"/>
  <c r="J129" i="12"/>
  <c r="I136" i="12"/>
  <c r="H134" i="12"/>
  <c r="H135" i="12"/>
  <c r="G86" i="13"/>
  <c r="G91" i="13"/>
  <c r="F86" i="13"/>
  <c r="E135" i="12"/>
  <c r="L115" i="15"/>
  <c r="L120" i="15" s="1"/>
  <c r="N79" i="13"/>
  <c r="M136" i="12"/>
  <c r="L134" i="12"/>
  <c r="L136" i="12"/>
  <c r="K79" i="13"/>
  <c r="L80" i="13" s="1"/>
  <c r="J123" i="12"/>
  <c r="J90" i="13"/>
  <c r="I129" i="12"/>
  <c r="H91" i="13"/>
  <c r="H128" i="12"/>
  <c r="G84" i="13"/>
  <c r="F89" i="13"/>
  <c r="F133" i="12"/>
  <c r="L146" i="16"/>
  <c r="L162" i="16" s="1"/>
  <c r="D89" i="13"/>
  <c r="N123" i="12"/>
  <c r="N124" i="12" s="1"/>
  <c r="M79" i="13"/>
  <c r="M80" i="13" s="1"/>
  <c r="M89" i="13"/>
  <c r="L84" i="13"/>
  <c r="K133" i="12"/>
  <c r="K134" i="12"/>
  <c r="J134" i="12"/>
  <c r="I79" i="13"/>
  <c r="I89" i="13"/>
  <c r="H86" i="13"/>
  <c r="N146" i="16"/>
  <c r="G85" i="13"/>
  <c r="M146" i="16"/>
  <c r="F91" i="13"/>
  <c r="E86" i="13"/>
  <c r="J115" i="15"/>
  <c r="J120" i="15" s="1"/>
  <c r="E84" i="13"/>
  <c r="E136" i="12"/>
  <c r="K116" i="15"/>
  <c r="K121" i="15" s="1"/>
  <c r="F116" i="15"/>
  <c r="F126" i="15" s="1"/>
  <c r="E115" i="15"/>
  <c r="E120" i="15" s="1"/>
  <c r="E123" i="12"/>
  <c r="D134" i="12"/>
  <c r="J116" i="15"/>
  <c r="J121" i="15" s="1"/>
  <c r="J122" i="15" s="1"/>
  <c r="E89" i="13"/>
  <c r="E134" i="12"/>
  <c r="D84" i="13"/>
  <c r="I146" i="16"/>
  <c r="K147" i="16"/>
  <c r="K163" i="16" s="1"/>
  <c r="K173" i="16" s="1"/>
  <c r="I115" i="15"/>
  <c r="I120" i="15" s="1"/>
  <c r="N90" i="13"/>
  <c r="N133" i="12"/>
  <c r="M84" i="13"/>
  <c r="M129" i="12"/>
  <c r="L89" i="13"/>
  <c r="L85" i="13"/>
  <c r="K135" i="12"/>
  <c r="K92" i="13"/>
  <c r="J85" i="13"/>
  <c r="J130" i="12"/>
  <c r="I90" i="13"/>
  <c r="I92" i="13"/>
  <c r="H130" i="12"/>
  <c r="H129" i="12"/>
  <c r="G129" i="12"/>
  <c r="N115" i="15"/>
  <c r="N120" i="15" s="1"/>
  <c r="G92" i="13"/>
  <c r="F79" i="13"/>
  <c r="F85" i="13"/>
  <c r="E128" i="12"/>
  <c r="L116" i="15"/>
  <c r="L121" i="15" s="1"/>
  <c r="K115" i="15"/>
  <c r="K125" i="15" s="1"/>
  <c r="D129" i="12"/>
  <c r="H147" i="16"/>
  <c r="H163" i="16" s="1"/>
  <c r="H168" i="16" s="1"/>
  <c r="F54" i="17"/>
  <c r="F55" i="17" s="1"/>
  <c r="D54" i="17"/>
  <c r="D55" i="17" s="1"/>
  <c r="D54" i="20"/>
  <c r="S9" i="2"/>
  <c r="E54" i="20" s="1"/>
  <c r="K54" i="17"/>
  <c r="K55" i="17" s="1"/>
  <c r="M8" i="2"/>
  <c r="N128" i="12"/>
  <c r="N91" i="13"/>
  <c r="M91" i="13"/>
  <c r="M135" i="12"/>
  <c r="L123" i="12"/>
  <c r="L124" i="12" s="1"/>
  <c r="L130" i="12"/>
  <c r="K130" i="12"/>
  <c r="K89" i="13"/>
  <c r="J128" i="12"/>
  <c r="J79" i="13"/>
  <c r="J80" i="13" s="1"/>
  <c r="I91" i="13"/>
  <c r="I128" i="12"/>
  <c r="H79" i="13"/>
  <c r="H80" i="13" s="1"/>
  <c r="H84" i="13"/>
  <c r="G79" i="13"/>
  <c r="G133" i="12"/>
  <c r="N116" i="15"/>
  <c r="N126" i="15" s="1"/>
  <c r="M116" i="15"/>
  <c r="M121" i="15" s="1"/>
  <c r="F92" i="13"/>
  <c r="E90" i="13"/>
  <c r="E130" i="12"/>
  <c r="D92" i="13"/>
  <c r="D135" i="12"/>
  <c r="H54" i="17"/>
  <c r="H55" i="17" s="1"/>
  <c r="M54" i="17"/>
  <c r="G54" i="17"/>
  <c r="G55" i="17" s="1"/>
  <c r="E54" i="17"/>
  <c r="E55" i="17" s="1"/>
  <c r="D90" i="22"/>
  <c r="D86" i="22"/>
  <c r="D78" i="22"/>
  <c r="D92" i="22"/>
  <c r="D85" i="22"/>
  <c r="E78" i="22"/>
  <c r="E86" i="22"/>
  <c r="E90" i="22"/>
  <c r="E92" i="22"/>
  <c r="E85" i="22"/>
  <c r="F86" i="22"/>
  <c r="F78" i="22"/>
  <c r="F92" i="22"/>
  <c r="F85" i="22"/>
  <c r="F90" i="22"/>
  <c r="G78" i="22"/>
  <c r="G86" i="22"/>
  <c r="G92" i="22"/>
  <c r="G90" i="22"/>
  <c r="G85" i="22"/>
  <c r="H78" i="22"/>
  <c r="H85" i="22"/>
  <c r="H86" i="22"/>
  <c r="H90" i="22"/>
  <c r="H92" i="22"/>
  <c r="I78" i="22"/>
  <c r="I86" i="22"/>
  <c r="I90" i="22"/>
  <c r="I85" i="22"/>
  <c r="I92" i="22"/>
  <c r="J78" i="22"/>
  <c r="J90" i="22"/>
  <c r="J92" i="22"/>
  <c r="J85" i="22"/>
  <c r="J86" i="22"/>
  <c r="K86" i="22"/>
  <c r="K90" i="22"/>
  <c r="K92" i="22"/>
  <c r="K85" i="22"/>
  <c r="K78" i="22"/>
  <c r="L78" i="22"/>
  <c r="L86" i="22"/>
  <c r="L92" i="22"/>
  <c r="L85" i="22"/>
  <c r="L90" i="22"/>
  <c r="M78" i="22"/>
  <c r="M86" i="22"/>
  <c r="M92" i="22"/>
  <c r="M85" i="22"/>
  <c r="M90" i="22"/>
  <c r="N78" i="22"/>
  <c r="N86" i="22"/>
  <c r="N92" i="22"/>
  <c r="N85" i="22"/>
  <c r="N90" i="22"/>
  <c r="D60" i="17"/>
  <c r="D61" i="17" s="1"/>
  <c r="D49" i="17"/>
  <c r="D45" i="17"/>
  <c r="E45" i="17"/>
  <c r="E59" i="17"/>
  <c r="E60" i="17" s="1"/>
  <c r="E61" i="17" s="1"/>
  <c r="E49" i="17"/>
  <c r="F59" i="17"/>
  <c r="F60" i="17" s="1"/>
  <c r="F61" i="17" s="1"/>
  <c r="F49" i="17"/>
  <c r="F45" i="17"/>
  <c r="G59" i="17"/>
  <c r="G49" i="17"/>
  <c r="G45" i="17"/>
  <c r="H45" i="17"/>
  <c r="H49" i="17"/>
  <c r="H59" i="17"/>
  <c r="H60" i="17" s="1"/>
  <c r="H61" i="17" s="1"/>
  <c r="I45" i="17"/>
  <c r="I59" i="17"/>
  <c r="I60" i="17" s="1"/>
  <c r="I61" i="17" s="1"/>
  <c r="I49" i="17"/>
  <c r="J45" i="17"/>
  <c r="J49" i="17"/>
  <c r="J59" i="17"/>
  <c r="J60" i="17" s="1"/>
  <c r="J61" i="17" s="1"/>
  <c r="K45" i="17"/>
  <c r="K59" i="17"/>
  <c r="K60" i="17" s="1"/>
  <c r="K61" i="17" s="1"/>
  <c r="K49" i="17"/>
  <c r="L45" i="17"/>
  <c r="L49" i="17"/>
  <c r="M49" i="17"/>
  <c r="M45" i="17"/>
  <c r="N49" i="17"/>
  <c r="M64" i="17" s="1"/>
  <c r="M65" i="17" s="1"/>
  <c r="M66" i="17" s="1"/>
  <c r="M189" i="18" s="1"/>
  <c r="N45" i="17"/>
  <c r="L54" i="17"/>
  <c r="L55" i="17" s="1"/>
  <c r="I23" i="17"/>
  <c r="D22" i="17"/>
  <c r="L22" i="17"/>
  <c r="H23" i="17"/>
  <c r="M23" i="17"/>
  <c r="K23" i="17"/>
  <c r="H22" i="17"/>
  <c r="I22" i="17"/>
  <c r="H74" i="12"/>
  <c r="F14" i="17"/>
  <c r="N14" i="17"/>
  <c r="G18" i="17"/>
  <c r="D18" i="17"/>
  <c r="D91" i="18" s="1"/>
  <c r="G14" i="17"/>
  <c r="D14" i="17"/>
  <c r="H14" i="17"/>
  <c r="I14" i="17"/>
  <c r="J14" i="17"/>
  <c r="K14" i="17"/>
  <c r="L14" i="17"/>
  <c r="E18" i="17"/>
  <c r="E91" i="18" s="1"/>
  <c r="E14" i="17"/>
  <c r="M14" i="17"/>
  <c r="F18" i="17"/>
  <c r="F91" i="18" s="1"/>
  <c r="D49" i="22"/>
  <c r="D45" i="22"/>
  <c r="E45" i="22"/>
  <c r="E49" i="22"/>
  <c r="F49" i="22"/>
  <c r="F45" i="22"/>
  <c r="G45" i="22"/>
  <c r="H45" i="22"/>
  <c r="I45" i="22"/>
  <c r="J45" i="22"/>
  <c r="K45" i="22"/>
  <c r="L45" i="22"/>
  <c r="M45" i="22"/>
  <c r="N45" i="22"/>
  <c r="K22" i="17"/>
  <c r="M22" i="17"/>
  <c r="J23" i="17"/>
  <c r="G23" i="17"/>
  <c r="L23" i="17"/>
  <c r="J22" i="17"/>
  <c r="D23" i="17"/>
  <c r="G22" i="17"/>
  <c r="C9" i="2"/>
  <c r="D164" i="14"/>
  <c r="D158" i="14"/>
  <c r="D161" i="14"/>
  <c r="D155" i="14"/>
  <c r="E161" i="14"/>
  <c r="E158" i="14"/>
  <c r="E155" i="14"/>
  <c r="E164" i="14"/>
  <c r="F164" i="14"/>
  <c r="F158" i="14"/>
  <c r="F155" i="14"/>
  <c r="F161" i="14"/>
  <c r="G158" i="14"/>
  <c r="G161" i="14"/>
  <c r="G155" i="14"/>
  <c r="G164" i="14"/>
  <c r="H155" i="14"/>
  <c r="H158" i="14"/>
  <c r="H164" i="14"/>
  <c r="H161" i="14"/>
  <c r="I158" i="14"/>
  <c r="I155" i="14"/>
  <c r="I161" i="14"/>
  <c r="I164" i="14"/>
  <c r="J161" i="14"/>
  <c r="J158" i="14"/>
  <c r="J155" i="14"/>
  <c r="J164" i="14"/>
  <c r="K164" i="14"/>
  <c r="K161" i="14"/>
  <c r="K158" i="14"/>
  <c r="K155" i="14"/>
  <c r="L161" i="14"/>
  <c r="L158" i="14"/>
  <c r="L155" i="14"/>
  <c r="L164" i="14"/>
  <c r="M155" i="14"/>
  <c r="M161" i="14"/>
  <c r="M164" i="14"/>
  <c r="M158" i="14"/>
  <c r="N155" i="14"/>
  <c r="N161" i="14"/>
  <c r="N164" i="14"/>
  <c r="N158" i="14"/>
  <c r="D85" i="14"/>
  <c r="D94" i="14"/>
  <c r="D91" i="14"/>
  <c r="D88" i="14"/>
  <c r="E85" i="14"/>
  <c r="E91" i="14"/>
  <c r="E88" i="14"/>
  <c r="E94" i="14"/>
  <c r="F85" i="14"/>
  <c r="F88" i="14"/>
  <c r="F94" i="14"/>
  <c r="F91" i="14"/>
  <c r="G85" i="14"/>
  <c r="G88" i="14"/>
  <c r="G91" i="14"/>
  <c r="G94" i="14"/>
  <c r="H85" i="14"/>
  <c r="H91" i="14"/>
  <c r="H94" i="14"/>
  <c r="H88" i="14"/>
  <c r="I85" i="14"/>
  <c r="I94" i="14"/>
  <c r="I88" i="14"/>
  <c r="I91" i="14"/>
  <c r="J85" i="14"/>
  <c r="J94" i="14"/>
  <c r="J88" i="14"/>
  <c r="J91" i="14"/>
  <c r="K85" i="14"/>
  <c r="K88" i="14"/>
  <c r="K94" i="14"/>
  <c r="K91" i="14"/>
  <c r="L85" i="14"/>
  <c r="L94" i="14"/>
  <c r="L91" i="14"/>
  <c r="L88" i="14"/>
  <c r="M85" i="14"/>
  <c r="M88" i="14"/>
  <c r="M91" i="14"/>
  <c r="M94" i="14"/>
  <c r="N85" i="14"/>
  <c r="N94" i="14"/>
  <c r="N91" i="14"/>
  <c r="N88" i="14"/>
  <c r="P176" i="18"/>
  <c r="I103" i="20" s="1"/>
  <c r="E25" i="10"/>
  <c r="C26" i="10" s="1"/>
  <c r="B21" i="20" s="1"/>
  <c r="B80" i="20"/>
  <c r="L11" i="5"/>
  <c r="D80" i="20" s="1"/>
  <c r="B77" i="20"/>
  <c r="L8" i="5"/>
  <c r="B48" i="20"/>
  <c r="L10" i="2"/>
  <c r="R10" i="2" s="1"/>
  <c r="B78" i="20"/>
  <c r="L9" i="5"/>
  <c r="B79" i="20"/>
  <c r="L10" i="5"/>
  <c r="D79" i="20" s="1"/>
  <c r="B47" i="20"/>
  <c r="B49" i="20"/>
  <c r="L11" i="2"/>
  <c r="R11" i="2" s="1"/>
  <c r="D123" i="12"/>
  <c r="D124" i="12" s="1"/>
  <c r="H115" i="15"/>
  <c r="H125" i="15" s="1"/>
  <c r="G116" i="15"/>
  <c r="G126" i="15" s="1"/>
  <c r="F147" i="16"/>
  <c r="F163" i="16" s="1"/>
  <c r="F168" i="16" s="1"/>
  <c r="D130" i="12"/>
  <c r="D86" i="13"/>
  <c r="D116" i="15"/>
  <c r="D121" i="15" s="1"/>
  <c r="G146" i="16"/>
  <c r="F146" i="16"/>
  <c r="D79" i="13"/>
  <c r="D80" i="13" s="1"/>
  <c r="H116" i="15"/>
  <c r="H121" i="15" s="1"/>
  <c r="D115" i="15"/>
  <c r="D120" i="15" s="1"/>
  <c r="N147" i="16"/>
  <c r="N163" i="16" s="1"/>
  <c r="N173" i="16" s="1"/>
  <c r="F90" i="13"/>
  <c r="F128" i="12"/>
  <c r="E92" i="13"/>
  <c r="D133" i="12"/>
  <c r="D85" i="13"/>
  <c r="K146" i="16"/>
  <c r="J146" i="16"/>
  <c r="J162" i="16" s="1"/>
  <c r="E147" i="16"/>
  <c r="E163" i="16" s="1"/>
  <c r="E173" i="16" s="1"/>
  <c r="D91" i="13"/>
  <c r="J147" i="16"/>
  <c r="J163" i="16" s="1"/>
  <c r="J168" i="16" s="1"/>
  <c r="I147" i="16"/>
  <c r="I163" i="16" s="1"/>
  <c r="I168" i="16" s="1"/>
  <c r="I116" i="15"/>
  <c r="I126" i="15" s="1"/>
  <c r="F115" i="15"/>
  <c r="F120" i="15" s="1"/>
  <c r="E116" i="15"/>
  <c r="E126" i="15" s="1"/>
  <c r="D146" i="16"/>
  <c r="B13" i="20"/>
  <c r="D128" i="12"/>
  <c r="E146" i="16"/>
  <c r="D127" i="12"/>
  <c r="D173" i="16"/>
  <c r="D29" i="2"/>
  <c r="C25" i="2"/>
  <c r="C29" i="2" s="1"/>
  <c r="N127" i="12"/>
  <c r="L173" i="16"/>
  <c r="J83" i="13"/>
  <c r="K83" i="13"/>
  <c r="N83" i="13"/>
  <c r="M83" i="13"/>
  <c r="L83" i="13"/>
  <c r="Y52" i="1"/>
  <c r="G127" i="12"/>
  <c r="K127" i="12"/>
  <c r="J127" i="12"/>
  <c r="M127" i="12"/>
  <c r="I127" i="12"/>
  <c r="H127" i="12"/>
  <c r="L127" i="12"/>
  <c r="E127" i="12"/>
  <c r="F127" i="12"/>
  <c r="H83" i="13"/>
  <c r="G83" i="13"/>
  <c r="B30" i="20"/>
  <c r="E30" i="20"/>
  <c r="F13" i="2"/>
  <c r="E34" i="20" s="1"/>
  <c r="C12" i="2"/>
  <c r="B33" i="20" s="1"/>
  <c r="F83" i="13"/>
  <c r="I83" i="13"/>
  <c r="E83" i="13"/>
  <c r="C11" i="2"/>
  <c r="B32" i="20" s="1"/>
  <c r="D83" i="13"/>
  <c r="F13" i="5"/>
  <c r="Y54" i="1"/>
  <c r="C9" i="5"/>
  <c r="B61" i="20" s="1"/>
  <c r="K168" i="16"/>
  <c r="G125" i="15"/>
  <c r="L172" i="16"/>
  <c r="B46" i="20"/>
  <c r="P8" i="2"/>
  <c r="C61" i="20"/>
  <c r="C30" i="20"/>
  <c r="D13" i="2"/>
  <c r="C34" i="20" s="1"/>
  <c r="C21" i="5"/>
  <c r="B73" i="20" s="1"/>
  <c r="B70" i="20"/>
  <c r="E13" i="5"/>
  <c r="D64" i="20"/>
  <c r="C11" i="5"/>
  <c r="B63" i="20" s="1"/>
  <c r="C63" i="20"/>
  <c r="C12" i="5"/>
  <c r="B64" i="20" s="1"/>
  <c r="C64" i="20"/>
  <c r="P102" i="18"/>
  <c r="I61" i="20" s="1"/>
  <c r="D81" i="16"/>
  <c r="D65" i="15"/>
  <c r="D75" i="15" s="1"/>
  <c r="D66" i="15"/>
  <c r="D76" i="15" s="1"/>
  <c r="D77" i="16"/>
  <c r="D78" i="16" s="1"/>
  <c r="D82" i="16"/>
  <c r="D98" i="16" s="1"/>
  <c r="E65" i="15"/>
  <c r="E75" i="15" s="1"/>
  <c r="E77" i="16"/>
  <c r="E82" i="16"/>
  <c r="E98" i="16" s="1"/>
  <c r="E66" i="15"/>
  <c r="E76" i="15" s="1"/>
  <c r="E81" i="16"/>
  <c r="F65" i="15"/>
  <c r="F75" i="15" s="1"/>
  <c r="F66" i="15"/>
  <c r="F76" i="15" s="1"/>
  <c r="F82" i="16"/>
  <c r="F98" i="16" s="1"/>
  <c r="F77" i="16"/>
  <c r="F81" i="16"/>
  <c r="G66" i="15"/>
  <c r="G76" i="15" s="1"/>
  <c r="G81" i="16"/>
  <c r="G65" i="15"/>
  <c r="G75" i="15" s="1"/>
  <c r="G82" i="16"/>
  <c r="G98" i="16" s="1"/>
  <c r="G77" i="16"/>
  <c r="H66" i="15"/>
  <c r="H76" i="15" s="1"/>
  <c r="H77" i="16"/>
  <c r="H82" i="16"/>
  <c r="H98" i="16" s="1"/>
  <c r="H81" i="16"/>
  <c r="H65" i="15"/>
  <c r="H75" i="15" s="1"/>
  <c r="I81" i="16"/>
  <c r="I65" i="15"/>
  <c r="I75" i="15" s="1"/>
  <c r="I77" i="16"/>
  <c r="I82" i="16"/>
  <c r="I98" i="16" s="1"/>
  <c r="I66" i="15"/>
  <c r="I76" i="15" s="1"/>
  <c r="J81" i="16"/>
  <c r="J65" i="15"/>
  <c r="J75" i="15" s="1"/>
  <c r="J82" i="16"/>
  <c r="J98" i="16" s="1"/>
  <c r="J66" i="15"/>
  <c r="J76" i="15" s="1"/>
  <c r="J77" i="16"/>
  <c r="D50" i="13"/>
  <c r="D58" i="13"/>
  <c r="D45" i="13"/>
  <c r="D67" i="12"/>
  <c r="D68" i="12" s="1"/>
  <c r="K82" i="16"/>
  <c r="K98" i="16" s="1"/>
  <c r="D55" i="13"/>
  <c r="D52" i="13"/>
  <c r="D78" i="12"/>
  <c r="D79" i="12"/>
  <c r="D71" i="12"/>
  <c r="K77" i="16"/>
  <c r="D49" i="13"/>
  <c r="D57" i="13"/>
  <c r="D72" i="12"/>
  <c r="D73" i="12"/>
  <c r="D80" i="12"/>
  <c r="D77" i="12"/>
  <c r="K66" i="15"/>
  <c r="K76" i="15" s="1"/>
  <c r="D56" i="13"/>
  <c r="D51" i="13"/>
  <c r="D74" i="12"/>
  <c r="K65" i="15"/>
  <c r="K75" i="15" s="1"/>
  <c r="K81" i="16"/>
  <c r="L65" i="15"/>
  <c r="L75" i="15" s="1"/>
  <c r="E79" i="12"/>
  <c r="E71" i="12"/>
  <c r="E56" i="13"/>
  <c r="E51" i="13"/>
  <c r="E55" i="13"/>
  <c r="L66" i="15"/>
  <c r="L76" i="15" s="1"/>
  <c r="E73" i="12"/>
  <c r="E80" i="12"/>
  <c r="E50" i="13"/>
  <c r="E58" i="13"/>
  <c r="E49" i="13"/>
  <c r="L81" i="16"/>
  <c r="E74" i="12"/>
  <c r="E78" i="12"/>
  <c r="E52" i="13"/>
  <c r="E67" i="12"/>
  <c r="E77" i="12"/>
  <c r="E72" i="12"/>
  <c r="E57" i="13"/>
  <c r="E45" i="13"/>
  <c r="L77" i="16"/>
  <c r="L82" i="16"/>
  <c r="L98" i="16" s="1"/>
  <c r="F71" i="12"/>
  <c r="F72" i="12"/>
  <c r="M65" i="15"/>
  <c r="M75" i="15" s="1"/>
  <c r="F51" i="13"/>
  <c r="F55" i="13"/>
  <c r="F80" i="12"/>
  <c r="F79" i="12"/>
  <c r="M66" i="15"/>
  <c r="M76" i="15" s="1"/>
  <c r="F58" i="13"/>
  <c r="F49" i="13"/>
  <c r="M81" i="16"/>
  <c r="F74" i="12"/>
  <c r="F52" i="13"/>
  <c r="F56" i="13"/>
  <c r="F67" i="12"/>
  <c r="F77" i="12"/>
  <c r="F78" i="12"/>
  <c r="F73" i="12"/>
  <c r="F57" i="13"/>
  <c r="F45" i="13"/>
  <c r="F50" i="13"/>
  <c r="M77" i="16"/>
  <c r="M72" i="4" s="1"/>
  <c r="M82" i="16"/>
  <c r="M98" i="16" s="1"/>
  <c r="N65" i="15"/>
  <c r="N75" i="15" s="1"/>
  <c r="G55" i="13"/>
  <c r="N77" i="16"/>
  <c r="G71" i="12"/>
  <c r="G72" i="12"/>
  <c r="G73" i="12"/>
  <c r="N66" i="15"/>
  <c r="N76" i="15" s="1"/>
  <c r="G58" i="13"/>
  <c r="G49" i="13"/>
  <c r="N81" i="16"/>
  <c r="G80" i="12"/>
  <c r="G52" i="13"/>
  <c r="G56" i="13"/>
  <c r="G57" i="13"/>
  <c r="G74" i="12"/>
  <c r="G67" i="12"/>
  <c r="G45" i="13"/>
  <c r="G50" i="13"/>
  <c r="G51" i="13"/>
  <c r="N82" i="16"/>
  <c r="N98" i="16" s="1"/>
  <c r="G77" i="12"/>
  <c r="G78" i="12"/>
  <c r="G79" i="12"/>
  <c r="H49" i="13"/>
  <c r="H57" i="13"/>
  <c r="H58" i="13"/>
  <c r="H52" i="13"/>
  <c r="H78" i="12"/>
  <c r="H67" i="12"/>
  <c r="H77" i="12"/>
  <c r="H56" i="13"/>
  <c r="H51" i="13"/>
  <c r="H45" i="13"/>
  <c r="H72" i="12"/>
  <c r="H79" i="12"/>
  <c r="H50" i="13"/>
  <c r="H73" i="12"/>
  <c r="H80" i="12"/>
  <c r="H71" i="12"/>
  <c r="H55" i="13"/>
  <c r="I74" i="12"/>
  <c r="I72" i="12"/>
  <c r="I78" i="12"/>
  <c r="I57" i="13"/>
  <c r="I45" i="13"/>
  <c r="I49" i="13"/>
  <c r="I67" i="12"/>
  <c r="I77" i="12"/>
  <c r="I56" i="13"/>
  <c r="I51" i="13"/>
  <c r="I79" i="12"/>
  <c r="I71" i="12"/>
  <c r="I50" i="13"/>
  <c r="I58" i="13"/>
  <c r="I55" i="13"/>
  <c r="I73" i="12"/>
  <c r="I80" i="12"/>
  <c r="I52" i="13"/>
  <c r="J67" i="12"/>
  <c r="J77" i="12"/>
  <c r="J78" i="12"/>
  <c r="J58" i="13"/>
  <c r="J49" i="13"/>
  <c r="J71" i="12"/>
  <c r="J72" i="12"/>
  <c r="J73" i="12"/>
  <c r="J52" i="13"/>
  <c r="J80" i="12"/>
  <c r="J79" i="12"/>
  <c r="J57" i="13"/>
  <c r="J45" i="13"/>
  <c r="J56" i="13"/>
  <c r="J74" i="12"/>
  <c r="J51" i="13"/>
  <c r="J55" i="13"/>
  <c r="J50" i="13"/>
  <c r="K52" i="13"/>
  <c r="K49" i="13"/>
  <c r="K67" i="12"/>
  <c r="K45" i="13"/>
  <c r="K56" i="13"/>
  <c r="K77" i="12"/>
  <c r="K78" i="12"/>
  <c r="K80" i="12"/>
  <c r="K50" i="13"/>
  <c r="K57" i="13"/>
  <c r="K71" i="12"/>
  <c r="K72" i="12"/>
  <c r="K79" i="12"/>
  <c r="K74" i="12"/>
  <c r="K58" i="13"/>
  <c r="K55" i="13"/>
  <c r="K51" i="13"/>
  <c r="K73" i="12"/>
  <c r="L78" i="12"/>
  <c r="L67" i="12"/>
  <c r="L55" i="13"/>
  <c r="L72" i="12"/>
  <c r="L79" i="12"/>
  <c r="L77" i="12"/>
  <c r="L49" i="13"/>
  <c r="L57" i="13"/>
  <c r="L73" i="12"/>
  <c r="L80" i="12"/>
  <c r="L71" i="12"/>
  <c r="L56" i="13"/>
  <c r="L51" i="13"/>
  <c r="L58" i="13"/>
  <c r="L45" i="13"/>
  <c r="L74" i="12"/>
  <c r="L50" i="13"/>
  <c r="L52" i="13"/>
  <c r="M74" i="12"/>
  <c r="M57" i="13"/>
  <c r="M45" i="13"/>
  <c r="M67" i="12"/>
  <c r="M77" i="12"/>
  <c r="M56" i="13"/>
  <c r="M51" i="13"/>
  <c r="M49" i="13"/>
  <c r="M79" i="12"/>
  <c r="M71" i="12"/>
  <c r="M78" i="12"/>
  <c r="M50" i="13"/>
  <c r="M58" i="13"/>
  <c r="M73" i="12"/>
  <c r="M80" i="12"/>
  <c r="M72" i="12"/>
  <c r="M52" i="13"/>
  <c r="M55" i="13"/>
  <c r="N71" i="12"/>
  <c r="N72" i="12"/>
  <c r="N45" i="13"/>
  <c r="N50" i="13"/>
  <c r="N57" i="13"/>
  <c r="N55" i="13"/>
  <c r="N80" i="12"/>
  <c r="N79" i="12"/>
  <c r="N56" i="13"/>
  <c r="N74" i="12"/>
  <c r="N73" i="12"/>
  <c r="N51" i="13"/>
  <c r="N58" i="13"/>
  <c r="N49" i="13"/>
  <c r="N67" i="12"/>
  <c r="N77" i="12"/>
  <c r="N78" i="12"/>
  <c r="N52" i="13"/>
  <c r="E18" i="10"/>
  <c r="C10" i="2"/>
  <c r="C21" i="2"/>
  <c r="B42" i="20" s="1"/>
  <c r="Y55" i="1"/>
  <c r="P11" i="2"/>
  <c r="P10" i="2"/>
  <c r="O11" i="5"/>
  <c r="P9" i="2"/>
  <c r="Q9" i="2" s="1"/>
  <c r="O10" i="5"/>
  <c r="D78" i="20"/>
  <c r="O9" i="5"/>
  <c r="O8" i="5"/>
  <c r="Q8" i="5" s="1"/>
  <c r="Y53" i="1"/>
  <c r="C10" i="5"/>
  <c r="D13" i="5"/>
  <c r="E13" i="2"/>
  <c r="D34" i="20" s="1"/>
  <c r="Y36" i="1"/>
  <c r="E10" i="10"/>
  <c r="E31" i="1"/>
  <c r="E32" i="1" s="1"/>
  <c r="M81" i="14" l="1"/>
  <c r="M70" i="4" s="1"/>
  <c r="K81" i="14"/>
  <c r="K70" i="4" s="1"/>
  <c r="I81" i="14"/>
  <c r="I70" i="4" s="1"/>
  <c r="G81" i="14"/>
  <c r="G70" i="4" s="1"/>
  <c r="E81" i="14"/>
  <c r="N81" i="14"/>
  <c r="N70" i="4" s="1"/>
  <c r="L81" i="14"/>
  <c r="L70" i="4" s="1"/>
  <c r="J81" i="14"/>
  <c r="J70" i="4" s="1"/>
  <c r="H81" i="14"/>
  <c r="H70" i="4" s="1"/>
  <c r="F81" i="14"/>
  <c r="F70" i="4" s="1"/>
  <c r="D81" i="14"/>
  <c r="D82" i="14" s="1"/>
  <c r="D56" i="17"/>
  <c r="M55" i="17"/>
  <c r="M56" i="17" s="1"/>
  <c r="I55" i="17"/>
  <c r="I56" i="17" s="1"/>
  <c r="L179" i="16"/>
  <c r="F56" i="17"/>
  <c r="F176" i="18" s="1"/>
  <c r="M124" i="12"/>
  <c r="H124" i="12"/>
  <c r="N80" i="13"/>
  <c r="H167" i="16"/>
  <c r="H169" i="16" s="1"/>
  <c r="H180" i="16" s="1"/>
  <c r="L125" i="15"/>
  <c r="L60" i="17"/>
  <c r="L61" i="17" s="1"/>
  <c r="L184" i="18" s="1"/>
  <c r="I156" i="12"/>
  <c r="L122" i="15"/>
  <c r="M184" i="16"/>
  <c r="F121" i="15"/>
  <c r="F122" i="15" s="1"/>
  <c r="L156" i="12"/>
  <c r="H156" i="12"/>
  <c r="M173" i="16"/>
  <c r="G124" i="12"/>
  <c r="M156" i="12"/>
  <c r="M179" i="16"/>
  <c r="E125" i="15"/>
  <c r="E127" i="15" s="1"/>
  <c r="L111" i="15"/>
  <c r="L136" i="15" s="1"/>
  <c r="L126" i="15"/>
  <c r="M120" i="15"/>
  <c r="M122" i="15" s="1"/>
  <c r="K126" i="15"/>
  <c r="K127" i="15" s="1"/>
  <c r="K120" i="15"/>
  <c r="K122" i="15" s="1"/>
  <c r="K111" i="15"/>
  <c r="G91" i="18"/>
  <c r="H18" i="17"/>
  <c r="H29" i="18"/>
  <c r="H251" i="18" s="1"/>
  <c r="H35" i="4" s="1"/>
  <c r="I29" i="18"/>
  <c r="J29" i="18"/>
  <c r="J251" i="18" s="1"/>
  <c r="J35" i="4" s="1"/>
  <c r="G29" i="18"/>
  <c r="G251" i="18" s="1"/>
  <c r="G35" i="4" s="1"/>
  <c r="K29" i="18"/>
  <c r="K251" i="18" s="1"/>
  <c r="K35" i="4" s="1"/>
  <c r="E29" i="18"/>
  <c r="D29" i="18"/>
  <c r="L29" i="18"/>
  <c r="M29" i="18"/>
  <c r="M251" i="18" s="1"/>
  <c r="M35" i="4" s="1"/>
  <c r="F29" i="18"/>
  <c r="J124" i="12"/>
  <c r="J131" i="14"/>
  <c r="F131" i="14"/>
  <c r="M131" i="14"/>
  <c r="I131" i="14"/>
  <c r="L131" i="14"/>
  <c r="E131" i="14"/>
  <c r="K131" i="14"/>
  <c r="G131" i="14"/>
  <c r="D131" i="14"/>
  <c r="H131" i="14"/>
  <c r="F87" i="22"/>
  <c r="F124" i="12"/>
  <c r="L184" i="16"/>
  <c r="K124" i="12"/>
  <c r="N121" i="15"/>
  <c r="N122" i="15" s="1"/>
  <c r="G80" i="13"/>
  <c r="M162" i="16"/>
  <c r="G156" i="12"/>
  <c r="D162" i="16"/>
  <c r="D172" i="16" s="1"/>
  <c r="I162" i="16"/>
  <c r="I172" i="16" s="1"/>
  <c r="N125" i="15"/>
  <c r="N127" i="15" s="1"/>
  <c r="K162" i="16"/>
  <c r="K167" i="16" s="1"/>
  <c r="K169" i="16" s="1"/>
  <c r="K180" i="16" s="1"/>
  <c r="N162" i="16"/>
  <c r="N167" i="16" s="1"/>
  <c r="F162" i="16"/>
  <c r="F167" i="16" s="1"/>
  <c r="F169" i="16" s="1"/>
  <c r="F180" i="16" s="1"/>
  <c r="K132" i="14"/>
  <c r="L132" i="14"/>
  <c r="E132" i="14"/>
  <c r="M132" i="14"/>
  <c r="H132" i="14"/>
  <c r="I132" i="14"/>
  <c r="D132" i="14"/>
  <c r="J132" i="14"/>
  <c r="Q8" i="2"/>
  <c r="C53" i="20" s="1"/>
  <c r="G162" i="16"/>
  <c r="G167" i="16" s="1"/>
  <c r="G169" i="16" s="1"/>
  <c r="G180" i="16" s="1"/>
  <c r="E133" i="14"/>
  <c r="M133" i="14"/>
  <c r="F133" i="14"/>
  <c r="D133" i="14"/>
  <c r="G133" i="14"/>
  <c r="I133" i="14"/>
  <c r="H133" i="14"/>
  <c r="J133" i="14"/>
  <c r="K133" i="14"/>
  <c r="L133" i="14"/>
  <c r="I80" i="13"/>
  <c r="E162" i="16"/>
  <c r="E164" i="16" s="1"/>
  <c r="G134" i="14"/>
  <c r="J134" i="14"/>
  <c r="H134" i="14"/>
  <c r="I134" i="14"/>
  <c r="K134" i="14"/>
  <c r="L134" i="14"/>
  <c r="E134" i="14"/>
  <c r="M134" i="14"/>
  <c r="F134" i="14"/>
  <c r="D134" i="14"/>
  <c r="F172" i="16"/>
  <c r="K164" i="16"/>
  <c r="J125" i="15"/>
  <c r="I125" i="15"/>
  <c r="H184" i="16"/>
  <c r="K156" i="12"/>
  <c r="G173" i="16"/>
  <c r="E156" i="12"/>
  <c r="K87" i="22"/>
  <c r="K94" i="22" s="1"/>
  <c r="K166" i="18" s="1"/>
  <c r="H56" i="17"/>
  <c r="H176" i="18" s="1"/>
  <c r="J111" i="15"/>
  <c r="J136" i="15" s="1"/>
  <c r="H179" i="16"/>
  <c r="N111" i="15"/>
  <c r="N136" i="15" s="1"/>
  <c r="H164" i="16"/>
  <c r="H173" i="16"/>
  <c r="H174" i="16" s="1"/>
  <c r="M111" i="15"/>
  <c r="M136" i="15" s="1"/>
  <c r="K80" i="13"/>
  <c r="N87" i="22"/>
  <c r="G87" i="22"/>
  <c r="M126" i="15"/>
  <c r="M127" i="15" s="1"/>
  <c r="J56" i="17"/>
  <c r="J126" i="15"/>
  <c r="J156" i="12"/>
  <c r="I87" i="22"/>
  <c r="I94" i="22" s="1"/>
  <c r="I166" i="18" s="1"/>
  <c r="H87" i="22"/>
  <c r="H94" i="22" s="1"/>
  <c r="H166" i="18" s="1"/>
  <c r="E87" i="22"/>
  <c r="F80" i="13"/>
  <c r="D55" i="20"/>
  <c r="S10" i="2"/>
  <c r="E55" i="20" s="1"/>
  <c r="H165" i="18"/>
  <c r="G64" i="17"/>
  <c r="G65" i="17" s="1"/>
  <c r="G66" i="17" s="1"/>
  <c r="G189" i="18" s="1"/>
  <c r="E165" i="18"/>
  <c r="D64" i="17"/>
  <c r="D65" i="17" s="1"/>
  <c r="D66" i="17" s="1"/>
  <c r="D189" i="18" s="1"/>
  <c r="E56" i="17"/>
  <c r="D56" i="20"/>
  <c r="S11" i="2"/>
  <c r="E56" i="20" s="1"/>
  <c r="M185" i="18"/>
  <c r="M184" i="18"/>
  <c r="J185" i="18"/>
  <c r="J184" i="18"/>
  <c r="E184" i="18"/>
  <c r="E185" i="18"/>
  <c r="M165" i="18"/>
  <c r="P186" i="18" s="1"/>
  <c r="I113" i="20" s="1"/>
  <c r="L64" i="17"/>
  <c r="L65" i="17" s="1"/>
  <c r="L66" i="17" s="1"/>
  <c r="L189" i="18" s="1"/>
  <c r="J165" i="18"/>
  <c r="I64" i="17"/>
  <c r="I65" i="17" s="1"/>
  <c r="I66" i="17" s="1"/>
  <c r="I189" i="18" s="1"/>
  <c r="D87" i="22"/>
  <c r="K56" i="17"/>
  <c r="K32" i="4" s="1"/>
  <c r="G56" i="17"/>
  <c r="G176" i="18" s="1"/>
  <c r="L165" i="18"/>
  <c r="K64" i="17"/>
  <c r="K65" i="17" s="1"/>
  <c r="K66" i="17" s="1"/>
  <c r="K189" i="18" s="1"/>
  <c r="G165" i="18"/>
  <c r="F64" i="17"/>
  <c r="F65" i="17" s="1"/>
  <c r="F66" i="17" s="1"/>
  <c r="F189" i="18" s="1"/>
  <c r="D20" i="20"/>
  <c r="I165" i="18"/>
  <c r="H64" i="17"/>
  <c r="H65" i="17" s="1"/>
  <c r="H66" i="17" s="1"/>
  <c r="H189" i="18" s="1"/>
  <c r="G60" i="17"/>
  <c r="G61" i="17" s="1"/>
  <c r="D165" i="18"/>
  <c r="L87" i="22"/>
  <c r="L94" i="22" s="1"/>
  <c r="L166" i="18" s="1"/>
  <c r="L56" i="17"/>
  <c r="L185" i="18"/>
  <c r="I185" i="18"/>
  <c r="I184" i="18"/>
  <c r="D185" i="18"/>
  <c r="D184" i="18"/>
  <c r="D53" i="20"/>
  <c r="S8" i="2"/>
  <c r="K165" i="18"/>
  <c r="J64" i="17"/>
  <c r="J65" i="17" s="1"/>
  <c r="J66" i="17" s="1"/>
  <c r="J189" i="18" s="1"/>
  <c r="F165" i="18"/>
  <c r="E64" i="17"/>
  <c r="E65" i="17" s="1"/>
  <c r="E66" i="17" s="1"/>
  <c r="E189" i="18" s="1"/>
  <c r="M87" i="22"/>
  <c r="M94" i="22" s="1"/>
  <c r="M166" i="18" s="1"/>
  <c r="D20" i="18"/>
  <c r="E20" i="18"/>
  <c r="E242" i="18" s="1"/>
  <c r="E34" i="4" s="1"/>
  <c r="F20" i="18"/>
  <c r="F242" i="18" s="1"/>
  <c r="F34" i="4" s="1"/>
  <c r="G20" i="18"/>
  <c r="G242" i="18" s="1"/>
  <c r="G34" i="4" s="1"/>
  <c r="H20" i="18"/>
  <c r="H242" i="18" s="1"/>
  <c r="H34" i="4" s="1"/>
  <c r="I20" i="18"/>
  <c r="I242" i="18" s="1"/>
  <c r="I34" i="4" s="1"/>
  <c r="J20" i="18"/>
  <c r="J242" i="18" s="1"/>
  <c r="J34" i="4" s="1"/>
  <c r="K20" i="18"/>
  <c r="K242" i="18" s="1"/>
  <c r="K34" i="4" s="1"/>
  <c r="L20" i="18"/>
  <c r="L242" i="18" s="1"/>
  <c r="L34" i="4" s="1"/>
  <c r="M20" i="18"/>
  <c r="M242" i="18" s="1"/>
  <c r="M34" i="4" s="1"/>
  <c r="K184" i="18"/>
  <c r="K185" i="18"/>
  <c r="H184" i="18"/>
  <c r="H185" i="18"/>
  <c r="F184" i="18"/>
  <c r="F185" i="18"/>
  <c r="J87" i="22"/>
  <c r="J94" i="22" s="1"/>
  <c r="J166" i="18" s="1"/>
  <c r="E77" i="15"/>
  <c r="I77" i="15"/>
  <c r="L77" i="15"/>
  <c r="K77" i="15"/>
  <c r="F77" i="15"/>
  <c r="J77" i="15"/>
  <c r="N77" i="15"/>
  <c r="D34" i="13"/>
  <c r="E34" i="13"/>
  <c r="D77" i="20"/>
  <c r="N89" i="14"/>
  <c r="N100" i="14"/>
  <c r="L89" i="14"/>
  <c r="L100" i="14"/>
  <c r="J92" i="14"/>
  <c r="J101" i="14"/>
  <c r="H89" i="14"/>
  <c r="H100" i="14"/>
  <c r="F92" i="14"/>
  <c r="F101" i="14"/>
  <c r="D89" i="14"/>
  <c r="D100" i="14"/>
  <c r="M159" i="14"/>
  <c r="M170" i="14"/>
  <c r="K156" i="14"/>
  <c r="K169" i="14"/>
  <c r="I172" i="14"/>
  <c r="I165" i="14"/>
  <c r="G165" i="14"/>
  <c r="G172" i="14"/>
  <c r="E165" i="14"/>
  <c r="E172" i="14"/>
  <c r="G77" i="15"/>
  <c r="N92" i="14"/>
  <c r="N101" i="14"/>
  <c r="L92" i="14"/>
  <c r="L101" i="14"/>
  <c r="J89" i="14"/>
  <c r="J100" i="14"/>
  <c r="H95" i="14"/>
  <c r="H102" i="14"/>
  <c r="F95" i="14"/>
  <c r="F102" i="14"/>
  <c r="D92" i="14"/>
  <c r="D101" i="14"/>
  <c r="M172" i="14"/>
  <c r="M165" i="14"/>
  <c r="K159" i="14"/>
  <c r="K170" i="14"/>
  <c r="I162" i="14"/>
  <c r="I171" i="14"/>
  <c r="G156" i="14"/>
  <c r="G169" i="14"/>
  <c r="E169" i="14"/>
  <c r="E156" i="14"/>
  <c r="N95" i="14"/>
  <c r="N102" i="14"/>
  <c r="F89" i="14"/>
  <c r="F100" i="14"/>
  <c r="D95" i="14"/>
  <c r="D102" i="14"/>
  <c r="G171" i="14"/>
  <c r="G162" i="14"/>
  <c r="M77" i="15"/>
  <c r="N86" i="14"/>
  <c r="N99" i="14"/>
  <c r="M86" i="14"/>
  <c r="L86" i="14"/>
  <c r="L99" i="14"/>
  <c r="J86" i="14"/>
  <c r="J99" i="14"/>
  <c r="H86" i="14"/>
  <c r="H99" i="14"/>
  <c r="F86" i="14"/>
  <c r="F99" i="14"/>
  <c r="E86" i="14"/>
  <c r="D86" i="14"/>
  <c r="D99" i="14"/>
  <c r="M169" i="14"/>
  <c r="M156" i="14"/>
  <c r="K165" i="14"/>
  <c r="K172" i="14"/>
  <c r="I159" i="14"/>
  <c r="I170" i="14"/>
  <c r="G159" i="14"/>
  <c r="G170" i="14"/>
  <c r="E171" i="14"/>
  <c r="E162" i="14"/>
  <c r="L95" i="14"/>
  <c r="L102" i="14"/>
  <c r="H92" i="14"/>
  <c r="H101" i="14"/>
  <c r="M171" i="14"/>
  <c r="M162" i="14"/>
  <c r="E170" i="14"/>
  <c r="E159" i="14"/>
  <c r="M95" i="14"/>
  <c r="M102" i="14"/>
  <c r="K92" i="14"/>
  <c r="K101" i="14"/>
  <c r="I92" i="14"/>
  <c r="I101" i="14"/>
  <c r="G95" i="14"/>
  <c r="G102" i="14"/>
  <c r="E95" i="14"/>
  <c r="E102" i="14"/>
  <c r="N159" i="14"/>
  <c r="N170" i="14"/>
  <c r="L172" i="14"/>
  <c r="L165" i="14"/>
  <c r="J172" i="14"/>
  <c r="J165" i="14"/>
  <c r="H162" i="14"/>
  <c r="H171" i="14"/>
  <c r="F162" i="14"/>
  <c r="F171" i="14"/>
  <c r="D156" i="14"/>
  <c r="D169" i="14"/>
  <c r="K162" i="14"/>
  <c r="K171" i="14"/>
  <c r="M92" i="14"/>
  <c r="M101" i="14"/>
  <c r="K95" i="14"/>
  <c r="K102" i="14"/>
  <c r="I89" i="14"/>
  <c r="I100" i="14"/>
  <c r="G92" i="14"/>
  <c r="G101" i="14"/>
  <c r="E89" i="14"/>
  <c r="E100" i="14"/>
  <c r="N172" i="14"/>
  <c r="N165" i="14"/>
  <c r="L156" i="14"/>
  <c r="L169" i="14"/>
  <c r="J156" i="14"/>
  <c r="J169" i="14"/>
  <c r="H172" i="14"/>
  <c r="H165" i="14"/>
  <c r="F156" i="14"/>
  <c r="F169" i="14"/>
  <c r="D162" i="14"/>
  <c r="D171" i="14"/>
  <c r="J95" i="14"/>
  <c r="J102" i="14"/>
  <c r="H77" i="15"/>
  <c r="D77" i="15"/>
  <c r="M89" i="14"/>
  <c r="M100" i="14"/>
  <c r="K89" i="14"/>
  <c r="K100" i="14"/>
  <c r="I95" i="14"/>
  <c r="I102" i="14"/>
  <c r="G89" i="14"/>
  <c r="G100" i="14"/>
  <c r="E92" i="14"/>
  <c r="E101" i="14"/>
  <c r="N162" i="14"/>
  <c r="N171" i="14"/>
  <c r="L159" i="14"/>
  <c r="L170" i="14"/>
  <c r="J159" i="14"/>
  <c r="J170" i="14"/>
  <c r="H159" i="14"/>
  <c r="H170" i="14"/>
  <c r="F159" i="14"/>
  <c r="F170" i="14"/>
  <c r="D159" i="14"/>
  <c r="D170" i="14"/>
  <c r="I156" i="14"/>
  <c r="I169" i="14"/>
  <c r="M99" i="14"/>
  <c r="K86" i="14"/>
  <c r="K99" i="14"/>
  <c r="I86" i="14"/>
  <c r="I99" i="14"/>
  <c r="G86" i="14"/>
  <c r="G99" i="14"/>
  <c r="E99" i="14"/>
  <c r="N156" i="14"/>
  <c r="N169" i="14"/>
  <c r="L171" i="14"/>
  <c r="L162" i="14"/>
  <c r="J171" i="14"/>
  <c r="J162" i="14"/>
  <c r="H156" i="14"/>
  <c r="H169" i="14"/>
  <c r="F172" i="14"/>
  <c r="F165" i="14"/>
  <c r="D172" i="14"/>
  <c r="D165" i="14"/>
  <c r="I204" i="14"/>
  <c r="H204" i="14"/>
  <c r="J204" i="14"/>
  <c r="K204" i="14"/>
  <c r="E204" i="14"/>
  <c r="F204" i="14"/>
  <c r="D204" i="14"/>
  <c r="L204" i="14"/>
  <c r="M204" i="14"/>
  <c r="G204" i="14"/>
  <c r="D167" i="16"/>
  <c r="D169" i="16" s="1"/>
  <c r="D180" i="16" s="1"/>
  <c r="N179" i="16"/>
  <c r="N184" i="16"/>
  <c r="F164" i="16"/>
  <c r="D164" i="16"/>
  <c r="N168" i="16"/>
  <c r="E80" i="13"/>
  <c r="E124" i="12"/>
  <c r="D122" i="15"/>
  <c r="E179" i="16"/>
  <c r="E168" i="16"/>
  <c r="K179" i="16"/>
  <c r="J173" i="16"/>
  <c r="G111" i="15"/>
  <c r="G140" i="15" s="1"/>
  <c r="K172" i="16"/>
  <c r="K174" i="16" s="1"/>
  <c r="K184" i="16"/>
  <c r="G121" i="15"/>
  <c r="G122" i="15" s="1"/>
  <c r="H120" i="15"/>
  <c r="H122" i="15" s="1"/>
  <c r="I184" i="16"/>
  <c r="I173" i="16"/>
  <c r="I179" i="16"/>
  <c r="J179" i="16"/>
  <c r="G127" i="15"/>
  <c r="H126" i="15"/>
  <c r="H127" i="15" s="1"/>
  <c r="G172" i="16"/>
  <c r="J172" i="16"/>
  <c r="D156" i="12"/>
  <c r="J184" i="16"/>
  <c r="G179" i="16"/>
  <c r="E65" i="20"/>
  <c r="G184" i="16"/>
  <c r="F125" i="15"/>
  <c r="F127" i="15" s="1"/>
  <c r="D111" i="15"/>
  <c r="D136" i="15" s="1"/>
  <c r="F111" i="15"/>
  <c r="F140" i="15" s="1"/>
  <c r="H111" i="15"/>
  <c r="H140" i="15" s="1"/>
  <c r="F184" i="16"/>
  <c r="F173" i="16"/>
  <c r="F174" i="16" s="1"/>
  <c r="F156" i="12"/>
  <c r="D184" i="16"/>
  <c r="F179" i="16"/>
  <c r="D125" i="15"/>
  <c r="D126" i="15"/>
  <c r="D179" i="16"/>
  <c r="I111" i="15"/>
  <c r="I136" i="15" s="1"/>
  <c r="I127" i="15"/>
  <c r="I121" i="15"/>
  <c r="I122" i="15" s="1"/>
  <c r="E121" i="15"/>
  <c r="E122" i="15" s="1"/>
  <c r="D5" i="20"/>
  <c r="E184" i="16"/>
  <c r="E111" i="15"/>
  <c r="E136" i="15" s="1"/>
  <c r="L174" i="16"/>
  <c r="L181" i="16" s="1"/>
  <c r="K78" i="16"/>
  <c r="Y37" i="1"/>
  <c r="L140" i="15"/>
  <c r="L167" i="16"/>
  <c r="L169" i="16" s="1"/>
  <c r="L180" i="16" s="1"/>
  <c r="L164" i="16"/>
  <c r="F78" i="16"/>
  <c r="G46" i="13"/>
  <c r="N46" i="13"/>
  <c r="G68" i="12"/>
  <c r="H78" i="16"/>
  <c r="F68" i="12"/>
  <c r="E46" i="13"/>
  <c r="J100" i="12"/>
  <c r="D46" i="13"/>
  <c r="I100" i="12"/>
  <c r="E78" i="16"/>
  <c r="G78" i="16"/>
  <c r="J140" i="15"/>
  <c r="E100" i="12"/>
  <c r="K100" i="12"/>
  <c r="H100" i="12"/>
  <c r="D100" i="12"/>
  <c r="I78" i="16"/>
  <c r="N78" i="16"/>
  <c r="B53" i="20"/>
  <c r="Q10" i="2"/>
  <c r="C55" i="20" s="1"/>
  <c r="B55" i="20"/>
  <c r="M10" i="2"/>
  <c r="E48" i="20" s="1"/>
  <c r="D48" i="20"/>
  <c r="D65" i="20"/>
  <c r="C65" i="20"/>
  <c r="C13" i="5"/>
  <c r="B62" i="20"/>
  <c r="M11" i="2"/>
  <c r="E49" i="20" s="1"/>
  <c r="D49" i="20"/>
  <c r="F100" i="12"/>
  <c r="Q10" i="5"/>
  <c r="D86" i="20" s="1"/>
  <c r="B86" i="20"/>
  <c r="Q11" i="2"/>
  <c r="C56" i="20" s="1"/>
  <c r="B56" i="20"/>
  <c r="N68" i="12"/>
  <c r="L78" i="16"/>
  <c r="M9" i="2"/>
  <c r="E47" i="20" s="1"/>
  <c r="D47" i="20"/>
  <c r="E46" i="20"/>
  <c r="D46" i="20"/>
  <c r="C54" i="20"/>
  <c r="B54" i="20"/>
  <c r="C13" i="2"/>
  <c r="B34" i="20" s="1"/>
  <c r="B31" i="20"/>
  <c r="D84" i="20"/>
  <c r="B84" i="20"/>
  <c r="Q9" i="5"/>
  <c r="D85" i="20" s="1"/>
  <c r="B85" i="20"/>
  <c r="Q11" i="5"/>
  <c r="D87" i="20" s="1"/>
  <c r="B87" i="20"/>
  <c r="C19" i="10"/>
  <c r="B14" i="20" s="1"/>
  <c r="D13" i="20"/>
  <c r="J78" i="16"/>
  <c r="N108" i="16"/>
  <c r="N103" i="16"/>
  <c r="M114" i="16"/>
  <c r="M97" i="16"/>
  <c r="M119" i="16"/>
  <c r="J114" i="16"/>
  <c r="J97" i="16"/>
  <c r="J119" i="16"/>
  <c r="I103" i="16"/>
  <c r="I108" i="16"/>
  <c r="H114" i="16"/>
  <c r="H97" i="16"/>
  <c r="H119" i="16"/>
  <c r="G114" i="16"/>
  <c r="G119" i="16"/>
  <c r="G97" i="16"/>
  <c r="M108" i="16"/>
  <c r="M103" i="16"/>
  <c r="L114" i="16"/>
  <c r="L97" i="16"/>
  <c r="L119" i="16"/>
  <c r="K114" i="16"/>
  <c r="K119" i="16"/>
  <c r="K97" i="16"/>
  <c r="G108" i="16"/>
  <c r="G103" i="16"/>
  <c r="F119" i="16"/>
  <c r="F97" i="16"/>
  <c r="F114" i="16"/>
  <c r="E119" i="16"/>
  <c r="E114" i="16"/>
  <c r="E97" i="16"/>
  <c r="D114" i="16"/>
  <c r="D119" i="16"/>
  <c r="D97" i="16"/>
  <c r="D99" i="16" s="1"/>
  <c r="E251" i="18"/>
  <c r="E35" i="4" s="1"/>
  <c r="F251" i="18"/>
  <c r="F35" i="4" s="1"/>
  <c r="I251" i="18"/>
  <c r="I35" i="4" s="1"/>
  <c r="L251" i="18"/>
  <c r="L35" i="4" s="1"/>
  <c r="N119" i="16"/>
  <c r="N114" i="16"/>
  <c r="N97" i="16"/>
  <c r="M78" i="16"/>
  <c r="I97" i="16"/>
  <c r="I119" i="16"/>
  <c r="I114" i="16"/>
  <c r="H108" i="16"/>
  <c r="H103" i="16"/>
  <c r="F103" i="16"/>
  <c r="F108" i="16"/>
  <c r="D108" i="16"/>
  <c r="D103" i="16"/>
  <c r="L103" i="16"/>
  <c r="L108" i="16"/>
  <c r="K108" i="16"/>
  <c r="K103" i="16"/>
  <c r="J108" i="16"/>
  <c r="J103" i="16"/>
  <c r="E108" i="16"/>
  <c r="E103" i="16"/>
  <c r="M100" i="12"/>
  <c r="K68" i="12"/>
  <c r="H46" i="13"/>
  <c r="L100" i="12"/>
  <c r="K46" i="13"/>
  <c r="J68" i="12"/>
  <c r="L46" i="13"/>
  <c r="M68" i="12"/>
  <c r="I46" i="13"/>
  <c r="M46" i="13"/>
  <c r="M70" i="15"/>
  <c r="M61" i="15"/>
  <c r="I70" i="15"/>
  <c r="I61" i="15"/>
  <c r="I71" i="15"/>
  <c r="H70" i="15"/>
  <c r="H61" i="15"/>
  <c r="H71" i="15"/>
  <c r="G70" i="15"/>
  <c r="G61" i="15"/>
  <c r="E71" i="15"/>
  <c r="I68" i="12"/>
  <c r="J46" i="13"/>
  <c r="N70" i="15"/>
  <c r="N61" i="15"/>
  <c r="M71" i="15"/>
  <c r="L71" i="15"/>
  <c r="J71" i="15"/>
  <c r="F70" i="15"/>
  <c r="F61" i="15"/>
  <c r="D70" i="15"/>
  <c r="D61" i="15"/>
  <c r="E68" i="12"/>
  <c r="F46" i="13"/>
  <c r="K70" i="15"/>
  <c r="K61" i="15"/>
  <c r="K71" i="15"/>
  <c r="J70" i="15"/>
  <c r="J61" i="15"/>
  <c r="G71" i="15"/>
  <c r="D71" i="15"/>
  <c r="H68" i="12"/>
  <c r="L68" i="12"/>
  <c r="N71" i="15"/>
  <c r="L61" i="15"/>
  <c r="L70" i="15"/>
  <c r="F71" i="15"/>
  <c r="E70" i="15"/>
  <c r="E61" i="15"/>
  <c r="C110" i="20"/>
  <c r="C11" i="10"/>
  <c r="G100" i="12"/>
  <c r="L127" i="15" l="1"/>
  <c r="L130" i="15" s="1"/>
  <c r="M176" i="18"/>
  <c r="M32" i="4"/>
  <c r="M68" i="17"/>
  <c r="L176" i="18"/>
  <c r="L32" i="4"/>
  <c r="J176" i="18"/>
  <c r="J32" i="4"/>
  <c r="I176" i="18"/>
  <c r="I32" i="4"/>
  <c r="K130" i="15"/>
  <c r="K131" i="15" s="1"/>
  <c r="K132" i="15" s="1"/>
  <c r="K134" i="15" s="1"/>
  <c r="K138" i="15" s="1"/>
  <c r="L112" i="15"/>
  <c r="F132" i="14"/>
  <c r="G132" i="14"/>
  <c r="G135" i="14" s="1"/>
  <c r="K136" i="15"/>
  <c r="N130" i="15"/>
  <c r="N131" i="15" s="1"/>
  <c r="N132" i="15" s="1"/>
  <c r="N134" i="15" s="1"/>
  <c r="N138" i="15" s="1"/>
  <c r="M152" i="15" s="1"/>
  <c r="M153" i="15" s="1"/>
  <c r="M154" i="15" s="1"/>
  <c r="M187" i="18" s="1"/>
  <c r="K112" i="15"/>
  <c r="K140" i="15"/>
  <c r="I85" i="12"/>
  <c r="I90" i="12" s="1"/>
  <c r="E85" i="12"/>
  <c r="E90" i="12" s="1"/>
  <c r="K85" i="12"/>
  <c r="K90" i="12" s="1"/>
  <c r="D85" i="12"/>
  <c r="D90" i="12" s="1"/>
  <c r="N85" i="12"/>
  <c r="N90" i="12" s="1"/>
  <c r="J85" i="12"/>
  <c r="J90" i="12" s="1"/>
  <c r="L85" i="12"/>
  <c r="L90" i="12" s="1"/>
  <c r="G85" i="12"/>
  <c r="G90" i="12" s="1"/>
  <c r="F85" i="12"/>
  <c r="F90" i="12" s="1"/>
  <c r="H85" i="12"/>
  <c r="H90" i="12" s="1"/>
  <c r="M85" i="12"/>
  <c r="M90" i="12" s="1"/>
  <c r="N112" i="15"/>
  <c r="M130" i="15"/>
  <c r="M131" i="15" s="1"/>
  <c r="M132" i="15" s="1"/>
  <c r="M134" i="15" s="1"/>
  <c r="M138" i="15" s="1"/>
  <c r="L121" i="14"/>
  <c r="L108" i="14" s="1"/>
  <c r="L115" i="14" s="1"/>
  <c r="N164" i="16"/>
  <c r="I164" i="16"/>
  <c r="J127" i="15"/>
  <c r="J130" i="15" s="1"/>
  <c r="M112" i="15"/>
  <c r="D161" i="12"/>
  <c r="G164" i="16"/>
  <c r="I18" i="17"/>
  <c r="H91" i="18"/>
  <c r="N169" i="16"/>
  <c r="N180" i="16" s="1"/>
  <c r="D125" i="14"/>
  <c r="E172" i="16"/>
  <c r="E174" i="16" s="1"/>
  <c r="E167" i="16"/>
  <c r="E169" i="16" s="1"/>
  <c r="E180" i="16" s="1"/>
  <c r="I167" i="16"/>
  <c r="I169" i="16" s="1"/>
  <c r="I180" i="16" s="1"/>
  <c r="I174" i="16"/>
  <c r="N172" i="16"/>
  <c r="N174" i="16" s="1"/>
  <c r="M167" i="16"/>
  <c r="M169" i="16" s="1"/>
  <c r="M180" i="16" s="1"/>
  <c r="M164" i="16"/>
  <c r="M172" i="16"/>
  <c r="M174" i="16" s="1"/>
  <c r="M181" i="16" s="1"/>
  <c r="R186" i="18"/>
  <c r="K113" i="20" s="1"/>
  <c r="F95" i="13"/>
  <c r="M140" i="15"/>
  <c r="E176" i="18"/>
  <c r="E68" i="17"/>
  <c r="K176" i="18"/>
  <c r="K68" i="17"/>
  <c r="I68" i="17"/>
  <c r="J68" i="17"/>
  <c r="F68" i="17"/>
  <c r="L68" i="17"/>
  <c r="D26" i="22"/>
  <c r="D33" i="22"/>
  <c r="D24" i="22"/>
  <c r="D20" i="22"/>
  <c r="D19" i="22"/>
  <c r="E33" i="22"/>
  <c r="E19" i="22"/>
  <c r="E20" i="22"/>
  <c r="E24" i="22"/>
  <c r="E26" i="22"/>
  <c r="F19" i="22"/>
  <c r="F33" i="22"/>
  <c r="F20" i="22"/>
  <c r="F24" i="22"/>
  <c r="F26" i="22"/>
  <c r="G19" i="22"/>
  <c r="G20" i="22"/>
  <c r="G26" i="22"/>
  <c r="G33" i="22"/>
  <c r="G24" i="22"/>
  <c r="H24" i="22"/>
  <c r="I24" i="22" s="1"/>
  <c r="J24" i="22" s="1"/>
  <c r="K24" i="22" s="1"/>
  <c r="L24" i="22" s="1"/>
  <c r="M24" i="22" s="1"/>
  <c r="N24" i="22" s="1"/>
  <c r="H33" i="22"/>
  <c r="H20" i="22"/>
  <c r="I20" i="22" s="1"/>
  <c r="J20" i="22" s="1"/>
  <c r="K20" i="22" s="1"/>
  <c r="L20" i="22" s="1"/>
  <c r="M20" i="22" s="1"/>
  <c r="N20" i="22" s="1"/>
  <c r="H26" i="22"/>
  <c r="I26" i="22" s="1"/>
  <c r="J26" i="22" s="1"/>
  <c r="K26" i="22" s="1"/>
  <c r="L26" i="22" s="1"/>
  <c r="M26" i="22" s="1"/>
  <c r="N26" i="22" s="1"/>
  <c r="H19" i="22"/>
  <c r="I19" i="22" s="1"/>
  <c r="J19" i="22" s="1"/>
  <c r="K19" i="22" s="1"/>
  <c r="L19" i="22" s="1"/>
  <c r="M19" i="22" s="1"/>
  <c r="N19" i="22" s="1"/>
  <c r="I33" i="22"/>
  <c r="J33" i="22"/>
  <c r="K33" i="22"/>
  <c r="L33" i="22"/>
  <c r="M33" i="22"/>
  <c r="D68" i="17"/>
  <c r="H68" i="17"/>
  <c r="G184" i="18"/>
  <c r="G185" i="18"/>
  <c r="D242" i="18"/>
  <c r="D34" i="4" s="1"/>
  <c r="C34" i="4" s="1"/>
  <c r="P21" i="18"/>
  <c r="I12" i="20" s="1"/>
  <c r="G68" i="17"/>
  <c r="E53" i="20"/>
  <c r="M141" i="12"/>
  <c r="M146" i="12" s="1"/>
  <c r="J141" i="12"/>
  <c r="J146" i="12" s="1"/>
  <c r="H141" i="12"/>
  <c r="H146" i="12" s="1"/>
  <c r="E141" i="12"/>
  <c r="E146" i="12" s="1"/>
  <c r="K141" i="12"/>
  <c r="K146" i="12" s="1"/>
  <c r="I141" i="12"/>
  <c r="I146" i="12" s="1"/>
  <c r="G141" i="12"/>
  <c r="G146" i="12" s="1"/>
  <c r="N141" i="12"/>
  <c r="N146" i="12" s="1"/>
  <c r="F141" i="12"/>
  <c r="F146" i="12" s="1"/>
  <c r="L141" i="12"/>
  <c r="L146" i="12" s="1"/>
  <c r="D141" i="12"/>
  <c r="D146" i="12" s="1"/>
  <c r="G121" i="14"/>
  <c r="G108" i="14" s="1"/>
  <c r="G115" i="14" s="1"/>
  <c r="E125" i="14"/>
  <c r="M82" i="14"/>
  <c r="J125" i="14"/>
  <c r="E95" i="13"/>
  <c r="H191" i="14"/>
  <c r="H179" i="14" s="1"/>
  <c r="H186" i="14" s="1"/>
  <c r="M95" i="13"/>
  <c r="H11" i="12"/>
  <c r="H65" i="4" s="1"/>
  <c r="H11" i="13"/>
  <c r="H15" i="12"/>
  <c r="I191" i="14"/>
  <c r="I178" i="14" s="1"/>
  <c r="I185" i="14" s="1"/>
  <c r="D95" i="13"/>
  <c r="G95" i="13"/>
  <c r="K191" i="14"/>
  <c r="K177" i="14" s="1"/>
  <c r="K184" i="14" s="1"/>
  <c r="H95" i="13"/>
  <c r="K95" i="13"/>
  <c r="F105" i="12"/>
  <c r="J95" i="13"/>
  <c r="I95" i="13"/>
  <c r="L95" i="13"/>
  <c r="H121" i="14"/>
  <c r="H107" i="14" s="1"/>
  <c r="H114" i="14" s="1"/>
  <c r="N103" i="14"/>
  <c r="L61" i="13"/>
  <c r="E61" i="13"/>
  <c r="F61" i="13"/>
  <c r="D61" i="13"/>
  <c r="G61" i="13"/>
  <c r="H61" i="13"/>
  <c r="I61" i="13"/>
  <c r="J61" i="13"/>
  <c r="K61" i="13"/>
  <c r="M61" i="13"/>
  <c r="K125" i="14"/>
  <c r="D16" i="22"/>
  <c r="D12" i="22"/>
  <c r="E16" i="22"/>
  <c r="E12" i="22"/>
  <c r="F16" i="22"/>
  <c r="F12" i="22"/>
  <c r="G12" i="22"/>
  <c r="G16" i="22"/>
  <c r="I12" i="22"/>
  <c r="H16" i="22"/>
  <c r="H12" i="22"/>
  <c r="J12" i="22"/>
  <c r="K12" i="22"/>
  <c r="L12" i="22"/>
  <c r="M12" i="22"/>
  <c r="N12" i="22"/>
  <c r="F136" i="15"/>
  <c r="E173" i="14"/>
  <c r="F173" i="14"/>
  <c r="G195" i="14"/>
  <c r="F195" i="14"/>
  <c r="N191" i="14"/>
  <c r="D69" i="13"/>
  <c r="E69" i="13"/>
  <c r="J135" i="14"/>
  <c r="D103" i="14"/>
  <c r="M103" i="14"/>
  <c r="K202" i="14"/>
  <c r="K135" i="14"/>
  <c r="G173" i="14"/>
  <c r="M135" i="14"/>
  <c r="N173" i="14"/>
  <c r="I103" i="14"/>
  <c r="L135" i="14"/>
  <c r="J103" i="14"/>
  <c r="J173" i="14"/>
  <c r="M191" i="14"/>
  <c r="D135" i="14"/>
  <c r="I173" i="14"/>
  <c r="N121" i="14"/>
  <c r="N108" i="14" s="1"/>
  <c r="N115" i="14" s="1"/>
  <c r="H173" i="14"/>
  <c r="E103" i="14"/>
  <c r="K103" i="14"/>
  <c r="D202" i="14"/>
  <c r="E202" i="14"/>
  <c r="F202" i="14"/>
  <c r="M202" i="14"/>
  <c r="H202" i="14"/>
  <c r="G202" i="14"/>
  <c r="J202" i="14"/>
  <c r="L202" i="14"/>
  <c r="I202" i="14"/>
  <c r="M173" i="14"/>
  <c r="E135" i="14"/>
  <c r="F103" i="14"/>
  <c r="L173" i="14"/>
  <c r="D173" i="14"/>
  <c r="H135" i="14"/>
  <c r="F135" i="14"/>
  <c r="L103" i="14"/>
  <c r="K173" i="14"/>
  <c r="G103" i="14"/>
  <c r="I203" i="14"/>
  <c r="G203" i="14"/>
  <c r="K203" i="14"/>
  <c r="J203" i="14"/>
  <c r="F203" i="14"/>
  <c r="H203" i="14"/>
  <c r="D203" i="14"/>
  <c r="E203" i="14"/>
  <c r="L203" i="14"/>
  <c r="M203" i="14"/>
  <c r="M201" i="14"/>
  <c r="H201" i="14"/>
  <c r="L201" i="14"/>
  <c r="E201" i="14"/>
  <c r="I201" i="14"/>
  <c r="D201" i="14"/>
  <c r="J201" i="14"/>
  <c r="F201" i="14"/>
  <c r="G201" i="14"/>
  <c r="K201" i="14"/>
  <c r="I135" i="14"/>
  <c r="H103" i="14"/>
  <c r="D86" i="15"/>
  <c r="D90" i="15"/>
  <c r="F130" i="15"/>
  <c r="F131" i="15" s="1"/>
  <c r="F132" i="15" s="1"/>
  <c r="F134" i="15" s="1"/>
  <c r="H130" i="15"/>
  <c r="H131" i="15" s="1"/>
  <c r="H132" i="15" s="1"/>
  <c r="H134" i="15" s="1"/>
  <c r="H112" i="15"/>
  <c r="G136" i="15"/>
  <c r="G130" i="15"/>
  <c r="G131" i="15" s="1"/>
  <c r="G132" i="15" s="1"/>
  <c r="G134" i="15" s="1"/>
  <c r="G161" i="12"/>
  <c r="L161" i="12"/>
  <c r="M161" i="12"/>
  <c r="H161" i="12"/>
  <c r="I161" i="12"/>
  <c r="J161" i="12"/>
  <c r="E161" i="12"/>
  <c r="F161" i="12"/>
  <c r="K161" i="12"/>
  <c r="J164" i="16"/>
  <c r="J167" i="16"/>
  <c r="J169" i="16" s="1"/>
  <c r="J180" i="16" s="1"/>
  <c r="D127" i="15"/>
  <c r="D130" i="15" s="1"/>
  <c r="J112" i="15"/>
  <c r="E130" i="15"/>
  <c r="E131" i="15" s="1"/>
  <c r="E132" i="15" s="1"/>
  <c r="E134" i="15" s="1"/>
  <c r="E138" i="15" s="1"/>
  <c r="D152" i="15" s="1"/>
  <c r="D153" i="15" s="1"/>
  <c r="D154" i="15" s="1"/>
  <c r="D187" i="18" s="1"/>
  <c r="D18" i="14"/>
  <c r="D21" i="14"/>
  <c r="D15" i="14"/>
  <c r="D24" i="14"/>
  <c r="E24" i="14"/>
  <c r="E21" i="14"/>
  <c r="E15" i="14"/>
  <c r="E18" i="14"/>
  <c r="F18" i="14"/>
  <c r="F15" i="14"/>
  <c r="F21" i="14"/>
  <c r="F24" i="14"/>
  <c r="G15" i="14"/>
  <c r="G21" i="14"/>
  <c r="G24" i="14"/>
  <c r="G18" i="14"/>
  <c r="H21" i="14"/>
  <c r="H18" i="14"/>
  <c r="H24" i="14"/>
  <c r="H15" i="14"/>
  <c r="H29" i="14" s="1"/>
  <c r="I15" i="14"/>
  <c r="I29" i="14" s="1"/>
  <c r="I21" i="14"/>
  <c r="I24" i="14"/>
  <c r="I18" i="14"/>
  <c r="J15" i="14"/>
  <c r="J18" i="14"/>
  <c r="J21" i="14"/>
  <c r="J24" i="14"/>
  <c r="K15" i="14"/>
  <c r="K21" i="14"/>
  <c r="K18" i="14"/>
  <c r="K24" i="14"/>
  <c r="L21" i="14"/>
  <c r="L24" i="14"/>
  <c r="L18" i="14"/>
  <c r="L15" i="14"/>
  <c r="M24" i="14"/>
  <c r="M15" i="14"/>
  <c r="M21" i="14"/>
  <c r="M18" i="14"/>
  <c r="N21" i="14"/>
  <c r="N24" i="14"/>
  <c r="N18" i="14"/>
  <c r="N15" i="14"/>
  <c r="H136" i="15"/>
  <c r="G112" i="15"/>
  <c r="I112" i="15"/>
  <c r="I130" i="15"/>
  <c r="I131" i="15" s="1"/>
  <c r="I132" i="15" s="1"/>
  <c r="I134" i="15" s="1"/>
  <c r="I138" i="15" s="1"/>
  <c r="D140" i="15"/>
  <c r="D112" i="15"/>
  <c r="I140" i="15"/>
  <c r="F112" i="15"/>
  <c r="E112" i="15"/>
  <c r="E140" i="15"/>
  <c r="B6" i="20"/>
  <c r="L182" i="16"/>
  <c r="L176" i="16"/>
  <c r="F69" i="13"/>
  <c r="H103" i="13"/>
  <c r="E72" i="15"/>
  <c r="G69" i="13"/>
  <c r="E140" i="12"/>
  <c r="E145" i="12" s="1"/>
  <c r="L103" i="13"/>
  <c r="J103" i="13"/>
  <c r="J69" i="13"/>
  <c r="M140" i="12"/>
  <c r="M145" i="12" s="1"/>
  <c r="L140" i="12"/>
  <c r="H140" i="12"/>
  <c r="L84" i="12"/>
  <c r="N140" i="12"/>
  <c r="N145" i="12" s="1"/>
  <c r="F84" i="12"/>
  <c r="K84" i="12"/>
  <c r="K89" i="12" s="1"/>
  <c r="E84" i="12"/>
  <c r="E89" i="12" s="1"/>
  <c r="J84" i="12"/>
  <c r="I126" i="16"/>
  <c r="F126" i="16"/>
  <c r="G126" i="16"/>
  <c r="H126" i="16"/>
  <c r="I84" i="12"/>
  <c r="I89" i="12" s="1"/>
  <c r="K140" i="12"/>
  <c r="K69" i="13"/>
  <c r="G103" i="13"/>
  <c r="M126" i="16"/>
  <c r="H84" i="12"/>
  <c r="H86" i="12" s="1"/>
  <c r="D84" i="12"/>
  <c r="D89" i="12" s="1"/>
  <c r="J140" i="12"/>
  <c r="J145" i="12" s="1"/>
  <c r="M69" i="13"/>
  <c r="H69" i="13"/>
  <c r="F103" i="13"/>
  <c r="J126" i="16"/>
  <c r="K126" i="16"/>
  <c r="D140" i="12"/>
  <c r="I140" i="12"/>
  <c r="I145" i="12" s="1"/>
  <c r="I69" i="13"/>
  <c r="K103" i="13"/>
  <c r="I103" i="13"/>
  <c r="D126" i="16"/>
  <c r="M84" i="12"/>
  <c r="M86" i="12" s="1"/>
  <c r="N84" i="12"/>
  <c r="F140" i="12"/>
  <c r="F145" i="12" s="1"/>
  <c r="G140" i="12"/>
  <c r="G145" i="12" s="1"/>
  <c r="M103" i="13"/>
  <c r="E103" i="13"/>
  <c r="E126" i="16"/>
  <c r="G84" i="12"/>
  <c r="G89" i="12" s="1"/>
  <c r="L69" i="13"/>
  <c r="D103" i="13"/>
  <c r="C10" i="7"/>
  <c r="B111" i="20" s="1"/>
  <c r="C111" i="20"/>
  <c r="B65" i="20"/>
  <c r="L126" i="16"/>
  <c r="N99" i="16"/>
  <c r="N102" i="16"/>
  <c r="N104" i="16" s="1"/>
  <c r="N115" i="16" s="1"/>
  <c r="N107" i="16"/>
  <c r="N109" i="16" s="1"/>
  <c r="N116" i="16" s="1"/>
  <c r="D251" i="18"/>
  <c r="D35" i="4" s="1"/>
  <c r="C35" i="4" s="1"/>
  <c r="P28" i="18"/>
  <c r="I19" i="20" s="1"/>
  <c r="E99" i="16"/>
  <c r="E107" i="16"/>
  <c r="E109" i="16" s="1"/>
  <c r="E116" i="16" s="1"/>
  <c r="E102" i="16"/>
  <c r="E104" i="16" s="1"/>
  <c r="E115" i="16" s="1"/>
  <c r="F99" i="16"/>
  <c r="F107" i="16"/>
  <c r="F109" i="16" s="1"/>
  <c r="F116" i="16" s="1"/>
  <c r="F102" i="16"/>
  <c r="F104" i="16" s="1"/>
  <c r="F115" i="16" s="1"/>
  <c r="K99" i="16"/>
  <c r="K102" i="16"/>
  <c r="K104" i="16" s="1"/>
  <c r="K115" i="16" s="1"/>
  <c r="K107" i="16"/>
  <c r="K109" i="16" s="1"/>
  <c r="K116" i="16" s="1"/>
  <c r="L99" i="16"/>
  <c r="L102" i="16"/>
  <c r="L104" i="16" s="1"/>
  <c r="L115" i="16" s="1"/>
  <c r="L107" i="16"/>
  <c r="L109" i="16" s="1"/>
  <c r="L116" i="16" s="1"/>
  <c r="G99" i="16"/>
  <c r="G102" i="16"/>
  <c r="G104" i="16" s="1"/>
  <c r="G115" i="16" s="1"/>
  <c r="G107" i="16"/>
  <c r="G109" i="16" s="1"/>
  <c r="G116" i="16" s="1"/>
  <c r="H99" i="16"/>
  <c r="H102" i="16"/>
  <c r="H104" i="16" s="1"/>
  <c r="H115" i="16" s="1"/>
  <c r="H107" i="16"/>
  <c r="H109" i="16" s="1"/>
  <c r="H116" i="16" s="1"/>
  <c r="M102" i="16"/>
  <c r="M104" i="16" s="1"/>
  <c r="M99" i="16"/>
  <c r="M107" i="16"/>
  <c r="M109" i="16" s="1"/>
  <c r="M116" i="16" s="1"/>
  <c r="J99" i="16"/>
  <c r="J107" i="16"/>
  <c r="J109" i="16" s="1"/>
  <c r="J116" i="16" s="1"/>
  <c r="J102" i="16"/>
  <c r="J104" i="16" s="1"/>
  <c r="J115" i="16" s="1"/>
  <c r="I107" i="16"/>
  <c r="I109" i="16" s="1"/>
  <c r="I116" i="16" s="1"/>
  <c r="I102" i="16"/>
  <c r="I104" i="16" s="1"/>
  <c r="I115" i="16" s="1"/>
  <c r="I99" i="16"/>
  <c r="D16" i="16"/>
  <c r="D16" i="15"/>
  <c r="D17" i="16"/>
  <c r="D33" i="16" s="1"/>
  <c r="D12" i="16"/>
  <c r="D62" i="4"/>
  <c r="D15" i="15"/>
  <c r="E12" i="16"/>
  <c r="E17" i="16"/>
  <c r="E33" i="16" s="1"/>
  <c r="E62" i="4"/>
  <c r="E16" i="16"/>
  <c r="E16" i="15"/>
  <c r="E15" i="15"/>
  <c r="F12" i="16"/>
  <c r="F17" i="16"/>
  <c r="F33" i="16" s="1"/>
  <c r="F62" i="4"/>
  <c r="F16" i="15"/>
  <c r="F16" i="16"/>
  <c r="F15" i="15"/>
  <c r="G16" i="15"/>
  <c r="G17" i="16"/>
  <c r="G33" i="16" s="1"/>
  <c r="G62" i="4"/>
  <c r="G12" i="16"/>
  <c r="G15" i="15"/>
  <c r="G16" i="16"/>
  <c r="H15" i="15"/>
  <c r="H16" i="16"/>
  <c r="H16" i="15"/>
  <c r="H17" i="16"/>
  <c r="H33" i="16" s="1"/>
  <c r="H62" i="4"/>
  <c r="H12" i="16"/>
  <c r="I62" i="4"/>
  <c r="I16" i="15"/>
  <c r="I15" i="15"/>
  <c r="I12" i="16"/>
  <c r="I17" i="16"/>
  <c r="I33" i="16" s="1"/>
  <c r="I16" i="16"/>
  <c r="J15" i="15"/>
  <c r="J73" i="4"/>
  <c r="J12" i="16"/>
  <c r="J17" i="16"/>
  <c r="J33" i="16" s="1"/>
  <c r="J62" i="4"/>
  <c r="J16" i="15"/>
  <c r="J16" i="16"/>
  <c r="D18" i="13"/>
  <c r="D22" i="13"/>
  <c r="D22" i="12"/>
  <c r="D15" i="12"/>
  <c r="K15" i="15"/>
  <c r="K12" i="16"/>
  <c r="D15" i="13"/>
  <c r="D23" i="13"/>
  <c r="K62" i="4"/>
  <c r="D16" i="12"/>
  <c r="K16" i="16"/>
  <c r="D21" i="13"/>
  <c r="D11" i="13"/>
  <c r="D66" i="4" s="1"/>
  <c r="D17" i="13"/>
  <c r="D23" i="12"/>
  <c r="D18" i="12"/>
  <c r="K16" i="15"/>
  <c r="D24" i="13"/>
  <c r="D16" i="13"/>
  <c r="D24" i="12"/>
  <c r="D17" i="12"/>
  <c r="D11" i="12"/>
  <c r="D65" i="4" s="1"/>
  <c r="D21" i="12"/>
  <c r="K17" i="16"/>
  <c r="K33" i="16" s="1"/>
  <c r="E22" i="12"/>
  <c r="E17" i="12"/>
  <c r="E23" i="13"/>
  <c r="E17" i="13"/>
  <c r="L16" i="16"/>
  <c r="L15" i="15"/>
  <c r="E21" i="12"/>
  <c r="E16" i="12"/>
  <c r="E22" i="13"/>
  <c r="E16" i="13"/>
  <c r="E18" i="13"/>
  <c r="L17" i="16"/>
  <c r="L33" i="16" s="1"/>
  <c r="E24" i="12"/>
  <c r="E18" i="12"/>
  <c r="E15" i="12"/>
  <c r="L62" i="4"/>
  <c r="E24" i="13"/>
  <c r="L12" i="16"/>
  <c r="L16" i="15"/>
  <c r="E11" i="12"/>
  <c r="E65" i="4" s="1"/>
  <c r="E23" i="12"/>
  <c r="E21" i="13"/>
  <c r="E15" i="13"/>
  <c r="E11" i="13"/>
  <c r="E66" i="4" s="1"/>
  <c r="F24" i="12"/>
  <c r="F18" i="12"/>
  <c r="F23" i="13"/>
  <c r="F22" i="12"/>
  <c r="F23" i="12"/>
  <c r="F11" i="12"/>
  <c r="F65" i="4" s="1"/>
  <c r="F22" i="13"/>
  <c r="F21" i="13"/>
  <c r="F17" i="13"/>
  <c r="F15" i="13"/>
  <c r="F21" i="12"/>
  <c r="F16" i="12"/>
  <c r="F17" i="12"/>
  <c r="F24" i="13"/>
  <c r="F16" i="13"/>
  <c r="M12" i="16"/>
  <c r="M17" i="16"/>
  <c r="M33" i="16" s="1"/>
  <c r="M62" i="4"/>
  <c r="F15" i="12"/>
  <c r="M16" i="15"/>
  <c r="M15" i="15"/>
  <c r="F18" i="13"/>
  <c r="F11" i="13"/>
  <c r="F66" i="4" s="1"/>
  <c r="M16" i="16"/>
  <c r="N62" i="4"/>
  <c r="G23" i="13"/>
  <c r="G15" i="13"/>
  <c r="N16" i="16"/>
  <c r="G16" i="12"/>
  <c r="G18" i="12"/>
  <c r="N16" i="15"/>
  <c r="G21" i="13"/>
  <c r="G22" i="13"/>
  <c r="G16" i="13"/>
  <c r="G24" i="12"/>
  <c r="G21" i="12"/>
  <c r="G11" i="12"/>
  <c r="G65" i="4" s="1"/>
  <c r="G24" i="13"/>
  <c r="G11" i="13"/>
  <c r="G66" i="4" s="1"/>
  <c r="N12" i="16"/>
  <c r="N17" i="16"/>
  <c r="N33" i="16" s="1"/>
  <c r="G23" i="12"/>
  <c r="G15" i="12"/>
  <c r="N15" i="15"/>
  <c r="G18" i="13"/>
  <c r="G17" i="13"/>
  <c r="G22" i="12"/>
  <c r="G17" i="12"/>
  <c r="H21" i="13"/>
  <c r="H16" i="12"/>
  <c r="H24" i="13"/>
  <c r="H17" i="13"/>
  <c r="H18" i="12"/>
  <c r="H21" i="12"/>
  <c r="H18" i="13"/>
  <c r="H22" i="13"/>
  <c r="H23" i="13"/>
  <c r="H23" i="12"/>
  <c r="H15" i="13"/>
  <c r="H16" i="13"/>
  <c r="H24" i="12"/>
  <c r="H17" i="12"/>
  <c r="H22" i="12"/>
  <c r="I24" i="12"/>
  <c r="I23" i="12"/>
  <c r="I21" i="13"/>
  <c r="I18" i="13"/>
  <c r="I18" i="12"/>
  <c r="I21" i="12"/>
  <c r="I22" i="12"/>
  <c r="I23" i="13"/>
  <c r="I17" i="13"/>
  <c r="I11" i="12"/>
  <c r="I65" i="4" s="1"/>
  <c r="I15" i="12"/>
  <c r="I16" i="12"/>
  <c r="I22" i="13"/>
  <c r="I16" i="13"/>
  <c r="I24" i="13"/>
  <c r="I17" i="12"/>
  <c r="I15" i="13"/>
  <c r="I11" i="13"/>
  <c r="I66" i="4" s="1"/>
  <c r="J21" i="12"/>
  <c r="J22" i="12"/>
  <c r="J11" i="12"/>
  <c r="J65" i="4" s="1"/>
  <c r="J22" i="13"/>
  <c r="J15" i="12"/>
  <c r="J16" i="12"/>
  <c r="J24" i="13"/>
  <c r="J16" i="13"/>
  <c r="J11" i="13"/>
  <c r="J66" i="4" s="1"/>
  <c r="J23" i="12"/>
  <c r="J17" i="12"/>
  <c r="J18" i="13"/>
  <c r="J21" i="13"/>
  <c r="J24" i="12"/>
  <c r="J18" i="12"/>
  <c r="J23" i="13"/>
  <c r="J17" i="13"/>
  <c r="J15" i="13"/>
  <c r="K21" i="13"/>
  <c r="K11" i="13"/>
  <c r="K66" i="4" s="1"/>
  <c r="K16" i="13"/>
  <c r="K24" i="12"/>
  <c r="K15" i="12"/>
  <c r="K24" i="13"/>
  <c r="K17" i="12"/>
  <c r="K18" i="12"/>
  <c r="K23" i="13"/>
  <c r="K18" i="13"/>
  <c r="K22" i="13"/>
  <c r="K22" i="12"/>
  <c r="K11" i="12"/>
  <c r="K65" i="4" s="1"/>
  <c r="K17" i="13"/>
  <c r="K15" i="13"/>
  <c r="K23" i="12"/>
  <c r="K16" i="12"/>
  <c r="K21" i="12"/>
  <c r="L18" i="12"/>
  <c r="L16" i="12"/>
  <c r="L11" i="12"/>
  <c r="L65" i="4" s="1"/>
  <c r="L21" i="13"/>
  <c r="L17" i="13"/>
  <c r="L23" i="13"/>
  <c r="L23" i="12"/>
  <c r="L17" i="12"/>
  <c r="L21" i="12"/>
  <c r="L24" i="13"/>
  <c r="L11" i="13"/>
  <c r="L66" i="4" s="1"/>
  <c r="L15" i="13"/>
  <c r="L24" i="12"/>
  <c r="L22" i="12"/>
  <c r="L15" i="12"/>
  <c r="L18" i="13"/>
  <c r="L22" i="13"/>
  <c r="L16" i="13"/>
  <c r="M24" i="12"/>
  <c r="M18" i="12"/>
  <c r="M15" i="12"/>
  <c r="M22" i="12"/>
  <c r="M21" i="13"/>
  <c r="M16" i="13"/>
  <c r="M11" i="13"/>
  <c r="M66" i="4" s="1"/>
  <c r="M11" i="12"/>
  <c r="M65" i="4" s="1"/>
  <c r="M23" i="12"/>
  <c r="M16" i="12"/>
  <c r="M23" i="13"/>
  <c r="M15" i="13"/>
  <c r="M17" i="12"/>
  <c r="M22" i="13"/>
  <c r="M17" i="13"/>
  <c r="M24" i="13"/>
  <c r="M21" i="12"/>
  <c r="M18" i="13"/>
  <c r="N21" i="12"/>
  <c r="N16" i="12"/>
  <c r="N18" i="12"/>
  <c r="N18" i="13"/>
  <c r="N23" i="13"/>
  <c r="N21" i="13"/>
  <c r="N24" i="13"/>
  <c r="N23" i="12"/>
  <c r="N15" i="12"/>
  <c r="N11" i="12"/>
  <c r="N65" i="4" s="1"/>
  <c r="N16" i="13"/>
  <c r="N17" i="12"/>
  <c r="N17" i="13"/>
  <c r="N11" i="13"/>
  <c r="N66" i="4" s="1"/>
  <c r="N24" i="12"/>
  <c r="N22" i="12"/>
  <c r="N22" i="13"/>
  <c r="N15" i="13"/>
  <c r="J105" i="12"/>
  <c r="D107" i="16"/>
  <c r="D109" i="16" s="1"/>
  <c r="D116" i="16" s="1"/>
  <c r="D102" i="16"/>
  <c r="D104" i="16" s="1"/>
  <c r="D105" i="12"/>
  <c r="I105" i="12"/>
  <c r="H105" i="12"/>
  <c r="M105" i="12"/>
  <c r="G105" i="12"/>
  <c r="L105" i="12"/>
  <c r="K105" i="12"/>
  <c r="E105" i="12"/>
  <c r="L72" i="15"/>
  <c r="J72" i="15"/>
  <c r="K176" i="16"/>
  <c r="K181" i="16"/>
  <c r="K182" i="16" s="1"/>
  <c r="H176" i="16"/>
  <c r="H181" i="16"/>
  <c r="H182" i="16" s="1"/>
  <c r="I176" i="16"/>
  <c r="I181" i="16"/>
  <c r="I182" i="16" s="1"/>
  <c r="F176" i="16"/>
  <c r="F181" i="16"/>
  <c r="F182" i="16" s="1"/>
  <c r="N181" i="16"/>
  <c r="E181" i="16"/>
  <c r="I72" i="15"/>
  <c r="K72" i="15"/>
  <c r="E86" i="15"/>
  <c r="E90" i="15"/>
  <c r="E62" i="15"/>
  <c r="L86" i="15"/>
  <c r="L62" i="15"/>
  <c r="L90" i="15"/>
  <c r="D72" i="15"/>
  <c r="F62" i="15"/>
  <c r="F90" i="15"/>
  <c r="F86" i="15"/>
  <c r="N62" i="15"/>
  <c r="N86" i="15"/>
  <c r="M62" i="15"/>
  <c r="M86" i="15"/>
  <c r="M90" i="15"/>
  <c r="J62" i="15"/>
  <c r="J90" i="15"/>
  <c r="J86" i="15"/>
  <c r="K86" i="15"/>
  <c r="K62" i="15"/>
  <c r="K90" i="15"/>
  <c r="N72" i="15"/>
  <c r="G72" i="15"/>
  <c r="H86" i="15"/>
  <c r="H62" i="15"/>
  <c r="H90" i="15"/>
  <c r="G174" i="16"/>
  <c r="F72" i="15"/>
  <c r="H72" i="15"/>
  <c r="I62" i="15"/>
  <c r="I86" i="15"/>
  <c r="I90" i="15"/>
  <c r="M72" i="15"/>
  <c r="J174" i="16"/>
  <c r="D62" i="15"/>
  <c r="D174" i="16"/>
  <c r="G90" i="15"/>
  <c r="G62" i="15"/>
  <c r="G86" i="15"/>
  <c r="C9" i="7"/>
  <c r="C112" i="20"/>
  <c r="E11" i="10"/>
  <c r="L131" i="15" l="1"/>
  <c r="L132" i="15" s="1"/>
  <c r="L134" i="15" s="1"/>
  <c r="L138" i="15" s="1"/>
  <c r="D142" i="12"/>
  <c r="H142" i="12"/>
  <c r="H125" i="14"/>
  <c r="E121" i="14"/>
  <c r="E109" i="14" s="1"/>
  <c r="E116" i="14" s="1"/>
  <c r="L125" i="14"/>
  <c r="N176" i="16"/>
  <c r="D121" i="14"/>
  <c r="D108" i="14" s="1"/>
  <c r="D115" i="14" s="1"/>
  <c r="F82" i="14"/>
  <c r="E82" i="14"/>
  <c r="J86" i="12"/>
  <c r="F86" i="12"/>
  <c r="N86" i="12"/>
  <c r="N182" i="16"/>
  <c r="K142" i="15"/>
  <c r="K163" i="18" s="1"/>
  <c r="L86" i="12"/>
  <c r="K142" i="12"/>
  <c r="J131" i="15"/>
  <c r="J132" i="15" s="1"/>
  <c r="J134" i="15" s="1"/>
  <c r="J138" i="15" s="1"/>
  <c r="J142" i="15" s="1"/>
  <c r="J163" i="18" s="1"/>
  <c r="J18" i="17"/>
  <c r="I91" i="18"/>
  <c r="I82" i="14"/>
  <c r="M125" i="14"/>
  <c r="M121" i="14"/>
  <c r="M109" i="14" s="1"/>
  <c r="M116" i="14" s="1"/>
  <c r="N195" i="14"/>
  <c r="M182" i="16"/>
  <c r="N82" i="14"/>
  <c r="M176" i="16"/>
  <c r="K137" i="14"/>
  <c r="I136" i="14"/>
  <c r="L137" i="14"/>
  <c r="J136" i="14"/>
  <c r="D137" i="14"/>
  <c r="E137" i="14"/>
  <c r="M137" i="14"/>
  <c r="K136" i="14"/>
  <c r="L136" i="14"/>
  <c r="F137" i="14"/>
  <c r="G137" i="14"/>
  <c r="E136" i="14"/>
  <c r="M136" i="14"/>
  <c r="H137" i="14"/>
  <c r="F136" i="14"/>
  <c r="D136" i="14"/>
  <c r="I137" i="14"/>
  <c r="G136" i="14"/>
  <c r="J137" i="14"/>
  <c r="H136" i="14"/>
  <c r="F121" i="14"/>
  <c r="F108" i="14" s="1"/>
  <c r="F115" i="14" s="1"/>
  <c r="G191" i="14"/>
  <c r="G179" i="14" s="1"/>
  <c r="G186" i="14" s="1"/>
  <c r="H152" i="14"/>
  <c r="C69" i="17"/>
  <c r="H195" i="14"/>
  <c r="L142" i="12"/>
  <c r="K195" i="14"/>
  <c r="D131" i="15"/>
  <c r="D132" i="15" s="1"/>
  <c r="D134" i="15" s="1"/>
  <c r="D138" i="15" s="1"/>
  <c r="D142" i="15" s="1"/>
  <c r="D163" i="18" s="1"/>
  <c r="K152" i="14"/>
  <c r="P175" i="18"/>
  <c r="I102" i="20" s="1"/>
  <c r="H82" i="14"/>
  <c r="H12" i="13"/>
  <c r="G82" i="14"/>
  <c r="F125" i="14"/>
  <c r="H176" i="14"/>
  <c r="H183" i="14" s="1"/>
  <c r="G125" i="14"/>
  <c r="J121" i="14"/>
  <c r="J107" i="14" s="1"/>
  <c r="J114" i="14" s="1"/>
  <c r="K82" i="14"/>
  <c r="L82" i="14"/>
  <c r="K121" i="14"/>
  <c r="K109" i="14" s="1"/>
  <c r="K116" i="14" s="1"/>
  <c r="I16" i="22"/>
  <c r="N179" i="14"/>
  <c r="N186" i="14" s="1"/>
  <c r="N176" i="14"/>
  <c r="N183" i="14" s="1"/>
  <c r="N152" i="14"/>
  <c r="H28" i="12"/>
  <c r="J82" i="14"/>
  <c r="H66" i="4"/>
  <c r="I152" i="14"/>
  <c r="I125" i="14"/>
  <c r="I195" i="14"/>
  <c r="I121" i="14"/>
  <c r="I107" i="14" s="1"/>
  <c r="I114" i="14" s="1"/>
  <c r="F138" i="15"/>
  <c r="F142" i="15" s="1"/>
  <c r="F163" i="18" s="1"/>
  <c r="G152" i="14"/>
  <c r="H108" i="14"/>
  <c r="H115" i="14" s="1"/>
  <c r="F152" i="14"/>
  <c r="H106" i="14"/>
  <c r="H113" i="14" s="1"/>
  <c r="E106" i="14"/>
  <c r="E113" i="14" s="1"/>
  <c r="K179" i="14"/>
  <c r="K186" i="14" s="1"/>
  <c r="N178" i="14"/>
  <c r="N185" i="14" s="1"/>
  <c r="F191" i="14"/>
  <c r="F178" i="14" s="1"/>
  <c r="F185" i="14" s="1"/>
  <c r="N177" i="14"/>
  <c r="N184" i="14" s="1"/>
  <c r="H177" i="14"/>
  <c r="H184" i="14" s="1"/>
  <c r="G107" i="14"/>
  <c r="G114" i="14" s="1"/>
  <c r="K205" i="14"/>
  <c r="G205" i="14"/>
  <c r="K176" i="14"/>
  <c r="K183" i="14" s="1"/>
  <c r="K178" i="14"/>
  <c r="K185" i="14" s="1"/>
  <c r="J35" i="13"/>
  <c r="I35" i="13"/>
  <c r="G35" i="13"/>
  <c r="L35" i="13"/>
  <c r="D35" i="13"/>
  <c r="M35" i="13"/>
  <c r="K35" i="13"/>
  <c r="E35" i="13"/>
  <c r="H35" i="13"/>
  <c r="F35" i="13"/>
  <c r="H70" i="13"/>
  <c r="H71" i="13" s="1"/>
  <c r="H72" i="13" s="1"/>
  <c r="H110" i="18" s="1"/>
  <c r="L191" i="14"/>
  <c r="L177" i="14" s="1"/>
  <c r="L184" i="14" s="1"/>
  <c r="L195" i="14"/>
  <c r="L152" i="14"/>
  <c r="E182" i="16"/>
  <c r="L205" i="14"/>
  <c r="E176" i="16"/>
  <c r="E205" i="14"/>
  <c r="L107" i="14"/>
  <c r="L114" i="14" s="1"/>
  <c r="H109" i="14"/>
  <c r="H116" i="14" s="1"/>
  <c r="D205" i="14"/>
  <c r="H178" i="14"/>
  <c r="H185" i="14" s="1"/>
  <c r="L109" i="14"/>
  <c r="L116" i="14" s="1"/>
  <c r="I176" i="14"/>
  <c r="I183" i="14" s="1"/>
  <c r="J205" i="14"/>
  <c r="F80" i="15"/>
  <c r="F81" i="15" s="1"/>
  <c r="F82" i="15" s="1"/>
  <c r="F84" i="15" s="1"/>
  <c r="H205" i="14"/>
  <c r="L106" i="14"/>
  <c r="N106" i="14"/>
  <c r="M152" i="14"/>
  <c r="M195" i="14"/>
  <c r="M179" i="14"/>
  <c r="M186" i="14" s="1"/>
  <c r="I179" i="14"/>
  <c r="I186" i="14" s="1"/>
  <c r="E80" i="15"/>
  <c r="M205" i="14"/>
  <c r="F205" i="14"/>
  <c r="J195" i="14"/>
  <c r="J191" i="14"/>
  <c r="J179" i="14" s="1"/>
  <c r="J186" i="14" s="1"/>
  <c r="J152" i="14"/>
  <c r="N109" i="14"/>
  <c r="N116" i="14" s="1"/>
  <c r="G109" i="14"/>
  <c r="G116" i="14" s="1"/>
  <c r="I177" i="14"/>
  <c r="I184" i="14" s="1"/>
  <c r="D80" i="15"/>
  <c r="D81" i="15" s="1"/>
  <c r="G138" i="15"/>
  <c r="F152" i="15" s="1"/>
  <c r="F153" i="15" s="1"/>
  <c r="F154" i="15" s="1"/>
  <c r="F187" i="18" s="1"/>
  <c r="E195" i="14"/>
  <c r="E191" i="14"/>
  <c r="E177" i="14" s="1"/>
  <c r="E184" i="14" s="1"/>
  <c r="E152" i="14"/>
  <c r="D195" i="14"/>
  <c r="D191" i="14"/>
  <c r="D176" i="14" s="1"/>
  <c r="D152" i="14"/>
  <c r="I205" i="14"/>
  <c r="N107" i="14"/>
  <c r="N114" i="14" s="1"/>
  <c r="G106" i="14"/>
  <c r="H80" i="15"/>
  <c r="H81" i="15" s="1"/>
  <c r="G80" i="15"/>
  <c r="G81" i="15" s="1"/>
  <c r="G82" i="15" s="1"/>
  <c r="K80" i="15"/>
  <c r="K81" i="15" s="1"/>
  <c r="K82" i="15" s="1"/>
  <c r="K84" i="15" s="1"/>
  <c r="J80" i="15"/>
  <c r="J81" i="15" s="1"/>
  <c r="J82" i="15" s="1"/>
  <c r="J84" i="15" s="1"/>
  <c r="N80" i="15"/>
  <c r="N81" i="15" s="1"/>
  <c r="I80" i="15"/>
  <c r="I81" i="15" s="1"/>
  <c r="I82" i="15" s="1"/>
  <c r="L80" i="15"/>
  <c r="L81" i="15" s="1"/>
  <c r="L82" i="15" s="1"/>
  <c r="D95" i="15"/>
  <c r="M80" i="15"/>
  <c r="M81" i="15" s="1"/>
  <c r="M82" i="15" s="1"/>
  <c r="M84" i="15" s="1"/>
  <c r="H138" i="15"/>
  <c r="H142" i="15" s="1"/>
  <c r="H163" i="18" s="1"/>
  <c r="F96" i="13"/>
  <c r="G96" i="13"/>
  <c r="K96" i="13"/>
  <c r="J96" i="13"/>
  <c r="M96" i="13"/>
  <c r="J97" i="13"/>
  <c r="F97" i="13"/>
  <c r="L97" i="13"/>
  <c r="E96" i="13"/>
  <c r="M97" i="13"/>
  <c r="H96" i="13"/>
  <c r="E97" i="13"/>
  <c r="K97" i="13"/>
  <c r="I96" i="13"/>
  <c r="H97" i="13"/>
  <c r="L96" i="13"/>
  <c r="D96" i="13"/>
  <c r="G97" i="13"/>
  <c r="G98" i="13" s="1"/>
  <c r="G99" i="13" s="1"/>
  <c r="G172" i="18" s="1"/>
  <c r="D97" i="13"/>
  <c r="I97" i="13"/>
  <c r="G162" i="12"/>
  <c r="F163" i="12"/>
  <c r="K163" i="12"/>
  <c r="H162" i="12"/>
  <c r="E163" i="12"/>
  <c r="M163" i="12"/>
  <c r="K162" i="12"/>
  <c r="J162" i="12"/>
  <c r="E162" i="12"/>
  <c r="D162" i="12"/>
  <c r="I162" i="12"/>
  <c r="J163" i="12"/>
  <c r="H163" i="12"/>
  <c r="D163" i="12"/>
  <c r="I163" i="12"/>
  <c r="F162" i="12"/>
  <c r="L162" i="12"/>
  <c r="M162" i="12"/>
  <c r="L163" i="12"/>
  <c r="G163" i="12"/>
  <c r="E142" i="15"/>
  <c r="E163" i="18" s="1"/>
  <c r="I142" i="15"/>
  <c r="I163" i="18" s="1"/>
  <c r="F32" i="14"/>
  <c r="N30" i="14"/>
  <c r="L30" i="14"/>
  <c r="J31" i="14"/>
  <c r="H32" i="14"/>
  <c r="F31" i="14"/>
  <c r="N32" i="14"/>
  <c r="L32" i="14"/>
  <c r="J30" i="14"/>
  <c r="H30" i="14"/>
  <c r="D22" i="14"/>
  <c r="N31" i="14"/>
  <c r="L31" i="14"/>
  <c r="H31" i="14"/>
  <c r="F30" i="14"/>
  <c r="D19" i="14"/>
  <c r="D31" i="14"/>
  <c r="N22" i="14"/>
  <c r="K32" i="14"/>
  <c r="K25" i="14"/>
  <c r="I32" i="14"/>
  <c r="I25" i="14"/>
  <c r="G32" i="14"/>
  <c r="G25" i="14"/>
  <c r="M32" i="14"/>
  <c r="M25" i="14"/>
  <c r="J32" i="14"/>
  <c r="J25" i="14"/>
  <c r="F25" i="14"/>
  <c r="D32" i="14"/>
  <c r="D25" i="14"/>
  <c r="H25" i="14"/>
  <c r="N25" i="14"/>
  <c r="L25" i="14"/>
  <c r="E32" i="14"/>
  <c r="E25" i="14"/>
  <c r="M31" i="14"/>
  <c r="M22" i="14"/>
  <c r="K31" i="14"/>
  <c r="K22" i="14"/>
  <c r="I31" i="14"/>
  <c r="I22" i="14"/>
  <c r="G31" i="14"/>
  <c r="G22" i="14"/>
  <c r="E31" i="14"/>
  <c r="E22" i="14"/>
  <c r="J22" i="14"/>
  <c r="F22" i="14"/>
  <c r="D30" i="14"/>
  <c r="L22" i="14"/>
  <c r="H22" i="14"/>
  <c r="M30" i="14"/>
  <c r="M19" i="14"/>
  <c r="I30" i="14"/>
  <c r="I19" i="14"/>
  <c r="G30" i="14"/>
  <c r="G19" i="14"/>
  <c r="E30" i="14"/>
  <c r="E19" i="14"/>
  <c r="K30" i="14"/>
  <c r="K19" i="14"/>
  <c r="N19" i="14"/>
  <c r="L19" i="14"/>
  <c r="J19" i="14"/>
  <c r="H19" i="14"/>
  <c r="F19" i="14"/>
  <c r="E11" i="14"/>
  <c r="E16" i="14"/>
  <c r="K16" i="14"/>
  <c r="K11" i="14"/>
  <c r="N16" i="14"/>
  <c r="N11" i="14"/>
  <c r="L11" i="14"/>
  <c r="L16" i="14"/>
  <c r="H11" i="14"/>
  <c r="H16" i="14"/>
  <c r="D16" i="14"/>
  <c r="D11" i="14"/>
  <c r="M11" i="14"/>
  <c r="M16" i="14"/>
  <c r="I11" i="14"/>
  <c r="I16" i="14"/>
  <c r="F16" i="14"/>
  <c r="F11" i="14"/>
  <c r="G11" i="14"/>
  <c r="G16" i="14"/>
  <c r="J16" i="14"/>
  <c r="J11" i="14"/>
  <c r="E28" i="12"/>
  <c r="E29" i="14"/>
  <c r="M29" i="14"/>
  <c r="G29" i="14"/>
  <c r="N29" i="14"/>
  <c r="L29" i="14"/>
  <c r="F29" i="14"/>
  <c r="J29" i="14"/>
  <c r="K29" i="14"/>
  <c r="E145" i="15"/>
  <c r="D29" i="14"/>
  <c r="I145" i="15"/>
  <c r="G145" i="15"/>
  <c r="L145" i="15"/>
  <c r="D145" i="15"/>
  <c r="M145" i="15"/>
  <c r="F145" i="15"/>
  <c r="J145" i="15"/>
  <c r="K145" i="15"/>
  <c r="H145" i="15"/>
  <c r="J61" i="4"/>
  <c r="L186" i="16"/>
  <c r="L188" i="16" s="1"/>
  <c r="L164" i="18" s="1"/>
  <c r="E142" i="12"/>
  <c r="E147" i="12" s="1"/>
  <c r="E148" i="12" s="1"/>
  <c r="E150" i="12" s="1"/>
  <c r="E152" i="12" s="1"/>
  <c r="E154" i="12" s="1"/>
  <c r="J152" i="15"/>
  <c r="J153" i="15" s="1"/>
  <c r="J154" i="15" s="1"/>
  <c r="J187" i="18" s="1"/>
  <c r="M142" i="12"/>
  <c r="H145" i="12"/>
  <c r="H89" i="12"/>
  <c r="M89" i="12"/>
  <c r="L145" i="12"/>
  <c r="N142" i="12"/>
  <c r="L89" i="12"/>
  <c r="M58" i="4"/>
  <c r="N89" i="12"/>
  <c r="K86" i="12"/>
  <c r="F89" i="12"/>
  <c r="J89" i="12"/>
  <c r="I86" i="12"/>
  <c r="F57" i="4"/>
  <c r="F142" i="12"/>
  <c r="E86" i="12"/>
  <c r="I61" i="4"/>
  <c r="M61" i="4"/>
  <c r="J142" i="12"/>
  <c r="I127" i="16"/>
  <c r="G117" i="16"/>
  <c r="I142" i="12"/>
  <c r="I147" i="12" s="1"/>
  <c r="I148" i="12" s="1"/>
  <c r="I150" i="12" s="1"/>
  <c r="I152" i="12" s="1"/>
  <c r="I154" i="12" s="1"/>
  <c r="I158" i="12" s="1"/>
  <c r="I161" i="18" s="1"/>
  <c r="K145" i="12"/>
  <c r="F61" i="4"/>
  <c r="L128" i="16"/>
  <c r="G61" i="4"/>
  <c r="H104" i="13"/>
  <c r="H105" i="13" s="1"/>
  <c r="H106" i="13" s="1"/>
  <c r="E70" i="13"/>
  <c r="E71" i="13" s="1"/>
  <c r="E72" i="13" s="1"/>
  <c r="E110" i="18" s="1"/>
  <c r="G86" i="12"/>
  <c r="J128" i="16"/>
  <c r="F127" i="16"/>
  <c r="D12" i="12"/>
  <c r="D145" i="12"/>
  <c r="D147" i="12" s="1"/>
  <c r="D148" i="12" s="1"/>
  <c r="D150" i="12" s="1"/>
  <c r="D152" i="12" s="1"/>
  <c r="D154" i="12" s="1"/>
  <c r="D158" i="12" s="1"/>
  <c r="D161" i="18" s="1"/>
  <c r="L117" i="16"/>
  <c r="E117" i="16"/>
  <c r="L70" i="13"/>
  <c r="L71" i="13" s="1"/>
  <c r="L72" i="13" s="1"/>
  <c r="L110" i="18" s="1"/>
  <c r="K58" i="4"/>
  <c r="K104" i="13"/>
  <c r="K105" i="13" s="1"/>
  <c r="K106" i="13" s="1"/>
  <c r="L59" i="4"/>
  <c r="G104" i="13"/>
  <c r="G105" i="13" s="1"/>
  <c r="G106" i="13" s="1"/>
  <c r="L104" i="13"/>
  <c r="L105" i="13" s="1"/>
  <c r="L106" i="13" s="1"/>
  <c r="L202" i="18" s="1"/>
  <c r="I70" i="13"/>
  <c r="I71" i="13" s="1"/>
  <c r="I72" i="13" s="1"/>
  <c r="I110" i="18" s="1"/>
  <c r="I104" i="13"/>
  <c r="I105" i="13" s="1"/>
  <c r="I106" i="13" s="1"/>
  <c r="I202" i="18" s="1"/>
  <c r="M70" i="13"/>
  <c r="M71" i="13" s="1"/>
  <c r="M72" i="13" s="1"/>
  <c r="M110" i="18" s="1"/>
  <c r="G70" i="13"/>
  <c r="G71" i="13" s="1"/>
  <c r="G72" i="13" s="1"/>
  <c r="G110" i="18" s="1"/>
  <c r="M12" i="12"/>
  <c r="F70" i="13"/>
  <c r="F71" i="13" s="1"/>
  <c r="F72" i="13" s="1"/>
  <c r="F110" i="18" s="1"/>
  <c r="M104" i="13"/>
  <c r="M105" i="13" s="1"/>
  <c r="M106" i="13" s="1"/>
  <c r="E104" i="13"/>
  <c r="E105" i="13" s="1"/>
  <c r="E106" i="13" s="1"/>
  <c r="E202" i="18" s="1"/>
  <c r="K70" i="13"/>
  <c r="K71" i="13" s="1"/>
  <c r="K72" i="13" s="1"/>
  <c r="K110" i="18" s="1"/>
  <c r="J70" i="13"/>
  <c r="J71" i="13" s="1"/>
  <c r="J72" i="13" s="1"/>
  <c r="J110" i="18" s="1"/>
  <c r="M12" i="13"/>
  <c r="I12" i="13"/>
  <c r="J104" i="13"/>
  <c r="J105" i="13" s="1"/>
  <c r="J106" i="13" s="1"/>
  <c r="J202" i="18" s="1"/>
  <c r="F104" i="13"/>
  <c r="F105" i="13" s="1"/>
  <c r="F106" i="13" s="1"/>
  <c r="D70" i="13"/>
  <c r="D71" i="13" s="1"/>
  <c r="D72" i="13" s="1"/>
  <c r="D110" i="18" s="1"/>
  <c r="D104" i="13"/>
  <c r="D105" i="13" s="1"/>
  <c r="D106" i="13" s="1"/>
  <c r="J127" i="16"/>
  <c r="D12" i="13"/>
  <c r="E128" i="16"/>
  <c r="G142" i="12"/>
  <c r="M127" i="16"/>
  <c r="L127" i="16"/>
  <c r="D127" i="16"/>
  <c r="M128" i="16"/>
  <c r="J58" i="4"/>
  <c r="I56" i="4"/>
  <c r="H128" i="16"/>
  <c r="D128" i="16"/>
  <c r="L57" i="4"/>
  <c r="F56" i="4"/>
  <c r="F128" i="16"/>
  <c r="K128" i="16"/>
  <c r="G128" i="16"/>
  <c r="K56" i="4"/>
  <c r="F58" i="4"/>
  <c r="D86" i="12"/>
  <c r="D91" i="12" s="1"/>
  <c r="D92" i="12" s="1"/>
  <c r="D94" i="12" s="1"/>
  <c r="D96" i="12" s="1"/>
  <c r="D98" i="12" s="1"/>
  <c r="D102" i="12" s="1"/>
  <c r="D87" i="18" s="1"/>
  <c r="K127" i="16"/>
  <c r="I128" i="16"/>
  <c r="H127" i="16"/>
  <c r="F12" i="12"/>
  <c r="F12" i="13"/>
  <c r="E127" i="16"/>
  <c r="G127" i="16"/>
  <c r="C11" i="7"/>
  <c r="B110" i="20"/>
  <c r="N13" i="16"/>
  <c r="I73" i="4"/>
  <c r="I57" i="4"/>
  <c r="N73" i="4"/>
  <c r="G59" i="4"/>
  <c r="E57" i="4"/>
  <c r="L73" i="4"/>
  <c r="E73" i="4"/>
  <c r="D13" i="16"/>
  <c r="N59" i="4"/>
  <c r="E59" i="4"/>
  <c r="E56" i="4"/>
  <c r="D73" i="4"/>
  <c r="J111" i="16"/>
  <c r="H117" i="16"/>
  <c r="E111" i="16"/>
  <c r="L58" i="4"/>
  <c r="J59" i="4"/>
  <c r="J56" i="4"/>
  <c r="H59" i="4"/>
  <c r="G56" i="4"/>
  <c r="I58" i="4"/>
  <c r="G58" i="4"/>
  <c r="M13" i="16"/>
  <c r="D57" i="4"/>
  <c r="H13" i="16"/>
  <c r="H61" i="4"/>
  <c r="C12" i="10"/>
  <c r="D6" i="20"/>
  <c r="M59" i="4"/>
  <c r="L56" i="4"/>
  <c r="K59" i="4"/>
  <c r="H58" i="4"/>
  <c r="E58" i="4"/>
  <c r="D59" i="4"/>
  <c r="K13" i="16"/>
  <c r="G13" i="16"/>
  <c r="E61" i="4"/>
  <c r="N57" i="4"/>
  <c r="M57" i="4"/>
  <c r="J57" i="4"/>
  <c r="H57" i="4"/>
  <c r="N61" i="4"/>
  <c r="F59" i="4"/>
  <c r="L13" i="16"/>
  <c r="K61" i="4"/>
  <c r="G111" i="16"/>
  <c r="N56" i="4"/>
  <c r="N58" i="4"/>
  <c r="M56" i="4"/>
  <c r="K57" i="4"/>
  <c r="I59" i="4"/>
  <c r="H56" i="4"/>
  <c r="G57" i="4"/>
  <c r="L61" i="4"/>
  <c r="D58" i="4"/>
  <c r="D56" i="4"/>
  <c r="F13" i="16"/>
  <c r="D61" i="4"/>
  <c r="D115" i="16"/>
  <c r="D117" i="16" s="1"/>
  <c r="D111" i="16"/>
  <c r="J54" i="16"/>
  <c r="J49" i="16"/>
  <c r="J32" i="16"/>
  <c r="I38" i="16"/>
  <c r="I43" i="16"/>
  <c r="H49" i="16"/>
  <c r="H54" i="16"/>
  <c r="H32" i="16"/>
  <c r="G43" i="16"/>
  <c r="G38" i="16"/>
  <c r="L43" i="16"/>
  <c r="L38" i="16"/>
  <c r="I54" i="16"/>
  <c r="I49" i="16"/>
  <c r="I32" i="16"/>
  <c r="I13" i="16"/>
  <c r="E54" i="16"/>
  <c r="E49" i="16"/>
  <c r="E32" i="16"/>
  <c r="I117" i="16"/>
  <c r="H111" i="16"/>
  <c r="K117" i="16"/>
  <c r="F111" i="16"/>
  <c r="N49" i="16"/>
  <c r="N32" i="16"/>
  <c r="N54" i="16"/>
  <c r="M49" i="16"/>
  <c r="M54" i="16"/>
  <c r="M32" i="16"/>
  <c r="K38" i="16"/>
  <c r="K43" i="16"/>
  <c r="K32" i="16"/>
  <c r="K34" i="16" s="1"/>
  <c r="K49" i="16"/>
  <c r="K54" i="16"/>
  <c r="J38" i="16"/>
  <c r="J43" i="16"/>
  <c r="G49" i="16"/>
  <c r="G54" i="16"/>
  <c r="G32" i="16"/>
  <c r="F38" i="16"/>
  <c r="F43" i="16"/>
  <c r="E38" i="16"/>
  <c r="E43" i="16"/>
  <c r="M111" i="16"/>
  <c r="M115" i="16"/>
  <c r="M117" i="16" s="1"/>
  <c r="K111" i="16"/>
  <c r="N117" i="16"/>
  <c r="N38" i="16"/>
  <c r="N43" i="16"/>
  <c r="M38" i="16"/>
  <c r="M43" i="16"/>
  <c r="L32" i="16"/>
  <c r="L49" i="16"/>
  <c r="L54" i="16"/>
  <c r="J13" i="16"/>
  <c r="H43" i="16"/>
  <c r="H38" i="16"/>
  <c r="F49" i="16"/>
  <c r="F54" i="16"/>
  <c r="F32" i="16"/>
  <c r="E13" i="16"/>
  <c r="D38" i="16"/>
  <c r="D43" i="16"/>
  <c r="D32" i="16"/>
  <c r="D49" i="16"/>
  <c r="D54" i="16"/>
  <c r="I111" i="16"/>
  <c r="J117" i="16"/>
  <c r="L111" i="16"/>
  <c r="F117" i="16"/>
  <c r="N111" i="16"/>
  <c r="K95" i="15"/>
  <c r="G95" i="15"/>
  <c r="J95" i="15"/>
  <c r="F95" i="15"/>
  <c r="M95" i="15"/>
  <c r="I95" i="15"/>
  <c r="E95" i="15"/>
  <c r="L95" i="15"/>
  <c r="H95" i="15"/>
  <c r="J63" i="13"/>
  <c r="F63" i="13"/>
  <c r="L62" i="13"/>
  <c r="H62" i="13"/>
  <c r="D62" i="13"/>
  <c r="M63" i="13"/>
  <c r="I63" i="13"/>
  <c r="E63" i="13"/>
  <c r="K62" i="13"/>
  <c r="G62" i="13"/>
  <c r="L63" i="13"/>
  <c r="H63" i="13"/>
  <c r="D63" i="13"/>
  <c r="J62" i="13"/>
  <c r="F62" i="13"/>
  <c r="K63" i="13"/>
  <c r="G63" i="13"/>
  <c r="M62" i="13"/>
  <c r="I62" i="13"/>
  <c r="E62" i="13"/>
  <c r="J107" i="12"/>
  <c r="F107" i="12"/>
  <c r="L106" i="12"/>
  <c r="H106" i="12"/>
  <c r="D106" i="12"/>
  <c r="M107" i="12"/>
  <c r="I107" i="12"/>
  <c r="E107" i="12"/>
  <c r="K106" i="12"/>
  <c r="G106" i="12"/>
  <c r="L107" i="12"/>
  <c r="H107" i="12"/>
  <c r="D107" i="12"/>
  <c r="J106" i="12"/>
  <c r="F106" i="12"/>
  <c r="K107" i="12"/>
  <c r="G107" i="12"/>
  <c r="M106" i="12"/>
  <c r="I106" i="12"/>
  <c r="E106" i="12"/>
  <c r="H152" i="15"/>
  <c r="H153" i="15" s="1"/>
  <c r="H154" i="15" s="1"/>
  <c r="H187" i="18" s="1"/>
  <c r="H186" i="16"/>
  <c r="G198" i="16" s="1"/>
  <c r="F186" i="16"/>
  <c r="E198" i="16" s="1"/>
  <c r="N186" i="16"/>
  <c r="M198" i="16" s="1"/>
  <c r="M199" i="16" s="1"/>
  <c r="M200" i="16" s="1"/>
  <c r="M188" i="18" s="1"/>
  <c r="I186" i="16"/>
  <c r="H198" i="16" s="1"/>
  <c r="K186" i="16"/>
  <c r="J198" i="16" s="1"/>
  <c r="D176" i="16"/>
  <c r="D181" i="16"/>
  <c r="D182" i="16" s="1"/>
  <c r="J176" i="16"/>
  <c r="J181" i="16"/>
  <c r="J182" i="16" s="1"/>
  <c r="G176" i="16"/>
  <c r="G181" i="16"/>
  <c r="G182" i="16" s="1"/>
  <c r="M142" i="15"/>
  <c r="M163" i="18" s="1"/>
  <c r="P184" i="18" s="1"/>
  <c r="L152" i="15"/>
  <c r="L153" i="15" s="1"/>
  <c r="L154" i="15" s="1"/>
  <c r="L187" i="18" s="1"/>
  <c r="M21" i="15"/>
  <c r="H21" i="15"/>
  <c r="F20" i="15"/>
  <c r="F11" i="15"/>
  <c r="F69" i="4" s="1"/>
  <c r="F21" i="15"/>
  <c r="E21" i="15"/>
  <c r="D21" i="15"/>
  <c r="M11" i="15"/>
  <c r="M69" i="4" s="1"/>
  <c r="M20" i="15"/>
  <c r="J20" i="15"/>
  <c r="J11" i="15"/>
  <c r="J69" i="4" s="1"/>
  <c r="I21" i="15"/>
  <c r="G11" i="15"/>
  <c r="G69" i="4" s="1"/>
  <c r="G20" i="15"/>
  <c r="E20" i="15"/>
  <c r="E11" i="15"/>
  <c r="E69" i="4" s="1"/>
  <c r="N11" i="15"/>
  <c r="N69" i="4" s="1"/>
  <c r="N20" i="15"/>
  <c r="N21" i="15"/>
  <c r="L20" i="15"/>
  <c r="L11" i="15"/>
  <c r="L69" i="4" s="1"/>
  <c r="D11" i="15"/>
  <c r="D69" i="4" s="1"/>
  <c r="D20" i="15"/>
  <c r="L21" i="15"/>
  <c r="K21" i="15"/>
  <c r="K11" i="15"/>
  <c r="K69" i="4" s="1"/>
  <c r="K20" i="15"/>
  <c r="J21" i="15"/>
  <c r="I20" i="15"/>
  <c r="I11" i="15"/>
  <c r="I69" i="4" s="1"/>
  <c r="H20" i="15"/>
  <c r="H11" i="15"/>
  <c r="H69" i="4" s="1"/>
  <c r="G21" i="15"/>
  <c r="H12" i="12"/>
  <c r="E29" i="12"/>
  <c r="E34" i="12" s="1"/>
  <c r="D29" i="12"/>
  <c r="D34" i="12" s="1"/>
  <c r="H29" i="12"/>
  <c r="H34" i="12" s="1"/>
  <c r="J29" i="12"/>
  <c r="J34" i="12" s="1"/>
  <c r="I29" i="12"/>
  <c r="I34" i="12" s="1"/>
  <c r="G29" i="12"/>
  <c r="G34" i="12" s="1"/>
  <c r="F29" i="12"/>
  <c r="F34" i="12" s="1"/>
  <c r="N29" i="12"/>
  <c r="N34" i="12" s="1"/>
  <c r="M29" i="12"/>
  <c r="M34" i="12" s="1"/>
  <c r="L29" i="12"/>
  <c r="L34" i="12" s="1"/>
  <c r="K29" i="12"/>
  <c r="K34" i="12" s="1"/>
  <c r="G12" i="13"/>
  <c r="E12" i="13"/>
  <c r="G12" i="12"/>
  <c r="L12" i="12"/>
  <c r="J12" i="12"/>
  <c r="N12" i="13"/>
  <c r="J12" i="13"/>
  <c r="L12" i="13"/>
  <c r="E12" i="12"/>
  <c r="M44" i="12"/>
  <c r="M28" i="12"/>
  <c r="J28" i="12"/>
  <c r="J44" i="12"/>
  <c r="K12" i="13"/>
  <c r="K12" i="12"/>
  <c r="I28" i="12"/>
  <c r="I44" i="12"/>
  <c r="H44" i="12"/>
  <c r="E44" i="12"/>
  <c r="N28" i="12"/>
  <c r="N12" i="12"/>
  <c r="L28" i="12"/>
  <c r="L44" i="12"/>
  <c r="K44" i="12"/>
  <c r="K28" i="12"/>
  <c r="I12" i="12"/>
  <c r="D28" i="12"/>
  <c r="D44" i="12"/>
  <c r="G28" i="12"/>
  <c r="G44" i="12"/>
  <c r="F28" i="12"/>
  <c r="F44" i="12"/>
  <c r="M106" i="14" l="1"/>
  <c r="M113" i="14" s="1"/>
  <c r="M107" i="14"/>
  <c r="M114" i="14" s="1"/>
  <c r="M108" i="14"/>
  <c r="M115" i="14" s="1"/>
  <c r="D107" i="14"/>
  <c r="D114" i="14" s="1"/>
  <c r="I152" i="15"/>
  <c r="I153" i="15" s="1"/>
  <c r="I154" i="15" s="1"/>
  <c r="I187" i="18" s="1"/>
  <c r="L142" i="15"/>
  <c r="L163" i="18" s="1"/>
  <c r="K152" i="15"/>
  <c r="K153" i="15" s="1"/>
  <c r="K154" i="15" s="1"/>
  <c r="K187" i="18" s="1"/>
  <c r="G178" i="14"/>
  <c r="G185" i="14" s="1"/>
  <c r="E107" i="14"/>
  <c r="E114" i="14" s="1"/>
  <c r="E108" i="14"/>
  <c r="E115" i="14" s="1"/>
  <c r="F107" i="14"/>
  <c r="F114" i="14" s="1"/>
  <c r="J108" i="14"/>
  <c r="J115" i="14" s="1"/>
  <c r="D109" i="14"/>
  <c r="D116" i="14" s="1"/>
  <c r="K108" i="14"/>
  <c r="K115" i="14" s="1"/>
  <c r="J109" i="14"/>
  <c r="J116" i="14" s="1"/>
  <c r="F109" i="14"/>
  <c r="F116" i="14" s="1"/>
  <c r="D106" i="14"/>
  <c r="D113" i="14" s="1"/>
  <c r="F106" i="14"/>
  <c r="N91" i="12"/>
  <c r="N92" i="12" s="1"/>
  <c r="N94" i="12" s="1"/>
  <c r="N96" i="12" s="1"/>
  <c r="N98" i="12" s="1"/>
  <c r="M114" i="12" s="1"/>
  <c r="M115" i="12" s="1"/>
  <c r="M116" i="12" s="1"/>
  <c r="M109" i="18" s="1"/>
  <c r="G91" i="12"/>
  <c r="G92" i="12" s="1"/>
  <c r="G94" i="12" s="1"/>
  <c r="G96" i="12" s="1"/>
  <c r="G98" i="12" s="1"/>
  <c r="F114" i="12" s="1"/>
  <c r="F115" i="12" s="1"/>
  <c r="F116" i="12" s="1"/>
  <c r="F109" i="18" s="1"/>
  <c r="M91" i="12"/>
  <c r="M92" i="12" s="1"/>
  <c r="M94" i="12" s="1"/>
  <c r="M96" i="12" s="1"/>
  <c r="M98" i="12" s="1"/>
  <c r="M102" i="12" s="1"/>
  <c r="M87" i="18" s="1"/>
  <c r="K106" i="14"/>
  <c r="K113" i="14" s="1"/>
  <c r="K107" i="14"/>
  <c r="K114" i="14" s="1"/>
  <c r="M186" i="16"/>
  <c r="K18" i="17"/>
  <c r="K14" i="4" s="1"/>
  <c r="J91" i="18"/>
  <c r="P112" i="18" s="1"/>
  <c r="I71" i="20" s="1"/>
  <c r="M147" i="12"/>
  <c r="M148" i="12" s="1"/>
  <c r="M150" i="12" s="1"/>
  <c r="M152" i="12" s="1"/>
  <c r="M154" i="12" s="1"/>
  <c r="M158" i="12" s="1"/>
  <c r="M161" i="18" s="1"/>
  <c r="L147" i="12"/>
  <c r="L148" i="12" s="1"/>
  <c r="L150" i="12" s="1"/>
  <c r="L152" i="12" s="1"/>
  <c r="L154" i="12" s="1"/>
  <c r="K170" i="12" s="1"/>
  <c r="K171" i="12" s="1"/>
  <c r="K172" i="12" s="1"/>
  <c r="G176" i="14"/>
  <c r="G183" i="14" s="1"/>
  <c r="G177" i="14"/>
  <c r="G184" i="14" s="1"/>
  <c r="E152" i="15"/>
  <c r="E153" i="15" s="1"/>
  <c r="E154" i="15" s="1"/>
  <c r="E187" i="18" s="1"/>
  <c r="M117" i="14"/>
  <c r="N187" i="14"/>
  <c r="N117" i="14"/>
  <c r="M177" i="14"/>
  <c r="M184" i="14" s="1"/>
  <c r="E178" i="14"/>
  <c r="E185" i="14" s="1"/>
  <c r="J106" i="14"/>
  <c r="J113" i="14" s="1"/>
  <c r="I109" i="14"/>
  <c r="I116" i="14" s="1"/>
  <c r="I108" i="14"/>
  <c r="I115" i="14" s="1"/>
  <c r="E176" i="14"/>
  <c r="E183" i="14" s="1"/>
  <c r="I106" i="14"/>
  <c r="I113" i="14" s="1"/>
  <c r="F179" i="14"/>
  <c r="F186" i="14" s="1"/>
  <c r="H102" i="22"/>
  <c r="H103" i="22" s="1"/>
  <c r="H104" i="22" s="1"/>
  <c r="H106" i="22" s="1"/>
  <c r="J16" i="22"/>
  <c r="H187" i="14"/>
  <c r="B7" i="20"/>
  <c r="H30" i="12"/>
  <c r="J178" i="14"/>
  <c r="J185" i="14" s="1"/>
  <c r="E186" i="16"/>
  <c r="D198" i="16" s="1"/>
  <c r="D199" i="16" s="1"/>
  <c r="D200" i="16" s="1"/>
  <c r="D188" i="18" s="1"/>
  <c r="M110" i="14"/>
  <c r="E81" i="15"/>
  <c r="E82" i="15" s="1"/>
  <c r="E84" i="15" s="1"/>
  <c r="E88" i="15" s="1"/>
  <c r="M98" i="13"/>
  <c r="M99" i="13" s="1"/>
  <c r="M172" i="18" s="1"/>
  <c r="F27" i="13"/>
  <c r="D27" i="13"/>
  <c r="G27" i="13"/>
  <c r="H27" i="13"/>
  <c r="K27" i="13"/>
  <c r="I27" i="13"/>
  <c r="J27" i="13"/>
  <c r="L27" i="13"/>
  <c r="E27" i="13"/>
  <c r="M27" i="13"/>
  <c r="I61" i="16"/>
  <c r="G61" i="16"/>
  <c r="E61" i="16"/>
  <c r="F61" i="16"/>
  <c r="L61" i="16"/>
  <c r="H61" i="16"/>
  <c r="M61" i="16"/>
  <c r="D61" i="16"/>
  <c r="K61" i="16"/>
  <c r="J61" i="16"/>
  <c r="D49" i="12"/>
  <c r="M176" i="14"/>
  <c r="M183" i="14" s="1"/>
  <c r="D61" i="14"/>
  <c r="J176" i="14"/>
  <c r="J183" i="14" s="1"/>
  <c r="L138" i="14"/>
  <c r="L139" i="14" s="1"/>
  <c r="L99" i="18" s="1"/>
  <c r="F138" i="14"/>
  <c r="F139" i="14" s="1"/>
  <c r="F99" i="18" s="1"/>
  <c r="M178" i="14"/>
  <c r="M185" i="14" s="1"/>
  <c r="K180" i="14"/>
  <c r="M138" i="14"/>
  <c r="M139" i="14" s="1"/>
  <c r="M99" i="18" s="1"/>
  <c r="K187" i="14"/>
  <c r="L178" i="14"/>
  <c r="L185" i="14" s="1"/>
  <c r="F176" i="14"/>
  <c r="F183" i="14" s="1"/>
  <c r="F177" i="14"/>
  <c r="F184" i="14" s="1"/>
  <c r="E179" i="14"/>
  <c r="E186" i="14" s="1"/>
  <c r="I187" i="14"/>
  <c r="L36" i="13"/>
  <c r="L37" i="13" s="1"/>
  <c r="L38" i="13" s="1"/>
  <c r="E36" i="13"/>
  <c r="E37" i="13" s="1"/>
  <c r="E38" i="13" s="1"/>
  <c r="E36" i="18" s="1"/>
  <c r="G36" i="13"/>
  <c r="G37" i="13" s="1"/>
  <c r="G38" i="13" s="1"/>
  <c r="G36" i="18" s="1"/>
  <c r="K36" i="13"/>
  <c r="K37" i="13" s="1"/>
  <c r="K38" i="13" s="1"/>
  <c r="K36" i="18" s="1"/>
  <c r="J36" i="13"/>
  <c r="J37" i="13" s="1"/>
  <c r="J38" i="13" s="1"/>
  <c r="D36" i="13"/>
  <c r="D37" i="13" s="1"/>
  <c r="D38" i="13" s="1"/>
  <c r="I36" i="13"/>
  <c r="I37" i="13" s="1"/>
  <c r="I38" i="13" s="1"/>
  <c r="H36" i="13"/>
  <c r="H37" i="13" s="1"/>
  <c r="F36" i="13"/>
  <c r="F37" i="13" s="1"/>
  <c r="F38" i="13" s="1"/>
  <c r="M36" i="13"/>
  <c r="M37" i="13" s="1"/>
  <c r="M38" i="13" s="1"/>
  <c r="N110" i="14"/>
  <c r="D138" i="14"/>
  <c r="D139" i="14" s="1"/>
  <c r="D99" i="18" s="1"/>
  <c r="G138" i="14"/>
  <c r="G139" i="14" s="1"/>
  <c r="G99" i="18" s="1"/>
  <c r="L110" i="14"/>
  <c r="L113" i="14"/>
  <c r="L117" i="14" s="1"/>
  <c r="G142" i="15"/>
  <c r="G163" i="18" s="1"/>
  <c r="D177" i="14"/>
  <c r="D184" i="14" s="1"/>
  <c r="J177" i="14"/>
  <c r="J184" i="14" s="1"/>
  <c r="E138" i="14"/>
  <c r="E139" i="14" s="1"/>
  <c r="E99" i="18" s="1"/>
  <c r="D207" i="14"/>
  <c r="D206" i="14"/>
  <c r="H206" i="14"/>
  <c r="G207" i="14"/>
  <c r="E206" i="14"/>
  <c r="H207" i="14"/>
  <c r="L206" i="14"/>
  <c r="I207" i="14"/>
  <c r="I206" i="14"/>
  <c r="L207" i="14"/>
  <c r="J207" i="14"/>
  <c r="F207" i="14"/>
  <c r="F206" i="14"/>
  <c r="M207" i="14"/>
  <c r="E207" i="14"/>
  <c r="J206" i="14"/>
  <c r="M206" i="14"/>
  <c r="G206" i="14"/>
  <c r="K206" i="14"/>
  <c r="K207" i="14"/>
  <c r="H110" i="14"/>
  <c r="L179" i="14"/>
  <c r="L186" i="14" s="1"/>
  <c r="G110" i="14"/>
  <c r="G113" i="14"/>
  <c r="G117" i="14" s="1"/>
  <c r="D179" i="14"/>
  <c r="D186" i="14" s="1"/>
  <c r="K138" i="14"/>
  <c r="K139" i="14" s="1"/>
  <c r="K99" i="18" s="1"/>
  <c r="I138" i="14"/>
  <c r="I139" i="14" s="1"/>
  <c r="I99" i="18" s="1"/>
  <c r="H117" i="14"/>
  <c r="L176" i="14"/>
  <c r="L183" i="14" s="1"/>
  <c r="E110" i="14"/>
  <c r="D183" i="14"/>
  <c r="D178" i="14"/>
  <c r="D185" i="14" s="1"/>
  <c r="H138" i="14"/>
  <c r="H139" i="14" s="1"/>
  <c r="H99" i="18" s="1"/>
  <c r="J138" i="14"/>
  <c r="J139" i="14" s="1"/>
  <c r="J99" i="18" s="1"/>
  <c r="E117" i="14"/>
  <c r="G152" i="15"/>
  <c r="G153" i="15" s="1"/>
  <c r="G154" i="15" s="1"/>
  <c r="G187" i="18" s="1"/>
  <c r="M88" i="15"/>
  <c r="L102" i="15" s="1"/>
  <c r="L103" i="15" s="1"/>
  <c r="L104" i="15" s="1"/>
  <c r="L113" i="18" s="1"/>
  <c r="L84" i="15"/>
  <c r="L88" i="15" s="1"/>
  <c r="G84" i="15"/>
  <c r="G88" i="15" s="1"/>
  <c r="F88" i="15"/>
  <c r="F92" i="15" s="1"/>
  <c r="F89" i="18" s="1"/>
  <c r="K88" i="15"/>
  <c r="J102" i="15" s="1"/>
  <c r="J103" i="15" s="1"/>
  <c r="J104" i="15" s="1"/>
  <c r="J113" i="18" s="1"/>
  <c r="J88" i="15"/>
  <c r="I102" i="15" s="1"/>
  <c r="I103" i="15" s="1"/>
  <c r="I104" i="15" s="1"/>
  <c r="I113" i="18" s="1"/>
  <c r="I84" i="15"/>
  <c r="I88" i="15" s="1"/>
  <c r="H82" i="15"/>
  <c r="H84" i="15" s="1"/>
  <c r="H88" i="15" s="1"/>
  <c r="H98" i="13"/>
  <c r="H99" i="13" s="1"/>
  <c r="H172" i="18" s="1"/>
  <c r="F98" i="13"/>
  <c r="F99" i="13" s="1"/>
  <c r="F172" i="18" s="1"/>
  <c r="J98" i="13"/>
  <c r="J99" i="13" s="1"/>
  <c r="J172" i="18" s="1"/>
  <c r="L98" i="13"/>
  <c r="L99" i="13" s="1"/>
  <c r="L172" i="18" s="1"/>
  <c r="K98" i="13"/>
  <c r="K99" i="13" s="1"/>
  <c r="K172" i="18" s="1"/>
  <c r="D98" i="13"/>
  <c r="D99" i="13" s="1"/>
  <c r="D172" i="18" s="1"/>
  <c r="E98" i="13"/>
  <c r="E99" i="13" s="1"/>
  <c r="E172" i="18" s="1"/>
  <c r="K164" i="12"/>
  <c r="K165" i="12" s="1"/>
  <c r="K167" i="12" s="1"/>
  <c r="K180" i="18" s="1"/>
  <c r="H164" i="12"/>
  <c r="H165" i="12" s="1"/>
  <c r="H167" i="12" s="1"/>
  <c r="H180" i="18" s="1"/>
  <c r="L164" i="12"/>
  <c r="L165" i="12" s="1"/>
  <c r="L167" i="12" s="1"/>
  <c r="L180" i="18" s="1"/>
  <c r="D164" i="12"/>
  <c r="D165" i="12" s="1"/>
  <c r="D167" i="12" s="1"/>
  <c r="D180" i="18" s="1"/>
  <c r="E164" i="12"/>
  <c r="E165" i="12" s="1"/>
  <c r="E167" i="12" s="1"/>
  <c r="E180" i="18" s="1"/>
  <c r="I98" i="13"/>
  <c r="I99" i="13" s="1"/>
  <c r="I172" i="18" s="1"/>
  <c r="F164" i="12"/>
  <c r="F165" i="12" s="1"/>
  <c r="F167" i="12" s="1"/>
  <c r="F180" i="18" s="1"/>
  <c r="J164" i="12"/>
  <c r="J165" i="12" s="1"/>
  <c r="J167" i="12" s="1"/>
  <c r="J180" i="18" s="1"/>
  <c r="M164" i="12"/>
  <c r="M165" i="12" s="1"/>
  <c r="M167" i="12" s="1"/>
  <c r="M180" i="18" s="1"/>
  <c r="G164" i="12"/>
  <c r="G165" i="12" s="1"/>
  <c r="G167" i="12" s="1"/>
  <c r="G180" i="18" s="1"/>
  <c r="I164" i="12"/>
  <c r="I165" i="12" s="1"/>
  <c r="E49" i="12"/>
  <c r="D12" i="14"/>
  <c r="D70" i="4"/>
  <c r="G63" i="14"/>
  <c r="F63" i="14"/>
  <c r="J62" i="14"/>
  <c r="M62" i="14"/>
  <c r="I63" i="14"/>
  <c r="E62" i="14"/>
  <c r="N63" i="14"/>
  <c r="F62" i="14"/>
  <c r="M63" i="14"/>
  <c r="I62" i="14"/>
  <c r="E63" i="14"/>
  <c r="D64" i="14"/>
  <c r="E64" i="14"/>
  <c r="F64" i="14"/>
  <c r="G64" i="14"/>
  <c r="H64" i="14"/>
  <c r="I64" i="14"/>
  <c r="J64" i="14"/>
  <c r="K64" i="14"/>
  <c r="L64" i="14"/>
  <c r="M64" i="14"/>
  <c r="N64" i="14"/>
  <c r="L63" i="14"/>
  <c r="H62" i="14"/>
  <c r="D63" i="14"/>
  <c r="J63" i="14"/>
  <c r="N62" i="14"/>
  <c r="L62" i="14"/>
  <c r="H63" i="14"/>
  <c r="D62" i="14"/>
  <c r="L33" i="14"/>
  <c r="F33" i="14"/>
  <c r="J33" i="14"/>
  <c r="E61" i="14"/>
  <c r="F61" i="14"/>
  <c r="G61" i="14"/>
  <c r="H61" i="14"/>
  <c r="I61" i="14"/>
  <c r="J61" i="14"/>
  <c r="K61" i="14"/>
  <c r="L61" i="14"/>
  <c r="M61" i="14"/>
  <c r="N61" i="14"/>
  <c r="K62" i="14"/>
  <c r="G62" i="14"/>
  <c r="N33" i="14"/>
  <c r="H33" i="14"/>
  <c r="K63" i="14"/>
  <c r="K33" i="14"/>
  <c r="I33" i="14"/>
  <c r="E33" i="14"/>
  <c r="M33" i="14"/>
  <c r="G33" i="14"/>
  <c r="D51" i="14"/>
  <c r="D38" i="14" s="1"/>
  <c r="E12" i="14"/>
  <c r="M147" i="15"/>
  <c r="H51" i="14"/>
  <c r="H39" i="14" s="1"/>
  <c r="H12" i="14"/>
  <c r="H55" i="14"/>
  <c r="K21" i="22"/>
  <c r="E51" i="14"/>
  <c r="E36" i="14" s="1"/>
  <c r="E55" i="14"/>
  <c r="G21" i="22"/>
  <c r="E70" i="4"/>
  <c r="J21" i="22"/>
  <c r="I21" i="22"/>
  <c r="I28" i="22" s="1"/>
  <c r="I18" i="18" s="1"/>
  <c r="I240" i="18" s="1"/>
  <c r="L12" i="14"/>
  <c r="L51" i="14"/>
  <c r="L38" i="14" s="1"/>
  <c r="L55" i="14"/>
  <c r="H21" i="22"/>
  <c r="G102" i="22" s="1"/>
  <c r="N21" i="22"/>
  <c r="I51" i="14"/>
  <c r="I36" i="14" s="1"/>
  <c r="I12" i="14"/>
  <c r="I55" i="14"/>
  <c r="G55" i="14"/>
  <c r="G51" i="14"/>
  <c r="G37" i="14" s="1"/>
  <c r="G12" i="14"/>
  <c r="M12" i="14"/>
  <c r="M51" i="14"/>
  <c r="M55" i="14"/>
  <c r="F21" i="22"/>
  <c r="F94" i="22" s="1"/>
  <c r="D21" i="22"/>
  <c r="D94" i="22" s="1"/>
  <c r="D166" i="18" s="1"/>
  <c r="E21" i="22"/>
  <c r="E94" i="22" s="1"/>
  <c r="L21" i="22"/>
  <c r="M21" i="22"/>
  <c r="F12" i="14"/>
  <c r="F51" i="14"/>
  <c r="F39" i="14" s="1"/>
  <c r="F55" i="14"/>
  <c r="K12" i="14"/>
  <c r="K51" i="14"/>
  <c r="K39" i="14" s="1"/>
  <c r="K55" i="14"/>
  <c r="J12" i="14"/>
  <c r="J51" i="14"/>
  <c r="J55" i="14"/>
  <c r="N55" i="14"/>
  <c r="N12" i="14"/>
  <c r="N51" i="14"/>
  <c r="N39" i="14" s="1"/>
  <c r="I146" i="15"/>
  <c r="L146" i="15"/>
  <c r="F147" i="15"/>
  <c r="M146" i="15"/>
  <c r="I147" i="15"/>
  <c r="D33" i="14"/>
  <c r="I129" i="16"/>
  <c r="I130" i="16" s="1"/>
  <c r="I101" i="18" s="1"/>
  <c r="K147" i="15"/>
  <c r="J146" i="15"/>
  <c r="F146" i="15"/>
  <c r="G147" i="15"/>
  <c r="H147" i="15"/>
  <c r="E147" i="15"/>
  <c r="D146" i="15"/>
  <c r="L147" i="15"/>
  <c r="K198" i="16"/>
  <c r="K199" i="16" s="1"/>
  <c r="K200" i="16" s="1"/>
  <c r="K188" i="18" s="1"/>
  <c r="G146" i="15"/>
  <c r="E146" i="15"/>
  <c r="J147" i="15"/>
  <c r="D147" i="15"/>
  <c r="H146" i="15"/>
  <c r="K146" i="15"/>
  <c r="F49" i="12"/>
  <c r="G121" i="16"/>
  <c r="H121" i="16"/>
  <c r="H123" i="16" s="1"/>
  <c r="E121" i="16"/>
  <c r="D129" i="16"/>
  <c r="D130" i="16" s="1"/>
  <c r="D101" i="18" s="1"/>
  <c r="F147" i="12"/>
  <c r="F148" i="12" s="1"/>
  <c r="F150" i="12" s="1"/>
  <c r="F152" i="12" s="1"/>
  <c r="F154" i="12" s="1"/>
  <c r="F158" i="12" s="1"/>
  <c r="F161" i="18" s="1"/>
  <c r="D22" i="15"/>
  <c r="N147" i="12"/>
  <c r="N148" i="12" s="1"/>
  <c r="N150" i="12" s="1"/>
  <c r="N152" i="12" s="1"/>
  <c r="N154" i="12" s="1"/>
  <c r="M170" i="12" s="1"/>
  <c r="M171" i="12" s="1"/>
  <c r="M172" i="12" s="1"/>
  <c r="M183" i="18" s="1"/>
  <c r="L91" i="12"/>
  <c r="L92" i="12" s="1"/>
  <c r="L94" i="12" s="1"/>
  <c r="L96" i="12" s="1"/>
  <c r="L98" i="12" s="1"/>
  <c r="K114" i="12" s="1"/>
  <c r="K115" i="12" s="1"/>
  <c r="K116" i="12" s="1"/>
  <c r="L129" i="16"/>
  <c r="L130" i="16" s="1"/>
  <c r="L101" i="18" s="1"/>
  <c r="J129" i="16"/>
  <c r="J130" i="16" s="1"/>
  <c r="J101" i="18" s="1"/>
  <c r="F129" i="16"/>
  <c r="F130" i="16" s="1"/>
  <c r="F101" i="18" s="1"/>
  <c r="K91" i="12"/>
  <c r="K92" i="12" s="1"/>
  <c r="K94" i="12" s="1"/>
  <c r="K96" i="12" s="1"/>
  <c r="K98" i="12" s="1"/>
  <c r="K102" i="12" s="1"/>
  <c r="K87" i="18" s="1"/>
  <c r="F91" i="12"/>
  <c r="F92" i="12" s="1"/>
  <c r="F94" i="12" s="1"/>
  <c r="F96" i="12" s="1"/>
  <c r="F98" i="12" s="1"/>
  <c r="E114" i="12" s="1"/>
  <c r="E115" i="12" s="1"/>
  <c r="E116" i="12" s="1"/>
  <c r="E109" i="18" s="1"/>
  <c r="J91" i="12"/>
  <c r="J92" i="12" s="1"/>
  <c r="J94" i="12" s="1"/>
  <c r="J96" i="12" s="1"/>
  <c r="J98" i="12" s="1"/>
  <c r="I64" i="13"/>
  <c r="I65" i="13" s="1"/>
  <c r="I98" i="18" s="1"/>
  <c r="L108" i="12"/>
  <c r="L109" i="12" s="1"/>
  <c r="L111" i="12" s="1"/>
  <c r="L106" i="18" s="1"/>
  <c r="D64" i="13"/>
  <c r="D65" i="13" s="1"/>
  <c r="D74" i="13" s="1"/>
  <c r="K129" i="16"/>
  <c r="K130" i="16" s="1"/>
  <c r="K101" i="18" s="1"/>
  <c r="I91" i="12"/>
  <c r="I92" i="12" s="1"/>
  <c r="I94" i="12" s="1"/>
  <c r="I96" i="12" s="1"/>
  <c r="I98" i="12" s="1"/>
  <c r="G147" i="12"/>
  <c r="G148" i="12" s="1"/>
  <c r="G150" i="12" s="1"/>
  <c r="G152" i="12" s="1"/>
  <c r="G154" i="12" s="1"/>
  <c r="F170" i="12" s="1"/>
  <c r="F171" i="12" s="1"/>
  <c r="F172" i="12" s="1"/>
  <c r="M64" i="13"/>
  <c r="M65" i="13" s="1"/>
  <c r="G108" i="13"/>
  <c r="H91" i="12"/>
  <c r="H92" i="12" s="1"/>
  <c r="H94" i="12" s="1"/>
  <c r="H96" i="12" s="1"/>
  <c r="H98" i="12" s="1"/>
  <c r="G114" i="12" s="1"/>
  <c r="G115" i="12" s="1"/>
  <c r="G116" i="12" s="1"/>
  <c r="G109" i="18" s="1"/>
  <c r="J147" i="12"/>
  <c r="J148" i="12" s="1"/>
  <c r="J150" i="12" s="1"/>
  <c r="J152" i="12" s="1"/>
  <c r="J154" i="12" s="1"/>
  <c r="J158" i="12" s="1"/>
  <c r="J161" i="18" s="1"/>
  <c r="K147" i="12"/>
  <c r="K148" i="12" s="1"/>
  <c r="K150" i="12" s="1"/>
  <c r="K152" i="12" s="1"/>
  <c r="K154" i="12" s="1"/>
  <c r="K158" i="12" s="1"/>
  <c r="K161" i="18" s="1"/>
  <c r="K202" i="18"/>
  <c r="E91" i="12"/>
  <c r="E92" i="12" s="1"/>
  <c r="E94" i="12" s="1"/>
  <c r="E96" i="12" s="1"/>
  <c r="E98" i="12" s="1"/>
  <c r="E102" i="12" s="1"/>
  <c r="E87" i="18" s="1"/>
  <c r="L121" i="16"/>
  <c r="L123" i="16" s="1"/>
  <c r="I121" i="16"/>
  <c r="I123" i="16" s="1"/>
  <c r="F64" i="13"/>
  <c r="F65" i="13" s="1"/>
  <c r="H129" i="16"/>
  <c r="H130" i="16" s="1"/>
  <c r="H101" i="18" s="1"/>
  <c r="E129" i="16"/>
  <c r="E130" i="16" s="1"/>
  <c r="E101" i="18" s="1"/>
  <c r="G202" i="18"/>
  <c r="H202" i="18"/>
  <c r="M129" i="16"/>
  <c r="M130" i="16" s="1"/>
  <c r="M101" i="18" s="1"/>
  <c r="P91" i="18"/>
  <c r="I50" i="20" s="1"/>
  <c r="F202" i="18"/>
  <c r="M202" i="18"/>
  <c r="K108" i="12"/>
  <c r="K109" i="12" s="1"/>
  <c r="K111" i="12" s="1"/>
  <c r="K106" i="18" s="1"/>
  <c r="H64" i="13"/>
  <c r="H65" i="13" s="1"/>
  <c r="H98" i="18" s="1"/>
  <c r="L64" i="13"/>
  <c r="L65" i="13" s="1"/>
  <c r="L98" i="18" s="1"/>
  <c r="H147" i="12"/>
  <c r="H148" i="12" s="1"/>
  <c r="H150" i="12" s="1"/>
  <c r="H152" i="12" s="1"/>
  <c r="H154" i="12" s="1"/>
  <c r="H158" i="12" s="1"/>
  <c r="H161" i="18" s="1"/>
  <c r="H22" i="15"/>
  <c r="D108" i="12"/>
  <c r="D109" i="12" s="1"/>
  <c r="D111" i="12" s="1"/>
  <c r="D106" i="18" s="1"/>
  <c r="K64" i="13"/>
  <c r="K65" i="13" s="1"/>
  <c r="K98" i="18" s="1"/>
  <c r="G129" i="16"/>
  <c r="G130" i="16" s="1"/>
  <c r="G101" i="18" s="1"/>
  <c r="D202" i="18"/>
  <c r="I111" i="20"/>
  <c r="R184" i="18"/>
  <c r="K111" i="20" s="1"/>
  <c r="J121" i="16"/>
  <c r="J123" i="16" s="1"/>
  <c r="L11" i="7"/>
  <c r="B112" i="20"/>
  <c r="K121" i="16"/>
  <c r="E42" i="16"/>
  <c r="E44" i="16" s="1"/>
  <c r="E51" i="16" s="1"/>
  <c r="E37" i="16"/>
  <c r="E39" i="16" s="1"/>
  <c r="E50" i="16" s="1"/>
  <c r="E34" i="16"/>
  <c r="D42" i="16"/>
  <c r="D44" i="16" s="1"/>
  <c r="D51" i="16" s="1"/>
  <c r="D37" i="16"/>
  <c r="D39" i="16" s="1"/>
  <c r="D50" i="16" s="1"/>
  <c r="D34" i="16"/>
  <c r="F42" i="16"/>
  <c r="F44" i="16" s="1"/>
  <c r="F51" i="16" s="1"/>
  <c r="F37" i="16"/>
  <c r="F39" i="16" s="1"/>
  <c r="F50" i="16" s="1"/>
  <c r="F34" i="16"/>
  <c r="L42" i="16"/>
  <c r="L44" i="16" s="1"/>
  <c r="L51" i="16" s="1"/>
  <c r="L37" i="16"/>
  <c r="L39" i="16" s="1"/>
  <c r="L50" i="16" s="1"/>
  <c r="L34" i="16"/>
  <c r="M121" i="16"/>
  <c r="G42" i="16"/>
  <c r="G44" i="16" s="1"/>
  <c r="G51" i="16" s="1"/>
  <c r="G37" i="16"/>
  <c r="G39" i="16" s="1"/>
  <c r="G50" i="16" s="1"/>
  <c r="G34" i="16"/>
  <c r="K42" i="16"/>
  <c r="K44" i="16" s="1"/>
  <c r="K51" i="16" s="1"/>
  <c r="K37" i="16"/>
  <c r="K39" i="16" s="1"/>
  <c r="K50" i="16" s="1"/>
  <c r="M42" i="16"/>
  <c r="M44" i="16" s="1"/>
  <c r="M51" i="16" s="1"/>
  <c r="M37" i="16"/>
  <c r="M39" i="16" s="1"/>
  <c r="M50" i="16" s="1"/>
  <c r="M34" i="16"/>
  <c r="N37" i="16"/>
  <c r="N39" i="16" s="1"/>
  <c r="N50" i="16" s="1"/>
  <c r="N34" i="16"/>
  <c r="N42" i="16"/>
  <c r="N44" i="16" s="1"/>
  <c r="N51" i="16" s="1"/>
  <c r="I42" i="16"/>
  <c r="I44" i="16" s="1"/>
  <c r="I51" i="16" s="1"/>
  <c r="I37" i="16"/>
  <c r="I39" i="16" s="1"/>
  <c r="I50" i="16" s="1"/>
  <c r="I34" i="16"/>
  <c r="N121" i="16"/>
  <c r="M133" i="16" s="1"/>
  <c r="M134" i="16" s="1"/>
  <c r="M135" i="16" s="1"/>
  <c r="M114" i="18" s="1"/>
  <c r="H42" i="16"/>
  <c r="H44" i="16" s="1"/>
  <c r="H51" i="16" s="1"/>
  <c r="H37" i="16"/>
  <c r="H39" i="16" s="1"/>
  <c r="H34" i="16"/>
  <c r="D121" i="16"/>
  <c r="D123" i="16" s="1"/>
  <c r="I49" i="12"/>
  <c r="F121" i="16"/>
  <c r="J37" i="16"/>
  <c r="J39" i="16" s="1"/>
  <c r="J50" i="16" s="1"/>
  <c r="J34" i="16"/>
  <c r="J42" i="16"/>
  <c r="J44" i="16" s="1"/>
  <c r="J51" i="16" s="1"/>
  <c r="J49" i="12"/>
  <c r="H49" i="12"/>
  <c r="M49" i="12"/>
  <c r="G49" i="12"/>
  <c r="L49" i="12"/>
  <c r="K49" i="12"/>
  <c r="K97" i="15"/>
  <c r="G97" i="15"/>
  <c r="M96" i="15"/>
  <c r="I96" i="15"/>
  <c r="E96" i="15"/>
  <c r="J97" i="15"/>
  <c r="F97" i="15"/>
  <c r="L96" i="15"/>
  <c r="H96" i="15"/>
  <c r="D96" i="15"/>
  <c r="M97" i="15"/>
  <c r="I97" i="15"/>
  <c r="E97" i="15"/>
  <c r="K96" i="15"/>
  <c r="G96" i="15"/>
  <c r="L97" i="15"/>
  <c r="H97" i="15"/>
  <c r="D97" i="15"/>
  <c r="J96" i="15"/>
  <c r="F96" i="15"/>
  <c r="G64" i="13"/>
  <c r="G65" i="13" s="1"/>
  <c r="G98" i="18" s="1"/>
  <c r="H29" i="17"/>
  <c r="H30" i="17" s="1"/>
  <c r="H111" i="18" s="1"/>
  <c r="H128" i="18" s="1"/>
  <c r="H14" i="4"/>
  <c r="G14" i="4"/>
  <c r="D29" i="17"/>
  <c r="D30" i="17" s="1"/>
  <c r="D14" i="4"/>
  <c r="E64" i="13"/>
  <c r="E65" i="13" s="1"/>
  <c r="E98" i="18" s="1"/>
  <c r="I29" i="17"/>
  <c r="I111" i="18" s="1"/>
  <c r="I128" i="18" s="1"/>
  <c r="I14" i="4"/>
  <c r="E29" i="17"/>
  <c r="E30" i="17" s="1"/>
  <c r="E111" i="18" s="1"/>
  <c r="E128" i="18" s="1"/>
  <c r="E14" i="4"/>
  <c r="E108" i="12"/>
  <c r="E109" i="12" s="1"/>
  <c r="E111" i="12" s="1"/>
  <c r="G108" i="12"/>
  <c r="G109" i="12" s="1"/>
  <c r="G111" i="12" s="1"/>
  <c r="F14" i="4"/>
  <c r="J29" i="17"/>
  <c r="J111" i="18" s="1"/>
  <c r="J128" i="18" s="1"/>
  <c r="J14" i="4"/>
  <c r="J108" i="12"/>
  <c r="J109" i="12" s="1"/>
  <c r="J111" i="12" s="1"/>
  <c r="J64" i="13"/>
  <c r="J65" i="13" s="1"/>
  <c r="J98" i="18" s="1"/>
  <c r="L29" i="17"/>
  <c r="L111" i="18" s="1"/>
  <c r="L128" i="18" s="1"/>
  <c r="M29" i="17"/>
  <c r="M111" i="18" s="1"/>
  <c r="M128" i="18" s="1"/>
  <c r="I22" i="15"/>
  <c r="D82" i="15"/>
  <c r="D84" i="15" s="1"/>
  <c r="D88" i="15" s="1"/>
  <c r="D92" i="15" s="1"/>
  <c r="M22" i="15"/>
  <c r="N22" i="15"/>
  <c r="E22" i="15"/>
  <c r="I108" i="12"/>
  <c r="I109" i="12" s="1"/>
  <c r="I111" i="12" s="1"/>
  <c r="H108" i="12"/>
  <c r="H109" i="12" s="1"/>
  <c r="H111" i="12" s="1"/>
  <c r="K22" i="15"/>
  <c r="G186" i="16"/>
  <c r="F198" i="16" s="1"/>
  <c r="D186" i="16"/>
  <c r="D188" i="16" s="1"/>
  <c r="D164" i="18" s="1"/>
  <c r="J186" i="16"/>
  <c r="I198" i="16" s="1"/>
  <c r="E199" i="16"/>
  <c r="E200" i="16" s="1"/>
  <c r="E188" i="18" s="1"/>
  <c r="F188" i="16"/>
  <c r="F164" i="18" s="1"/>
  <c r="J199" i="16"/>
  <c r="J200" i="16" s="1"/>
  <c r="J188" i="18" s="1"/>
  <c r="K188" i="16"/>
  <c r="I188" i="16"/>
  <c r="I164" i="18" s="1"/>
  <c r="H199" i="16"/>
  <c r="H200" i="16" s="1"/>
  <c r="H188" i="18" s="1"/>
  <c r="H188" i="16"/>
  <c r="H164" i="18" s="1"/>
  <c r="G199" i="16"/>
  <c r="G200" i="16" s="1"/>
  <c r="G188" i="18" s="1"/>
  <c r="F22" i="15"/>
  <c r="I12" i="15"/>
  <c r="I40" i="15"/>
  <c r="I36" i="15"/>
  <c r="N82" i="15"/>
  <c r="L40" i="15"/>
  <c r="L12" i="15"/>
  <c r="L36" i="15"/>
  <c r="N36" i="15"/>
  <c r="N12" i="15"/>
  <c r="G40" i="15"/>
  <c r="G36" i="15"/>
  <c r="G12" i="15"/>
  <c r="F108" i="12"/>
  <c r="F109" i="12" s="1"/>
  <c r="F111" i="12" s="1"/>
  <c r="M108" i="12"/>
  <c r="M109" i="12" s="1"/>
  <c r="M111" i="12" s="1"/>
  <c r="K36" i="15"/>
  <c r="K40" i="15"/>
  <c r="K12" i="15"/>
  <c r="D55" i="14"/>
  <c r="J22" i="15"/>
  <c r="F36" i="15"/>
  <c r="F40" i="15"/>
  <c r="F12" i="15"/>
  <c r="H12" i="15"/>
  <c r="H40" i="15"/>
  <c r="H36" i="15"/>
  <c r="D36" i="15"/>
  <c r="D40" i="15"/>
  <c r="D12" i="15"/>
  <c r="L22" i="15"/>
  <c r="G22" i="15"/>
  <c r="E40" i="15"/>
  <c r="E36" i="15"/>
  <c r="E12" i="15"/>
  <c r="J12" i="15"/>
  <c r="J40" i="15"/>
  <c r="J36" i="15"/>
  <c r="M36" i="15"/>
  <c r="M40" i="15"/>
  <c r="M12" i="15"/>
  <c r="H170" i="12"/>
  <c r="H171" i="12" s="1"/>
  <c r="H172" i="12" s="1"/>
  <c r="G30" i="12"/>
  <c r="G33" i="12"/>
  <c r="L33" i="12"/>
  <c r="L30" i="12"/>
  <c r="E33" i="12"/>
  <c r="E30" i="12"/>
  <c r="K30" i="12"/>
  <c r="K33" i="12"/>
  <c r="J30" i="12"/>
  <c r="J33" i="12"/>
  <c r="F30" i="12"/>
  <c r="F33" i="12"/>
  <c r="D170" i="12"/>
  <c r="D171" i="12" s="1"/>
  <c r="D172" i="12" s="1"/>
  <c r="E158" i="12"/>
  <c r="E161" i="18" s="1"/>
  <c r="D33" i="12"/>
  <c r="D30" i="12"/>
  <c r="N33" i="12"/>
  <c r="N30" i="12"/>
  <c r="H33" i="12"/>
  <c r="M30" i="12"/>
  <c r="M33" i="12"/>
  <c r="I30" i="12"/>
  <c r="I33" i="12"/>
  <c r="K117" i="14" l="1"/>
  <c r="J117" i="14"/>
  <c r="F110" i="14"/>
  <c r="D110" i="14"/>
  <c r="K110" i="14"/>
  <c r="R112" i="18"/>
  <c r="K71" i="20" s="1"/>
  <c r="F113" i="14"/>
  <c r="F117" i="14" s="1"/>
  <c r="G102" i="12"/>
  <c r="G87" i="18" s="1"/>
  <c r="J110" i="14"/>
  <c r="L114" i="12"/>
  <c r="L115" i="12" s="1"/>
  <c r="L116" i="12" s="1"/>
  <c r="L109" i="18" s="1"/>
  <c r="G187" i="14"/>
  <c r="L158" i="12"/>
  <c r="L161" i="18" s="1"/>
  <c r="L170" i="12"/>
  <c r="L171" i="12" s="1"/>
  <c r="L172" i="12" s="1"/>
  <c r="L183" i="18" s="1"/>
  <c r="D102" i="22"/>
  <c r="D103" i="22" s="1"/>
  <c r="D104" i="22" s="1"/>
  <c r="D106" i="22" s="1"/>
  <c r="E166" i="18"/>
  <c r="L18" i="17"/>
  <c r="K33" i="17" s="1"/>
  <c r="K34" i="17" s="1"/>
  <c r="K35" i="17" s="1"/>
  <c r="K91" i="18"/>
  <c r="E102" i="22"/>
  <c r="E103" i="22" s="1"/>
  <c r="E104" i="22" s="1"/>
  <c r="E106" i="22" s="1"/>
  <c r="F166" i="18"/>
  <c r="L198" i="16"/>
  <c r="L199" i="16" s="1"/>
  <c r="L200" i="16" s="1"/>
  <c r="L188" i="18" s="1"/>
  <c r="M188" i="16"/>
  <c r="M164" i="18" s="1"/>
  <c r="F102" i="22"/>
  <c r="F103" i="22" s="1"/>
  <c r="F104" i="22" s="1"/>
  <c r="F106" i="22" s="1"/>
  <c r="G166" i="18"/>
  <c r="F74" i="13"/>
  <c r="F98" i="18"/>
  <c r="M74" i="13"/>
  <c r="M98" i="18"/>
  <c r="D37" i="18"/>
  <c r="D111" i="18"/>
  <c r="D128" i="18" s="1"/>
  <c r="E187" i="14"/>
  <c r="I117" i="14"/>
  <c r="I110" i="14"/>
  <c r="M37" i="18"/>
  <c r="L37" i="18"/>
  <c r="L259" i="18" s="1"/>
  <c r="H37" i="18"/>
  <c r="H259" i="18" s="1"/>
  <c r="E37" i="18"/>
  <c r="E259" i="18" s="1"/>
  <c r="J37" i="18"/>
  <c r="J259" i="18" s="1"/>
  <c r="I37" i="18"/>
  <c r="I259" i="18" s="1"/>
  <c r="J92" i="15"/>
  <c r="J89" i="18" s="1"/>
  <c r="G103" i="22"/>
  <c r="G104" i="22" s="1"/>
  <c r="G106" i="22" s="1"/>
  <c r="I102" i="22"/>
  <c r="F28" i="22"/>
  <c r="F18" i="18" s="1"/>
  <c r="F240" i="18" s="1"/>
  <c r="H28" i="22"/>
  <c r="H18" i="18" s="1"/>
  <c r="H240" i="18" s="1"/>
  <c r="G28" i="22"/>
  <c r="G18" i="18" s="1"/>
  <c r="E28" i="22"/>
  <c r="E18" i="18" s="1"/>
  <c r="E240" i="18" s="1"/>
  <c r="D28" i="22"/>
  <c r="D18" i="18" s="1"/>
  <c r="D240" i="18" s="1"/>
  <c r="K16" i="22"/>
  <c r="J102" i="22" s="1"/>
  <c r="J103" i="22" s="1"/>
  <c r="J104" i="22" s="1"/>
  <c r="J106" i="22" s="1"/>
  <c r="J28" i="22"/>
  <c r="J18" i="18" s="1"/>
  <c r="J240" i="18" s="1"/>
  <c r="E188" i="16"/>
  <c r="E164" i="18" s="1"/>
  <c r="I167" i="12"/>
  <c r="I180" i="18" s="1"/>
  <c r="I171" i="18"/>
  <c r="P165" i="18"/>
  <c r="I92" i="20" s="1"/>
  <c r="M108" i="13"/>
  <c r="M187" i="14"/>
  <c r="J187" i="14"/>
  <c r="M92" i="15"/>
  <c r="M89" i="18" s="1"/>
  <c r="D180" i="14"/>
  <c r="F187" i="14"/>
  <c r="F208" i="14"/>
  <c r="F209" i="14" s="1"/>
  <c r="F173" i="18" s="1"/>
  <c r="L208" i="14"/>
  <c r="L209" i="14" s="1"/>
  <c r="L173" i="18" s="1"/>
  <c r="E208" i="14"/>
  <c r="E209" i="14" s="1"/>
  <c r="E173" i="18" s="1"/>
  <c r="G208" i="14"/>
  <c r="G209" i="14" s="1"/>
  <c r="G173" i="18" s="1"/>
  <c r="D208" i="14"/>
  <c r="D209" i="14" s="1"/>
  <c r="D173" i="18" s="1"/>
  <c r="J208" i="14"/>
  <c r="J209" i="14" s="1"/>
  <c r="J173" i="18" s="1"/>
  <c r="H38" i="13"/>
  <c r="H36" i="18" s="1"/>
  <c r="D187" i="14"/>
  <c r="K208" i="14"/>
  <c r="K209" i="14" s="1"/>
  <c r="K173" i="18" s="1"/>
  <c r="H208" i="14"/>
  <c r="H209" i="14" s="1"/>
  <c r="H173" i="18" s="1"/>
  <c r="M208" i="14"/>
  <c r="M209" i="14" s="1"/>
  <c r="M173" i="18" s="1"/>
  <c r="I208" i="14"/>
  <c r="I209" i="14" s="1"/>
  <c r="I173" i="18" s="1"/>
  <c r="L187" i="14"/>
  <c r="E102" i="15"/>
  <c r="E103" i="15" s="1"/>
  <c r="E104" i="15" s="1"/>
  <c r="E113" i="18" s="1"/>
  <c r="K92" i="15"/>
  <c r="K89" i="18" s="1"/>
  <c r="H102" i="15"/>
  <c r="H103" i="15" s="1"/>
  <c r="H104" i="15" s="1"/>
  <c r="H113" i="18" s="1"/>
  <c r="I92" i="15"/>
  <c r="I89" i="18" s="1"/>
  <c r="F102" i="15"/>
  <c r="F103" i="15" s="1"/>
  <c r="F104" i="15" s="1"/>
  <c r="F113" i="18" s="1"/>
  <c r="G92" i="15"/>
  <c r="G89" i="18" s="1"/>
  <c r="L92" i="15"/>
  <c r="L89" i="18" s="1"/>
  <c r="K102" i="15"/>
  <c r="K103" i="15" s="1"/>
  <c r="K104" i="15" s="1"/>
  <c r="K113" i="18" s="1"/>
  <c r="H92" i="15"/>
  <c r="H89" i="18" s="1"/>
  <c r="G102" i="15"/>
  <c r="G103" i="15" s="1"/>
  <c r="G104" i="15" s="1"/>
  <c r="G113" i="18" s="1"/>
  <c r="E92" i="15"/>
  <c r="E89" i="18" s="1"/>
  <c r="D102" i="15"/>
  <c r="D103" i="15" s="1"/>
  <c r="D104" i="15" s="1"/>
  <c r="D113" i="18" s="1"/>
  <c r="N84" i="15"/>
  <c r="N88" i="15" s="1"/>
  <c r="M102" i="15" s="1"/>
  <c r="M103" i="15" s="1"/>
  <c r="M104" i="15" s="1"/>
  <c r="M113" i="18" s="1"/>
  <c r="D89" i="18"/>
  <c r="F108" i="13"/>
  <c r="H108" i="13"/>
  <c r="M148" i="15"/>
  <c r="M149" i="15" s="1"/>
  <c r="M174" i="18" s="1"/>
  <c r="H148" i="15"/>
  <c r="H149" i="15" s="1"/>
  <c r="H174" i="18" s="1"/>
  <c r="E65" i="14"/>
  <c r="J108" i="13"/>
  <c r="K108" i="13"/>
  <c r="L108" i="13"/>
  <c r="K148" i="15"/>
  <c r="K149" i="15" s="1"/>
  <c r="K174" i="18" s="1"/>
  <c r="E108" i="13"/>
  <c r="K171" i="18"/>
  <c r="E171" i="18"/>
  <c r="P171" i="18"/>
  <c r="I98" i="20" s="1"/>
  <c r="L171" i="18"/>
  <c r="D108" i="13"/>
  <c r="D171" i="18"/>
  <c r="H171" i="18"/>
  <c r="I108" i="13"/>
  <c r="F171" i="18"/>
  <c r="M171" i="18"/>
  <c r="J171" i="18"/>
  <c r="G171" i="18"/>
  <c r="D50" i="12"/>
  <c r="D148" i="15"/>
  <c r="D149" i="15" s="1"/>
  <c r="D156" i="15" s="1"/>
  <c r="J148" i="15"/>
  <c r="J149" i="15" s="1"/>
  <c r="J156" i="15" s="1"/>
  <c r="G148" i="15"/>
  <c r="G149" i="15" s="1"/>
  <c r="G174" i="18" s="1"/>
  <c r="I38" i="14"/>
  <c r="I45" i="14" s="1"/>
  <c r="G38" i="14"/>
  <c r="G45" i="14" s="1"/>
  <c r="K37" i="14"/>
  <c r="K44" i="14" s="1"/>
  <c r="D37" i="14"/>
  <c r="D44" i="14" s="1"/>
  <c r="K38" i="14"/>
  <c r="K45" i="14" s="1"/>
  <c r="N38" i="14"/>
  <c r="N45" i="14" s="1"/>
  <c r="G36" i="14"/>
  <c r="G43" i="14" s="1"/>
  <c r="E37" i="14"/>
  <c r="E44" i="14" s="1"/>
  <c r="E43" i="14"/>
  <c r="H37" i="14"/>
  <c r="H44" i="14" s="1"/>
  <c r="G39" i="14"/>
  <c r="G46" i="14" s="1"/>
  <c r="H36" i="14"/>
  <c r="F37" i="14"/>
  <c r="F44" i="14" s="1"/>
  <c r="H46" i="14"/>
  <c r="H38" i="14"/>
  <c r="H45" i="14" s="1"/>
  <c r="J36" i="14"/>
  <c r="J39" i="14"/>
  <c r="J46" i="14" s="1"/>
  <c r="M39" i="14"/>
  <c r="M46" i="14" s="1"/>
  <c r="M36" i="14"/>
  <c r="M43" i="14" s="1"/>
  <c r="I37" i="14"/>
  <c r="I39" i="14"/>
  <c r="I46" i="14" s="1"/>
  <c r="N37" i="14"/>
  <c r="N44" i="14" s="1"/>
  <c r="N36" i="14"/>
  <c r="K36" i="14"/>
  <c r="F38" i="14"/>
  <c r="F45" i="14" s="1"/>
  <c r="D39" i="14"/>
  <c r="D46" i="14" s="1"/>
  <c r="D36" i="14"/>
  <c r="L39" i="14"/>
  <c r="L46" i="14" s="1"/>
  <c r="L36" i="14"/>
  <c r="M38" i="14"/>
  <c r="M45" i="14" s="1"/>
  <c r="J38" i="14"/>
  <c r="J45" i="14" s="1"/>
  <c r="E38" i="14"/>
  <c r="E45" i="14" s="1"/>
  <c r="M37" i="14"/>
  <c r="M44" i="14" s="1"/>
  <c r="E39" i="14"/>
  <c r="E46" i="14" s="1"/>
  <c r="F36" i="14"/>
  <c r="L37" i="14"/>
  <c r="L44" i="14" s="1"/>
  <c r="J37" i="14"/>
  <c r="J44" i="14" s="1"/>
  <c r="D65" i="14"/>
  <c r="H65" i="14"/>
  <c r="F65" i="14"/>
  <c r="K65" i="14"/>
  <c r="L65" i="14"/>
  <c r="J65" i="14"/>
  <c r="I65" i="14"/>
  <c r="M65" i="14"/>
  <c r="G65" i="14"/>
  <c r="N65" i="14"/>
  <c r="D45" i="14"/>
  <c r="F46" i="14"/>
  <c r="L45" i="14"/>
  <c r="I43" i="14"/>
  <c r="E148" i="15"/>
  <c r="E149" i="15" s="1"/>
  <c r="E174" i="18" s="1"/>
  <c r="F148" i="15"/>
  <c r="F149" i="15" s="1"/>
  <c r="F174" i="18" s="1"/>
  <c r="N46" i="14"/>
  <c r="K46" i="14"/>
  <c r="L148" i="15"/>
  <c r="L149" i="15" s="1"/>
  <c r="L174" i="18" s="1"/>
  <c r="G44" i="14"/>
  <c r="I148" i="15"/>
  <c r="I149" i="15" s="1"/>
  <c r="I156" i="15" s="1"/>
  <c r="C14" i="4"/>
  <c r="G133" i="16"/>
  <c r="G134" i="16" s="1"/>
  <c r="G135" i="16" s="1"/>
  <c r="G114" i="18" s="1"/>
  <c r="E170" i="12"/>
  <c r="E171" i="12" s="1"/>
  <c r="E172" i="12" s="1"/>
  <c r="E183" i="18" s="1"/>
  <c r="H133" i="16"/>
  <c r="H134" i="16" s="1"/>
  <c r="H135" i="16" s="1"/>
  <c r="H114" i="18" s="1"/>
  <c r="K133" i="16"/>
  <c r="K134" i="16" s="1"/>
  <c r="K135" i="16" s="1"/>
  <c r="K114" i="18" s="1"/>
  <c r="E123" i="16"/>
  <c r="E90" i="18" s="1"/>
  <c r="D133" i="16"/>
  <c r="D134" i="16" s="1"/>
  <c r="D135" i="16" s="1"/>
  <c r="D114" i="18" s="1"/>
  <c r="E52" i="16"/>
  <c r="G123" i="16"/>
  <c r="G90" i="18" s="1"/>
  <c r="F133" i="16"/>
  <c r="F134" i="16" s="1"/>
  <c r="F135" i="16" s="1"/>
  <c r="F114" i="18" s="1"/>
  <c r="D30" i="15"/>
  <c r="D31" i="15" s="1"/>
  <c r="D32" i="15" s="1"/>
  <c r="D34" i="15" s="1"/>
  <c r="D38" i="15" s="1"/>
  <c r="M174" i="12"/>
  <c r="L102" i="12"/>
  <c r="L87" i="18" s="1"/>
  <c r="J114" i="12"/>
  <c r="J115" i="12" s="1"/>
  <c r="J116" i="12" s="1"/>
  <c r="J109" i="18" s="1"/>
  <c r="I30" i="15"/>
  <c r="I31" i="15" s="1"/>
  <c r="I32" i="15" s="1"/>
  <c r="I34" i="15" s="1"/>
  <c r="I38" i="15" s="1"/>
  <c r="I9" i="4" s="1"/>
  <c r="I74" i="13"/>
  <c r="M30" i="15"/>
  <c r="M31" i="15" s="1"/>
  <c r="M32" i="15" s="1"/>
  <c r="M34" i="15" s="1"/>
  <c r="M38" i="15" s="1"/>
  <c r="E98" i="15"/>
  <c r="E99" i="15" s="1"/>
  <c r="E100" i="18" s="1"/>
  <c r="M98" i="15"/>
  <c r="M99" i="15" s="1"/>
  <c r="M100" i="18" s="1"/>
  <c r="K98" i="15"/>
  <c r="K99" i="15" s="1"/>
  <c r="H98" i="15"/>
  <c r="H99" i="15" s="1"/>
  <c r="H100" i="18" s="1"/>
  <c r="F102" i="12"/>
  <c r="F87" i="18" s="1"/>
  <c r="D98" i="18"/>
  <c r="L97" i="18"/>
  <c r="J102" i="12"/>
  <c r="J87" i="18" s="1"/>
  <c r="I114" i="12"/>
  <c r="I115" i="12" s="1"/>
  <c r="I116" i="12" s="1"/>
  <c r="I109" i="18" s="1"/>
  <c r="I170" i="12"/>
  <c r="I171" i="12" s="1"/>
  <c r="I172" i="12" s="1"/>
  <c r="G158" i="12"/>
  <c r="G161" i="18" s="1"/>
  <c r="H114" i="12"/>
  <c r="H115" i="12" s="1"/>
  <c r="H116" i="12" s="1"/>
  <c r="H109" i="18" s="1"/>
  <c r="I102" i="12"/>
  <c r="I87" i="18" s="1"/>
  <c r="H74" i="13"/>
  <c r="H102" i="12"/>
  <c r="H87" i="18" s="1"/>
  <c r="K74" i="13"/>
  <c r="D114" i="12"/>
  <c r="D115" i="12" s="1"/>
  <c r="D116" i="12" s="1"/>
  <c r="D109" i="18" s="1"/>
  <c r="J170" i="12"/>
  <c r="J171" i="12" s="1"/>
  <c r="J172" i="12" s="1"/>
  <c r="J183" i="18" s="1"/>
  <c r="K97" i="18"/>
  <c r="H30" i="15"/>
  <c r="H31" i="15" s="1"/>
  <c r="H32" i="15" s="1"/>
  <c r="H34" i="15" s="1"/>
  <c r="H38" i="15" s="1"/>
  <c r="H9" i="4" s="1"/>
  <c r="P182" i="18"/>
  <c r="I109" i="20" s="1"/>
  <c r="N52" i="16"/>
  <c r="E30" i="15"/>
  <c r="E31" i="15" s="1"/>
  <c r="E32" i="15" s="1"/>
  <c r="E34" i="15" s="1"/>
  <c r="E38" i="15" s="1"/>
  <c r="E9" i="4" s="1"/>
  <c r="L74" i="13"/>
  <c r="E46" i="16"/>
  <c r="P100" i="18"/>
  <c r="I59" i="20" s="1"/>
  <c r="J46" i="16"/>
  <c r="F52" i="16"/>
  <c r="D97" i="18"/>
  <c r="M259" i="18"/>
  <c r="G170" i="12"/>
  <c r="G171" i="12" s="1"/>
  <c r="G172" i="12" s="1"/>
  <c r="G183" i="18" s="1"/>
  <c r="E54" i="18"/>
  <c r="E276" i="18" s="1"/>
  <c r="K52" i="16"/>
  <c r="L52" i="16"/>
  <c r="I133" i="16"/>
  <c r="I134" i="16" s="1"/>
  <c r="I135" i="16" s="1"/>
  <c r="I114" i="18" s="1"/>
  <c r="B119" i="20"/>
  <c r="M11" i="7"/>
  <c r="C119" i="20" s="1"/>
  <c r="L46" i="16"/>
  <c r="D208" i="18"/>
  <c r="D216" i="18"/>
  <c r="I46" i="16"/>
  <c r="M52" i="16"/>
  <c r="G46" i="16"/>
  <c r="D46" i="16"/>
  <c r="F123" i="16"/>
  <c r="E133" i="16"/>
  <c r="E134" i="16" s="1"/>
  <c r="E135" i="16" s="1"/>
  <c r="H46" i="16"/>
  <c r="H50" i="16"/>
  <c r="H52" i="16" s="1"/>
  <c r="I52" i="16"/>
  <c r="N46" i="16"/>
  <c r="G52" i="16"/>
  <c r="M123" i="16"/>
  <c r="L133" i="16"/>
  <c r="L134" i="16" s="1"/>
  <c r="L135" i="16" s="1"/>
  <c r="L114" i="18" s="1"/>
  <c r="F46" i="16"/>
  <c r="D52" i="16"/>
  <c r="K46" i="16"/>
  <c r="L90" i="18"/>
  <c r="J52" i="16"/>
  <c r="D63" i="16"/>
  <c r="G63" i="16"/>
  <c r="I63" i="16"/>
  <c r="K62" i="16"/>
  <c r="M63" i="16"/>
  <c r="E63" i="16"/>
  <c r="F63" i="16"/>
  <c r="H63" i="16"/>
  <c r="J63" i="16"/>
  <c r="L62" i="16"/>
  <c r="E62" i="16"/>
  <c r="F62" i="16"/>
  <c r="H62" i="16"/>
  <c r="J62" i="16"/>
  <c r="L63" i="16"/>
  <c r="D62" i="16"/>
  <c r="G62" i="16"/>
  <c r="I62" i="16"/>
  <c r="K63" i="16"/>
  <c r="M62" i="16"/>
  <c r="D90" i="18"/>
  <c r="I90" i="18"/>
  <c r="H90" i="18"/>
  <c r="M46" i="16"/>
  <c r="K123" i="16"/>
  <c r="J133" i="16"/>
  <c r="J134" i="16" s="1"/>
  <c r="J135" i="16" s="1"/>
  <c r="J114" i="18" s="1"/>
  <c r="J90" i="18"/>
  <c r="K29" i="13"/>
  <c r="G29" i="13"/>
  <c r="M28" i="13"/>
  <c r="I28" i="13"/>
  <c r="E28" i="13"/>
  <c r="J29" i="13"/>
  <c r="F29" i="13"/>
  <c r="L28" i="13"/>
  <c r="H28" i="13"/>
  <c r="D28" i="13"/>
  <c r="M29" i="13"/>
  <c r="I29" i="13"/>
  <c r="E29" i="13"/>
  <c r="K28" i="13"/>
  <c r="G28" i="13"/>
  <c r="L29" i="13"/>
  <c r="H29" i="13"/>
  <c r="D29" i="13"/>
  <c r="J28" i="13"/>
  <c r="F28" i="13"/>
  <c r="M51" i="12"/>
  <c r="I51" i="12"/>
  <c r="E51" i="12"/>
  <c r="K50" i="12"/>
  <c r="G50" i="12"/>
  <c r="L51" i="12"/>
  <c r="H51" i="12"/>
  <c r="D51" i="12"/>
  <c r="J50" i="12"/>
  <c r="F50" i="12"/>
  <c r="K51" i="12"/>
  <c r="G51" i="12"/>
  <c r="M50" i="12"/>
  <c r="I50" i="12"/>
  <c r="E50" i="12"/>
  <c r="J51" i="12"/>
  <c r="F51" i="12"/>
  <c r="L50" i="12"/>
  <c r="H50" i="12"/>
  <c r="K45" i="15"/>
  <c r="G45" i="15"/>
  <c r="J45" i="15"/>
  <c r="F45" i="15"/>
  <c r="M45" i="15"/>
  <c r="I45" i="15"/>
  <c r="E45" i="15"/>
  <c r="L45" i="15"/>
  <c r="H45" i="15"/>
  <c r="D45" i="15"/>
  <c r="E258" i="18"/>
  <c r="K258" i="18"/>
  <c r="G258" i="18"/>
  <c r="K30" i="15"/>
  <c r="K31" i="15" s="1"/>
  <c r="K32" i="15" s="1"/>
  <c r="K34" i="15" s="1"/>
  <c r="K38" i="15" s="1"/>
  <c r="K9" i="4" s="1"/>
  <c r="K164" i="18"/>
  <c r="P185" i="18" s="1"/>
  <c r="F174" i="12"/>
  <c r="F183" i="18"/>
  <c r="K174" i="12"/>
  <c r="K183" i="18"/>
  <c r="H174" i="12"/>
  <c r="H183" i="18"/>
  <c r="K118" i="12"/>
  <c r="K109" i="18"/>
  <c r="D174" i="12"/>
  <c r="D183" i="18"/>
  <c r="F106" i="18"/>
  <c r="F97" i="18"/>
  <c r="E74" i="13"/>
  <c r="H97" i="18"/>
  <c r="I97" i="18"/>
  <c r="J74" i="13"/>
  <c r="G97" i="18"/>
  <c r="M106" i="18"/>
  <c r="M97" i="18"/>
  <c r="J97" i="18"/>
  <c r="E97" i="18"/>
  <c r="G74" i="13"/>
  <c r="E239" i="18"/>
  <c r="D33" i="17"/>
  <c r="D34" i="17" s="1"/>
  <c r="D35" i="17" s="1"/>
  <c r="F239" i="18"/>
  <c r="E33" i="17"/>
  <c r="E34" i="17" s="1"/>
  <c r="E35" i="17" s="1"/>
  <c r="E115" i="18" s="1"/>
  <c r="G239" i="18"/>
  <c r="F33" i="17"/>
  <c r="F34" i="17" s="1"/>
  <c r="F35" i="17" s="1"/>
  <c r="F29" i="17"/>
  <c r="F30" i="17" s="1"/>
  <c r="F111" i="18" s="1"/>
  <c r="F128" i="18" s="1"/>
  <c r="D239" i="18"/>
  <c r="G29" i="17"/>
  <c r="G30" i="17" s="1"/>
  <c r="G111" i="18" s="1"/>
  <c r="G128" i="18" s="1"/>
  <c r="K29" i="17"/>
  <c r="K111" i="18" s="1"/>
  <c r="K128" i="18" s="1"/>
  <c r="J239" i="18"/>
  <c r="I33" i="17"/>
  <c r="I34" i="17" s="1"/>
  <c r="I35" i="17" s="1"/>
  <c r="J33" i="17"/>
  <c r="J34" i="17" s="1"/>
  <c r="J35" i="17" s="1"/>
  <c r="J115" i="18" s="1"/>
  <c r="H33" i="17"/>
  <c r="H34" i="17" s="1"/>
  <c r="H35" i="17" s="1"/>
  <c r="H115" i="18" s="1"/>
  <c r="H239" i="18"/>
  <c r="G33" i="17"/>
  <c r="G34" i="17" s="1"/>
  <c r="G35" i="17" s="1"/>
  <c r="G98" i="15"/>
  <c r="G99" i="15" s="1"/>
  <c r="G100" i="18" s="1"/>
  <c r="F30" i="15"/>
  <c r="F31" i="15" s="1"/>
  <c r="F32" i="15" s="1"/>
  <c r="F34" i="15" s="1"/>
  <c r="F38" i="15" s="1"/>
  <c r="F42" i="15" s="1"/>
  <c r="F15" i="18" s="1"/>
  <c r="F237" i="18" s="1"/>
  <c r="N30" i="15"/>
  <c r="N31" i="15" s="1"/>
  <c r="N32" i="15" s="1"/>
  <c r="N34" i="15" s="1"/>
  <c r="N38" i="15" s="1"/>
  <c r="J36" i="18"/>
  <c r="J54" i="18" s="1"/>
  <c r="J276" i="18" s="1"/>
  <c r="G188" i="16"/>
  <c r="F199" i="16"/>
  <c r="F200" i="16" s="1"/>
  <c r="I199" i="16"/>
  <c r="I200" i="16" s="1"/>
  <c r="J188" i="16"/>
  <c r="L98" i="15"/>
  <c r="L99" i="15" s="1"/>
  <c r="D98" i="15"/>
  <c r="D99" i="15" s="1"/>
  <c r="F98" i="15"/>
  <c r="F99" i="15" s="1"/>
  <c r="L30" i="15"/>
  <c r="L31" i="15" s="1"/>
  <c r="L32" i="15" s="1"/>
  <c r="L34" i="15" s="1"/>
  <c r="L38" i="15" s="1"/>
  <c r="I98" i="15"/>
  <c r="I99" i="15" s="1"/>
  <c r="G30" i="15"/>
  <c r="J98" i="15"/>
  <c r="J99" i="15" s="1"/>
  <c r="J30" i="15"/>
  <c r="L36" i="18"/>
  <c r="L35" i="12"/>
  <c r="L36" i="12" s="1"/>
  <c r="L38" i="12" s="1"/>
  <c r="L40" i="12" s="1"/>
  <c r="L42" i="12" s="1"/>
  <c r="L174" i="12"/>
  <c r="F36" i="18"/>
  <c r="D36" i="18"/>
  <c r="I36" i="18"/>
  <c r="I54" i="18" s="1"/>
  <c r="I276" i="18" s="1"/>
  <c r="M36" i="18"/>
  <c r="J35" i="12"/>
  <c r="J36" i="12" s="1"/>
  <c r="J38" i="12" s="1"/>
  <c r="J40" i="12" s="1"/>
  <c r="J42" i="12" s="1"/>
  <c r="I35" i="12"/>
  <c r="I36" i="12" s="1"/>
  <c r="I38" i="12" s="1"/>
  <c r="I40" i="12" s="1"/>
  <c r="I42" i="12" s="1"/>
  <c r="I5" i="4" s="1"/>
  <c r="G35" i="12"/>
  <c r="G36" i="12" s="1"/>
  <c r="G38" i="12" s="1"/>
  <c r="G40" i="12" s="1"/>
  <c r="G42" i="12" s="1"/>
  <c r="G5" i="4" s="1"/>
  <c r="K35" i="12"/>
  <c r="K36" i="12" s="1"/>
  <c r="K38" i="12" s="1"/>
  <c r="K40" i="12" s="1"/>
  <c r="K42" i="12" s="1"/>
  <c r="K5" i="4" s="1"/>
  <c r="F35" i="12"/>
  <c r="F36" i="12" s="1"/>
  <c r="F38" i="12" s="1"/>
  <c r="F40" i="12" s="1"/>
  <c r="F42" i="12" s="1"/>
  <c r="F5" i="4" s="1"/>
  <c r="M35" i="12"/>
  <c r="M36" i="12" s="1"/>
  <c r="M38" i="12" s="1"/>
  <c r="M40" i="12" s="1"/>
  <c r="M42" i="12" s="1"/>
  <c r="M5" i="4" s="1"/>
  <c r="D35" i="12"/>
  <c r="D36" i="12" s="1"/>
  <c r="D38" i="12" s="1"/>
  <c r="D40" i="12" s="1"/>
  <c r="D42" i="12" s="1"/>
  <c r="E35" i="12"/>
  <c r="E36" i="12" s="1"/>
  <c r="E38" i="12" s="1"/>
  <c r="E40" i="12" s="1"/>
  <c r="E42" i="12" s="1"/>
  <c r="E5" i="4" s="1"/>
  <c r="H35" i="12"/>
  <c r="H36" i="12" s="1"/>
  <c r="H38" i="12" s="1"/>
  <c r="H40" i="12" s="1"/>
  <c r="H42" i="12" s="1"/>
  <c r="H5" i="4" s="1"/>
  <c r="N35" i="12"/>
  <c r="N36" i="12" s="1"/>
  <c r="N38" i="12" s="1"/>
  <c r="N40" i="12" s="1"/>
  <c r="N42" i="12" s="1"/>
  <c r="H54" i="18" l="1"/>
  <c r="H276" i="18" s="1"/>
  <c r="G240" i="18"/>
  <c r="M18" i="17"/>
  <c r="L91" i="18"/>
  <c r="L239" i="18" s="1"/>
  <c r="L14" i="4"/>
  <c r="I174" i="12"/>
  <c r="M54" i="18"/>
  <c r="M276" i="18" s="1"/>
  <c r="L54" i="18"/>
  <c r="L276" i="18" s="1"/>
  <c r="P110" i="18"/>
  <c r="R110" i="18" s="1"/>
  <c r="K69" i="20" s="1"/>
  <c r="D142" i="18"/>
  <c r="D134" i="18"/>
  <c r="D259" i="18"/>
  <c r="I41" i="18"/>
  <c r="I115" i="18"/>
  <c r="F41" i="18"/>
  <c r="F115" i="18"/>
  <c r="K41" i="18"/>
  <c r="K115" i="18"/>
  <c r="G41" i="18"/>
  <c r="G115" i="18"/>
  <c r="D41" i="18"/>
  <c r="D115" i="18"/>
  <c r="G37" i="18"/>
  <c r="G259" i="18" s="1"/>
  <c r="F37" i="18"/>
  <c r="F259" i="18" s="1"/>
  <c r="K37" i="18"/>
  <c r="K259" i="18" s="1"/>
  <c r="I103" i="22"/>
  <c r="I104" i="22" s="1"/>
  <c r="I106" i="22" s="1"/>
  <c r="L16" i="22"/>
  <c r="K28" i="22"/>
  <c r="K18" i="18" s="1"/>
  <c r="K240" i="18" s="1"/>
  <c r="D66" i="14"/>
  <c r="K106" i="15"/>
  <c r="H156" i="15"/>
  <c r="K156" i="15"/>
  <c r="M156" i="15"/>
  <c r="C109" i="13"/>
  <c r="H36" i="22"/>
  <c r="L156" i="15"/>
  <c r="P170" i="18"/>
  <c r="I97" i="20" s="1"/>
  <c r="J174" i="18"/>
  <c r="G156" i="15"/>
  <c r="I174" i="18"/>
  <c r="E156" i="15"/>
  <c r="D174" i="18"/>
  <c r="L40" i="14"/>
  <c r="D40" i="14"/>
  <c r="I40" i="14"/>
  <c r="F40" i="14"/>
  <c r="H40" i="14"/>
  <c r="K40" i="14"/>
  <c r="E40" i="14"/>
  <c r="I44" i="14"/>
  <c r="N40" i="14"/>
  <c r="J40" i="14"/>
  <c r="G40" i="14"/>
  <c r="K43" i="14"/>
  <c r="M40" i="14"/>
  <c r="D43" i="14"/>
  <c r="J180" i="14"/>
  <c r="H180" i="14"/>
  <c r="H189" i="14" s="1"/>
  <c r="H193" i="14" s="1"/>
  <c r="G180" i="14"/>
  <c r="I180" i="14"/>
  <c r="M180" i="14"/>
  <c r="F180" i="14"/>
  <c r="F189" i="14" s="1"/>
  <c r="F193" i="14" s="1"/>
  <c r="N180" i="14"/>
  <c r="N189" i="14" s="1"/>
  <c r="N193" i="14" s="1"/>
  <c r="L180" i="14"/>
  <c r="E180" i="14"/>
  <c r="D117" i="14"/>
  <c r="D119" i="14" s="1"/>
  <c r="D123" i="14" s="1"/>
  <c r="D127" i="14" s="1"/>
  <c r="D88" i="18" s="1"/>
  <c r="F156" i="15"/>
  <c r="G137" i="16"/>
  <c r="L43" i="14"/>
  <c r="J43" i="14"/>
  <c r="H43" i="14"/>
  <c r="N43" i="14"/>
  <c r="H137" i="16"/>
  <c r="F43" i="14"/>
  <c r="K66" i="14"/>
  <c r="L66" i="14"/>
  <c r="E67" i="14"/>
  <c r="I67" i="14"/>
  <c r="M67" i="14"/>
  <c r="G66" i="14"/>
  <c r="E66" i="14"/>
  <c r="F66" i="14"/>
  <c r="K67" i="14"/>
  <c r="I66" i="14"/>
  <c r="J67" i="14"/>
  <c r="G67" i="14"/>
  <c r="M66" i="14"/>
  <c r="N67" i="14"/>
  <c r="L67" i="14"/>
  <c r="J66" i="14"/>
  <c r="H67" i="14"/>
  <c r="D67" i="14"/>
  <c r="N66" i="14"/>
  <c r="F67" i="14"/>
  <c r="H66" i="14"/>
  <c r="G24" i="17"/>
  <c r="G25" i="17" s="1"/>
  <c r="G32" i="4" s="1"/>
  <c r="I24" i="17"/>
  <c r="I25" i="17" s="1"/>
  <c r="E174" i="12"/>
  <c r="H24" i="17"/>
  <c r="H25" i="17" s="1"/>
  <c r="H32" i="4" s="1"/>
  <c r="P108" i="18"/>
  <c r="I67" i="20" s="1"/>
  <c r="E56" i="16"/>
  <c r="D68" i="16" s="1"/>
  <c r="D69" i="16" s="1"/>
  <c r="D70" i="16" s="1"/>
  <c r="D40" i="18" s="1"/>
  <c r="D262" i="18" s="1"/>
  <c r="K24" i="17"/>
  <c r="K25" i="17" s="1"/>
  <c r="K37" i="17" s="1"/>
  <c r="D137" i="16"/>
  <c r="J56" i="16"/>
  <c r="J12" i="4" s="1"/>
  <c r="L118" i="12"/>
  <c r="H106" i="15"/>
  <c r="M106" i="15"/>
  <c r="I183" i="18"/>
  <c r="E106" i="15"/>
  <c r="K100" i="18"/>
  <c r="F118" i="12"/>
  <c r="L24" i="17"/>
  <c r="L25" i="17" s="1"/>
  <c r="D24" i="17"/>
  <c r="D25" i="17" s="1"/>
  <c r="D102" i="18" s="1"/>
  <c r="G30" i="13"/>
  <c r="G31" i="13" s="1"/>
  <c r="G40" i="13" s="1"/>
  <c r="G112" i="13" s="1"/>
  <c r="F56" i="16"/>
  <c r="F12" i="4" s="1"/>
  <c r="N56" i="16"/>
  <c r="M68" i="16" s="1"/>
  <c r="M69" i="16" s="1"/>
  <c r="M70" i="16" s="1"/>
  <c r="M40" i="18" s="1"/>
  <c r="M262" i="18" s="1"/>
  <c r="D118" i="12"/>
  <c r="J174" i="12"/>
  <c r="L30" i="13"/>
  <c r="L31" i="13" s="1"/>
  <c r="L24" i="18" s="1"/>
  <c r="L246" i="18" s="1"/>
  <c r="L25" i="4" s="1"/>
  <c r="G174" i="12"/>
  <c r="R182" i="18"/>
  <c r="K109" i="20" s="1"/>
  <c r="F64" i="16"/>
  <c r="F65" i="16" s="1"/>
  <c r="F27" i="18" s="1"/>
  <c r="E24" i="17"/>
  <c r="E25" i="17" s="1"/>
  <c r="L56" i="16"/>
  <c r="K68" i="16" s="1"/>
  <c r="K69" i="16" s="1"/>
  <c r="K70" i="16" s="1"/>
  <c r="K40" i="18" s="1"/>
  <c r="K262" i="18" s="1"/>
  <c r="M24" i="17"/>
  <c r="M25" i="17" s="1"/>
  <c r="I42" i="15"/>
  <c r="I15" i="18" s="1"/>
  <c r="M56" i="16"/>
  <c r="M12" i="4" s="1"/>
  <c r="E64" i="16"/>
  <c r="E65" i="16" s="1"/>
  <c r="E27" i="18" s="1"/>
  <c r="K56" i="16"/>
  <c r="K12" i="4" s="1"/>
  <c r="I112" i="20"/>
  <c r="R185" i="18"/>
  <c r="H52" i="15"/>
  <c r="H53" i="15" s="1"/>
  <c r="H54" i="15" s="1"/>
  <c r="H39" i="18" s="1"/>
  <c r="H261" i="18" s="1"/>
  <c r="L64" i="16"/>
  <c r="L65" i="16" s="1"/>
  <c r="L27" i="18" s="1"/>
  <c r="H56" i="16"/>
  <c r="H12" i="4" s="1"/>
  <c r="I137" i="16"/>
  <c r="J137" i="16"/>
  <c r="J24" i="17"/>
  <c r="J25" i="17" s="1"/>
  <c r="G64" i="16"/>
  <c r="G65" i="16" s="1"/>
  <c r="G27" i="18" s="1"/>
  <c r="I64" i="16"/>
  <c r="I65" i="16" s="1"/>
  <c r="I27" i="18" s="1"/>
  <c r="G106" i="15"/>
  <c r="H64" i="16"/>
  <c r="H65" i="16" s="1"/>
  <c r="H27" i="18" s="1"/>
  <c r="M52" i="15"/>
  <c r="M53" i="15" s="1"/>
  <c r="M54" i="15" s="1"/>
  <c r="M39" i="18" s="1"/>
  <c r="M261" i="18" s="1"/>
  <c r="N9" i="4"/>
  <c r="M58" i="12"/>
  <c r="M59" i="12" s="1"/>
  <c r="M60" i="12" s="1"/>
  <c r="M35" i="18" s="1"/>
  <c r="M257" i="18" s="1"/>
  <c r="N5" i="4"/>
  <c r="D46" i="12"/>
  <c r="D13" i="18" s="1"/>
  <c r="D5" i="4"/>
  <c r="J64" i="16"/>
  <c r="J65" i="16" s="1"/>
  <c r="J27" i="18" s="1"/>
  <c r="L42" i="15"/>
  <c r="L15" i="18" s="1"/>
  <c r="L237" i="18" s="1"/>
  <c r="L9" i="4"/>
  <c r="E52" i="15"/>
  <c r="E53" i="15" s="1"/>
  <c r="E54" i="15" s="1"/>
  <c r="E39" i="18" s="1"/>
  <c r="E261" i="18" s="1"/>
  <c r="F9" i="4"/>
  <c r="M64" i="16"/>
  <c r="M65" i="16" s="1"/>
  <c r="M27" i="18" s="1"/>
  <c r="K64" i="16"/>
  <c r="K65" i="16" s="1"/>
  <c r="K27" i="18" s="1"/>
  <c r="F24" i="17"/>
  <c r="F25" i="17" s="1"/>
  <c r="F32" i="4" s="1"/>
  <c r="L52" i="15"/>
  <c r="L53" i="15" s="1"/>
  <c r="L54" i="15" s="1"/>
  <c r="L39" i="18" s="1"/>
  <c r="L261" i="18" s="1"/>
  <c r="M9" i="4"/>
  <c r="D42" i="15"/>
  <c r="D15" i="18" s="1"/>
  <c r="D237" i="18" s="1"/>
  <c r="D9" i="4"/>
  <c r="C9" i="4" s="1"/>
  <c r="J46" i="12"/>
  <c r="J13" i="18" s="1"/>
  <c r="J5" i="4"/>
  <c r="D64" i="16"/>
  <c r="D65" i="16" s="1"/>
  <c r="D27" i="18" s="1"/>
  <c r="L46" i="12"/>
  <c r="L13" i="18" s="1"/>
  <c r="L5" i="4"/>
  <c r="L137" i="16"/>
  <c r="P96" i="18"/>
  <c r="I55" i="20" s="1"/>
  <c r="P97" i="18"/>
  <c r="I56" i="20" s="1"/>
  <c r="D56" i="16"/>
  <c r="I56" i="16"/>
  <c r="I12" i="4" s="1"/>
  <c r="G56" i="16"/>
  <c r="G12" i="4" s="1"/>
  <c r="K90" i="18"/>
  <c r="K137" i="16"/>
  <c r="M90" i="18"/>
  <c r="M137" i="16"/>
  <c r="E114" i="18"/>
  <c r="E137" i="16"/>
  <c r="F90" i="18"/>
  <c r="F137" i="16"/>
  <c r="D54" i="18"/>
  <c r="D276" i="18" s="1"/>
  <c r="P17" i="18"/>
  <c r="I8" i="20" s="1"/>
  <c r="K81" i="4" s="1"/>
  <c r="I239" i="18"/>
  <c r="P38" i="18"/>
  <c r="I29" i="20" s="1"/>
  <c r="K47" i="15"/>
  <c r="G47" i="15"/>
  <c r="M46" i="15"/>
  <c r="I46" i="15"/>
  <c r="E46" i="15"/>
  <c r="J47" i="15"/>
  <c r="F47" i="15"/>
  <c r="L46" i="15"/>
  <c r="H46" i="15"/>
  <c r="D46" i="15"/>
  <c r="M47" i="15"/>
  <c r="I47" i="15"/>
  <c r="E47" i="15"/>
  <c r="K46" i="15"/>
  <c r="G46" i="15"/>
  <c r="L47" i="15"/>
  <c r="H47" i="15"/>
  <c r="D47" i="15"/>
  <c r="J46" i="15"/>
  <c r="F46" i="15"/>
  <c r="D258" i="18"/>
  <c r="J258" i="18"/>
  <c r="H258" i="18"/>
  <c r="L258" i="18"/>
  <c r="M258" i="18"/>
  <c r="F258" i="18"/>
  <c r="K239" i="18"/>
  <c r="I258" i="18"/>
  <c r="J41" i="18"/>
  <c r="J263" i="18" s="1"/>
  <c r="H41" i="18"/>
  <c r="H263" i="18" s="1"/>
  <c r="E41" i="18"/>
  <c r="E263" i="18" s="1"/>
  <c r="I188" i="18"/>
  <c r="F188" i="18"/>
  <c r="J164" i="18"/>
  <c r="G164" i="18"/>
  <c r="I106" i="15"/>
  <c r="I100" i="18"/>
  <c r="F106" i="15"/>
  <c r="F100" i="18"/>
  <c r="D106" i="15"/>
  <c r="D100" i="18"/>
  <c r="J106" i="15"/>
  <c r="J100" i="18"/>
  <c r="L106" i="15"/>
  <c r="L100" i="18"/>
  <c r="E106" i="18"/>
  <c r="E118" i="12"/>
  <c r="C75" i="13"/>
  <c r="J106" i="18"/>
  <c r="J118" i="12"/>
  <c r="H106" i="18"/>
  <c r="H118" i="12"/>
  <c r="G106" i="18"/>
  <c r="G118" i="12"/>
  <c r="I106" i="18"/>
  <c r="I118" i="12"/>
  <c r="M118" i="12"/>
  <c r="I58" i="12"/>
  <c r="I59" i="12" s="1"/>
  <c r="I60" i="12" s="1"/>
  <c r="I35" i="18" s="1"/>
  <c r="F30" i="13"/>
  <c r="F31" i="13" s="1"/>
  <c r="F24" i="18" s="1"/>
  <c r="F246" i="18" s="1"/>
  <c r="F25" i="4" s="1"/>
  <c r="M52" i="12"/>
  <c r="M53" i="12" s="1"/>
  <c r="M55" i="12" s="1"/>
  <c r="K52" i="15"/>
  <c r="K53" i="15" s="1"/>
  <c r="K54" i="15" s="1"/>
  <c r="K39" i="18" s="1"/>
  <c r="K261" i="18" s="1"/>
  <c r="M42" i="15"/>
  <c r="M15" i="18" s="1"/>
  <c r="M237" i="18" s="1"/>
  <c r="G52" i="15"/>
  <c r="G53" i="15" s="1"/>
  <c r="G54" i="15" s="1"/>
  <c r="G39" i="18" s="1"/>
  <c r="G261" i="18" s="1"/>
  <c r="H42" i="15"/>
  <c r="H15" i="18" s="1"/>
  <c r="H237" i="18" s="1"/>
  <c r="G31" i="15"/>
  <c r="G32" i="15" s="1"/>
  <c r="G34" i="15" s="1"/>
  <c r="G38" i="15" s="1"/>
  <c r="G9" i="4" s="1"/>
  <c r="D52" i="15"/>
  <c r="D53" i="15" s="1"/>
  <c r="D54" i="15" s="1"/>
  <c r="D39" i="18" s="1"/>
  <c r="D261" i="18" s="1"/>
  <c r="E42" i="15"/>
  <c r="E15" i="18" s="1"/>
  <c r="E237" i="18" s="1"/>
  <c r="J31" i="15"/>
  <c r="J32" i="15" s="1"/>
  <c r="J34" i="15" s="1"/>
  <c r="J38" i="15" s="1"/>
  <c r="J9" i="4" s="1"/>
  <c r="J52" i="15"/>
  <c r="J53" i="15" s="1"/>
  <c r="J54" i="15" s="1"/>
  <c r="J39" i="18" s="1"/>
  <c r="J261" i="18" s="1"/>
  <c r="K42" i="15"/>
  <c r="K15" i="18" s="1"/>
  <c r="D52" i="12"/>
  <c r="D53" i="12" s="1"/>
  <c r="D55" i="12" s="1"/>
  <c r="K58" i="12"/>
  <c r="K59" i="12" s="1"/>
  <c r="K60" i="12" s="1"/>
  <c r="K35" i="18" s="1"/>
  <c r="K257" i="18" s="1"/>
  <c r="M30" i="13"/>
  <c r="M31" i="13" s="1"/>
  <c r="I30" i="13"/>
  <c r="I31" i="13" s="1"/>
  <c r="L52" i="12"/>
  <c r="L53" i="12" s="1"/>
  <c r="L55" i="12" s="1"/>
  <c r="D30" i="13"/>
  <c r="D31" i="13" s="1"/>
  <c r="H52" i="12"/>
  <c r="H53" i="12" s="1"/>
  <c r="H55" i="12" s="1"/>
  <c r="J30" i="13"/>
  <c r="J31" i="13" s="1"/>
  <c r="E52" i="12"/>
  <c r="E53" i="12" s="1"/>
  <c r="E55" i="12" s="1"/>
  <c r="K30" i="13"/>
  <c r="K31" i="13" s="1"/>
  <c r="H30" i="13"/>
  <c r="H31" i="13" s="1"/>
  <c r="E30" i="13"/>
  <c r="E31" i="13" s="1"/>
  <c r="J52" i="12"/>
  <c r="J53" i="12" s="1"/>
  <c r="J55" i="12" s="1"/>
  <c r="G52" i="12"/>
  <c r="G53" i="12" s="1"/>
  <c r="G55" i="12" s="1"/>
  <c r="F52" i="12"/>
  <c r="F53" i="12" s="1"/>
  <c r="F55" i="12" s="1"/>
  <c r="K52" i="12"/>
  <c r="K53" i="12" s="1"/>
  <c r="K55" i="12" s="1"/>
  <c r="I52" i="12"/>
  <c r="I53" i="12" s="1"/>
  <c r="I55" i="12" s="1"/>
  <c r="D58" i="12"/>
  <c r="D59" i="12" s="1"/>
  <c r="D60" i="12" s="1"/>
  <c r="E46" i="12"/>
  <c r="E13" i="18" s="1"/>
  <c r="H58" i="12"/>
  <c r="H59" i="12" s="1"/>
  <c r="H60" i="12" s="1"/>
  <c r="H35" i="18" s="1"/>
  <c r="H257" i="18" s="1"/>
  <c r="I46" i="12"/>
  <c r="L58" i="12"/>
  <c r="L59" i="12" s="1"/>
  <c r="L60" i="12" s="1"/>
  <c r="L35" i="18" s="1"/>
  <c r="L257" i="18" s="1"/>
  <c r="M46" i="12"/>
  <c r="J58" i="12"/>
  <c r="J59" i="12" s="1"/>
  <c r="J60" i="12" s="1"/>
  <c r="J35" i="18" s="1"/>
  <c r="J257" i="18" s="1"/>
  <c r="K46" i="12"/>
  <c r="K13" i="18" s="1"/>
  <c r="G58" i="12"/>
  <c r="G59" i="12" s="1"/>
  <c r="G60" i="12" s="1"/>
  <c r="G35" i="18" s="1"/>
  <c r="G257" i="18" s="1"/>
  <c r="H46" i="12"/>
  <c r="E58" i="12"/>
  <c r="E59" i="12" s="1"/>
  <c r="E60" i="12" s="1"/>
  <c r="E35" i="18" s="1"/>
  <c r="E257" i="18" s="1"/>
  <c r="F46" i="12"/>
  <c r="F13" i="18" s="1"/>
  <c r="F58" i="12"/>
  <c r="F59" i="12" s="1"/>
  <c r="F60" i="12" s="1"/>
  <c r="F35" i="18" s="1"/>
  <c r="F257" i="18" s="1"/>
  <c r="G46" i="12"/>
  <c r="G13" i="18" s="1"/>
  <c r="G86" i="4" l="1"/>
  <c r="K54" i="18"/>
  <c r="K276" i="18" s="1"/>
  <c r="I69" i="20"/>
  <c r="G54" i="18"/>
  <c r="G276" i="18" s="1"/>
  <c r="N18" i="17"/>
  <c r="M91" i="18"/>
  <c r="M239" i="18" s="1"/>
  <c r="M14" i="4"/>
  <c r="L33" i="17"/>
  <c r="L34" i="17" s="1"/>
  <c r="L35" i="17" s="1"/>
  <c r="L37" i="17" s="1"/>
  <c r="L72" i="17" s="1"/>
  <c r="J235" i="18"/>
  <c r="G235" i="18"/>
  <c r="L235" i="18"/>
  <c r="F235" i="18"/>
  <c r="E235" i="18"/>
  <c r="D235" i="18"/>
  <c r="F54" i="18"/>
  <c r="F276" i="18" s="1"/>
  <c r="G263" i="18"/>
  <c r="K263" i="18"/>
  <c r="D263" i="18"/>
  <c r="F263" i="18"/>
  <c r="I263" i="18"/>
  <c r="J102" i="18"/>
  <c r="J250" i="18" s="1"/>
  <c r="J37" i="17"/>
  <c r="J72" i="17" s="1"/>
  <c r="L102" i="18"/>
  <c r="L250" i="18" s="1"/>
  <c r="I102" i="18"/>
  <c r="I250" i="18" s="1"/>
  <c r="I37" i="17"/>
  <c r="I72" i="17" s="1"/>
  <c r="M102" i="18"/>
  <c r="M104" i="18" s="1"/>
  <c r="H102" i="18"/>
  <c r="H250" i="18" s="1"/>
  <c r="H37" i="17"/>
  <c r="H72" i="17" s="1"/>
  <c r="G102" i="18"/>
  <c r="G250" i="18" s="1"/>
  <c r="F102" i="18"/>
  <c r="F250" i="18" s="1"/>
  <c r="F37" i="17"/>
  <c r="F72" i="17" s="1"/>
  <c r="K102" i="18"/>
  <c r="K250" i="18" s="1"/>
  <c r="E102" i="18"/>
  <c r="E104" i="18" s="1"/>
  <c r="E37" i="17"/>
  <c r="E72" i="17" s="1"/>
  <c r="G37" i="17"/>
  <c r="G72" i="17" s="1"/>
  <c r="K102" i="22"/>
  <c r="K103" i="22" s="1"/>
  <c r="K104" i="22" s="1"/>
  <c r="K106" i="22" s="1"/>
  <c r="M16" i="22"/>
  <c r="L102" i="22" s="1"/>
  <c r="L28" i="22"/>
  <c r="L18" i="18" s="1"/>
  <c r="L240" i="18" s="1"/>
  <c r="H13" i="18"/>
  <c r="H62" i="12"/>
  <c r="H178" i="12" s="1"/>
  <c r="C157" i="15"/>
  <c r="D36" i="22"/>
  <c r="D37" i="22" s="1"/>
  <c r="D38" i="22" s="1"/>
  <c r="G36" i="22"/>
  <c r="G37" i="22" s="1"/>
  <c r="G38" i="22" s="1"/>
  <c r="G40" i="22" s="1"/>
  <c r="G110" i="22" s="1"/>
  <c r="E36" i="22"/>
  <c r="E37" i="22" s="1"/>
  <c r="E38" i="22" s="1"/>
  <c r="E40" i="22" s="1"/>
  <c r="E110" i="22" s="1"/>
  <c r="P173" i="18"/>
  <c r="I100" i="20" s="1"/>
  <c r="I36" i="22"/>
  <c r="I37" i="22" s="1"/>
  <c r="I38" i="22" s="1"/>
  <c r="I40" i="22" s="1"/>
  <c r="I110" i="22" s="1"/>
  <c r="H197" i="14"/>
  <c r="H162" i="18" s="1"/>
  <c r="H167" i="18" s="1"/>
  <c r="G212" i="14"/>
  <c r="F197" i="14"/>
  <c r="F162" i="18" s="1"/>
  <c r="F167" i="18" s="1"/>
  <c r="E212" i="14"/>
  <c r="N197" i="14"/>
  <c r="M212" i="14"/>
  <c r="K119" i="14"/>
  <c r="K123" i="14" s="1"/>
  <c r="K127" i="14" s="1"/>
  <c r="K88" i="18" s="1"/>
  <c r="E119" i="14"/>
  <c r="E123" i="14" s="1"/>
  <c r="E127" i="14" s="1"/>
  <c r="E88" i="18" s="1"/>
  <c r="D189" i="14"/>
  <c r="D193" i="14" s="1"/>
  <c r="D197" i="14" s="1"/>
  <c r="D162" i="18" s="1"/>
  <c r="D167" i="18" s="1"/>
  <c r="M189" i="14"/>
  <c r="M193" i="14" s="1"/>
  <c r="L189" i="14"/>
  <c r="L193" i="14" s="1"/>
  <c r="G189" i="14"/>
  <c r="G193" i="14" s="1"/>
  <c r="K189" i="14"/>
  <c r="K193" i="14" s="1"/>
  <c r="E189" i="14"/>
  <c r="E193" i="14" s="1"/>
  <c r="I189" i="14"/>
  <c r="I193" i="14" s="1"/>
  <c r="J189" i="14"/>
  <c r="J193" i="14" s="1"/>
  <c r="L119" i="14"/>
  <c r="L123" i="14" s="1"/>
  <c r="L127" i="14" s="1"/>
  <c r="L88" i="18" s="1"/>
  <c r="N119" i="14"/>
  <c r="N123" i="14" s="1"/>
  <c r="M119" i="14"/>
  <c r="M123" i="14" s="1"/>
  <c r="M127" i="14" s="1"/>
  <c r="M88" i="18" s="1"/>
  <c r="G119" i="14"/>
  <c r="G123" i="14" s="1"/>
  <c r="G127" i="14" s="1"/>
  <c r="G88" i="18" s="1"/>
  <c r="J119" i="14"/>
  <c r="J123" i="14" s="1"/>
  <c r="J127" i="14" s="1"/>
  <c r="J88" i="18" s="1"/>
  <c r="H119" i="14"/>
  <c r="H123" i="14" s="1"/>
  <c r="H127" i="14" s="1"/>
  <c r="H88" i="18" s="1"/>
  <c r="N69" i="14"/>
  <c r="F119" i="14"/>
  <c r="F123" i="14" s="1"/>
  <c r="F127" i="14" s="1"/>
  <c r="F88" i="18" s="1"/>
  <c r="I119" i="14"/>
  <c r="I123" i="14" s="1"/>
  <c r="I127" i="14" s="1"/>
  <c r="I88" i="18" s="1"/>
  <c r="E58" i="16"/>
  <c r="E16" i="18" s="1"/>
  <c r="E238" i="18" s="1"/>
  <c r="J36" i="22"/>
  <c r="J37" i="22" s="1"/>
  <c r="J38" i="22" s="1"/>
  <c r="H37" i="22"/>
  <c r="H38" i="22" s="1"/>
  <c r="H40" i="22" s="1"/>
  <c r="H110" i="22" s="1"/>
  <c r="E12" i="4"/>
  <c r="F36" i="22"/>
  <c r="F37" i="22" s="1"/>
  <c r="F38" i="22" s="1"/>
  <c r="D37" i="17"/>
  <c r="D72" i="17" s="1"/>
  <c r="K72" i="17"/>
  <c r="R108" i="18"/>
  <c r="K67" i="20" s="1"/>
  <c r="D250" i="18"/>
  <c r="J58" i="16"/>
  <c r="J16" i="18" s="1"/>
  <c r="J238" i="18" s="1"/>
  <c r="F58" i="16"/>
  <c r="F16" i="18" s="1"/>
  <c r="F238" i="18" s="1"/>
  <c r="I68" i="16"/>
  <c r="I69" i="16" s="1"/>
  <c r="I70" i="16" s="1"/>
  <c r="I40" i="18" s="1"/>
  <c r="I262" i="18" s="1"/>
  <c r="E68" i="16"/>
  <c r="E69" i="16" s="1"/>
  <c r="E70" i="16" s="1"/>
  <c r="E40" i="18" s="1"/>
  <c r="E262" i="18" s="1"/>
  <c r="N12" i="4"/>
  <c r="I257" i="18"/>
  <c r="I237" i="18"/>
  <c r="I68" i="14"/>
  <c r="M48" i="15"/>
  <c r="M49" i="15" s="1"/>
  <c r="M56" i="15" s="1"/>
  <c r="M160" i="15" s="1"/>
  <c r="H48" i="15"/>
  <c r="H49" i="15" s="1"/>
  <c r="H26" i="18" s="1"/>
  <c r="H248" i="18" s="1"/>
  <c r="H29" i="4" s="1"/>
  <c r="K48" i="15"/>
  <c r="K49" i="15" s="1"/>
  <c r="K26" i="18" s="1"/>
  <c r="K248" i="18" s="1"/>
  <c r="K29" i="4" s="1"/>
  <c r="G24" i="18"/>
  <c r="G246" i="18" s="1"/>
  <c r="G25" i="4" s="1"/>
  <c r="C175" i="12"/>
  <c r="L40" i="13"/>
  <c r="L112" i="13" s="1"/>
  <c r="H58" i="16"/>
  <c r="H16" i="18" s="1"/>
  <c r="H238" i="18" s="1"/>
  <c r="C107" i="15"/>
  <c r="G68" i="16"/>
  <c r="G69" i="16" s="1"/>
  <c r="G70" i="16" s="1"/>
  <c r="G40" i="18" s="1"/>
  <c r="G262" i="18" s="1"/>
  <c r="J48" i="15"/>
  <c r="J49" i="15" s="1"/>
  <c r="J26" i="18" s="1"/>
  <c r="J248" i="18" s="1"/>
  <c r="J29" i="4" s="1"/>
  <c r="L68" i="16"/>
  <c r="L69" i="16" s="1"/>
  <c r="L70" i="16" s="1"/>
  <c r="L40" i="18" s="1"/>
  <c r="L262" i="18" s="1"/>
  <c r="L12" i="4"/>
  <c r="L58" i="16"/>
  <c r="L16" i="18" s="1"/>
  <c r="L238" i="18" s="1"/>
  <c r="M58" i="16"/>
  <c r="M16" i="18" s="1"/>
  <c r="M238" i="18" s="1"/>
  <c r="K112" i="20"/>
  <c r="H68" i="14"/>
  <c r="J68" i="16"/>
  <c r="J69" i="16" s="1"/>
  <c r="J70" i="16" s="1"/>
  <c r="J40" i="18" s="1"/>
  <c r="J262" i="18" s="1"/>
  <c r="K58" i="16"/>
  <c r="K72" i="16" s="1"/>
  <c r="P26" i="18"/>
  <c r="I17" i="20" s="1"/>
  <c r="F40" i="13"/>
  <c r="F112" i="13" s="1"/>
  <c r="D58" i="16"/>
  <c r="D16" i="18" s="1"/>
  <c r="D238" i="18" s="1"/>
  <c r="D12" i="4"/>
  <c r="C5" i="4"/>
  <c r="D68" i="18"/>
  <c r="D290" i="18" s="1"/>
  <c r="D60" i="18"/>
  <c r="D282" i="18" s="1"/>
  <c r="P111" i="18"/>
  <c r="I58" i="16"/>
  <c r="H68" i="16"/>
  <c r="H69" i="16" s="1"/>
  <c r="H70" i="16" s="1"/>
  <c r="H40" i="18" s="1"/>
  <c r="H262" i="18" s="1"/>
  <c r="C138" i="16"/>
  <c r="G58" i="16"/>
  <c r="F68" i="16"/>
  <c r="F69" i="16" s="1"/>
  <c r="F70" i="16" s="1"/>
  <c r="F40" i="18" s="1"/>
  <c r="F262" i="18" s="1"/>
  <c r="D104" i="18"/>
  <c r="P98" i="18"/>
  <c r="I57" i="20" s="1"/>
  <c r="K237" i="18"/>
  <c r="C119" i="12"/>
  <c r="K235" i="18"/>
  <c r="P99" i="18"/>
  <c r="I58" i="20" s="1"/>
  <c r="D62" i="12"/>
  <c r="D35" i="18"/>
  <c r="D257" i="18" s="1"/>
  <c r="K40" i="13"/>
  <c r="K112" i="13" s="1"/>
  <c r="K24" i="18"/>
  <c r="K246" i="18" s="1"/>
  <c r="K25" i="4" s="1"/>
  <c r="H40" i="13"/>
  <c r="H112" i="13" s="1"/>
  <c r="H24" i="18"/>
  <c r="H246" i="18" s="1"/>
  <c r="H25" i="4" s="1"/>
  <c r="D40" i="13"/>
  <c r="D24" i="18"/>
  <c r="E40" i="13"/>
  <c r="E112" i="13" s="1"/>
  <c r="E24" i="18"/>
  <c r="E246" i="18" s="1"/>
  <c r="E25" i="4" s="1"/>
  <c r="J40" i="13"/>
  <c r="J112" i="13" s="1"/>
  <c r="J24" i="18"/>
  <c r="J246" i="18" s="1"/>
  <c r="J25" i="4" s="1"/>
  <c r="I40" i="13"/>
  <c r="I112" i="13" s="1"/>
  <c r="I24" i="18"/>
  <c r="I246" i="18" s="1"/>
  <c r="I25" i="4" s="1"/>
  <c r="M40" i="13"/>
  <c r="M112" i="13" s="1"/>
  <c r="M24" i="18"/>
  <c r="M246" i="18" s="1"/>
  <c r="M25" i="4" s="1"/>
  <c r="G32" i="18"/>
  <c r="G254" i="18" s="1"/>
  <c r="G23" i="18"/>
  <c r="D32" i="18"/>
  <c r="D23" i="18"/>
  <c r="F32" i="18"/>
  <c r="F254" i="18" s="1"/>
  <c r="F23" i="18"/>
  <c r="H32" i="18"/>
  <c r="H254" i="18" s="1"/>
  <c r="H23" i="18"/>
  <c r="E32" i="18"/>
  <c r="E254" i="18" s="1"/>
  <c r="E23" i="18"/>
  <c r="M32" i="18"/>
  <c r="M254" i="18" s="1"/>
  <c r="M23" i="18"/>
  <c r="I32" i="18"/>
  <c r="I254" i="18" s="1"/>
  <c r="I23" i="18"/>
  <c r="J32" i="18"/>
  <c r="J254" i="18" s="1"/>
  <c r="J23" i="18"/>
  <c r="L32" i="18"/>
  <c r="L254" i="18" s="1"/>
  <c r="L23" i="18"/>
  <c r="K32" i="18"/>
  <c r="K254" i="18" s="1"/>
  <c r="K23" i="18"/>
  <c r="L62" i="12"/>
  <c r="L178" i="12" s="1"/>
  <c r="I62" i="12"/>
  <c r="I178" i="12" s="1"/>
  <c r="I13" i="18"/>
  <c r="M62" i="12"/>
  <c r="M178" i="12" s="1"/>
  <c r="M13" i="18"/>
  <c r="D68" i="14"/>
  <c r="D69" i="14" s="1"/>
  <c r="F68" i="14"/>
  <c r="F69" i="14" s="1"/>
  <c r="E68" i="14"/>
  <c r="E69" i="14" s="1"/>
  <c r="D48" i="15"/>
  <c r="D49" i="15" s="1"/>
  <c r="G48" i="15"/>
  <c r="G49" i="15" s="1"/>
  <c r="G26" i="18" s="1"/>
  <c r="G248" i="18" s="1"/>
  <c r="G29" i="4" s="1"/>
  <c r="E48" i="15"/>
  <c r="E49" i="15" s="1"/>
  <c r="L48" i="15"/>
  <c r="L49" i="15" s="1"/>
  <c r="I48" i="15"/>
  <c r="I49" i="15" s="1"/>
  <c r="I26" i="18" s="1"/>
  <c r="I248" i="18" s="1"/>
  <c r="I29" i="4" s="1"/>
  <c r="F48" i="15"/>
  <c r="F49" i="15" s="1"/>
  <c r="F26" i="18" s="1"/>
  <c r="F248" i="18" s="1"/>
  <c r="F29" i="4" s="1"/>
  <c r="F52" i="15"/>
  <c r="F53" i="15" s="1"/>
  <c r="F54" i="15" s="1"/>
  <c r="F39" i="18" s="1"/>
  <c r="F261" i="18" s="1"/>
  <c r="G42" i="15"/>
  <c r="I52" i="15"/>
  <c r="I53" i="15" s="1"/>
  <c r="I54" i="15" s="1"/>
  <c r="I39" i="18" s="1"/>
  <c r="I261" i="18" s="1"/>
  <c r="J42" i="15"/>
  <c r="M68" i="14"/>
  <c r="K68" i="14"/>
  <c r="J68" i="14"/>
  <c r="G68" i="14"/>
  <c r="G69" i="14" s="1"/>
  <c r="L68" i="14"/>
  <c r="J62" i="12"/>
  <c r="J178" i="12" s="1"/>
  <c r="K62" i="12"/>
  <c r="K178" i="12" s="1"/>
  <c r="F62" i="12"/>
  <c r="F178" i="12" s="1"/>
  <c r="E62" i="12"/>
  <c r="E178" i="12" s="1"/>
  <c r="G62" i="12"/>
  <c r="G178" i="12" s="1"/>
  <c r="J104" i="18" l="1"/>
  <c r="L104" i="18"/>
  <c r="L41" i="18"/>
  <c r="L115" i="18"/>
  <c r="M33" i="17"/>
  <c r="M34" i="17" s="1"/>
  <c r="M35" i="17" s="1"/>
  <c r="N14" i="4"/>
  <c r="H235" i="18"/>
  <c r="M235" i="18"/>
  <c r="P34" i="18"/>
  <c r="I25" i="20" s="1"/>
  <c r="G104" i="18"/>
  <c r="F104" i="18"/>
  <c r="K104" i="18"/>
  <c r="I104" i="18"/>
  <c r="P101" i="18"/>
  <c r="I60" i="20" s="1"/>
  <c r="M250" i="18"/>
  <c r="H104" i="18"/>
  <c r="E250" i="18"/>
  <c r="L103" i="22"/>
  <c r="L104" i="22" s="1"/>
  <c r="L106" i="22" s="1"/>
  <c r="D40" i="22"/>
  <c r="D110" i="22" s="1"/>
  <c r="K36" i="22"/>
  <c r="K37" i="22" s="1"/>
  <c r="K38" i="22" s="1"/>
  <c r="J40" i="22"/>
  <c r="J110" i="22" s="1"/>
  <c r="F40" i="22"/>
  <c r="F110" i="22" s="1"/>
  <c r="N16" i="22"/>
  <c r="N82" i="22" s="1"/>
  <c r="M28" i="22"/>
  <c r="M18" i="18" s="1"/>
  <c r="M240" i="18" s="1"/>
  <c r="C41" i="13"/>
  <c r="C63" i="12"/>
  <c r="D112" i="13"/>
  <c r="C113" i="13" s="1"/>
  <c r="G197" i="14"/>
  <c r="G162" i="18" s="1"/>
  <c r="G167" i="18" s="1"/>
  <c r="F212" i="14"/>
  <c r="L197" i="14"/>
  <c r="L162" i="18" s="1"/>
  <c r="L167" i="18" s="1"/>
  <c r="K212" i="14"/>
  <c r="E197" i="14"/>
  <c r="E162" i="18" s="1"/>
  <c r="E167" i="18" s="1"/>
  <c r="D212" i="14"/>
  <c r="K197" i="14"/>
  <c r="K162" i="18" s="1"/>
  <c r="K167" i="18" s="1"/>
  <c r="J212" i="14"/>
  <c r="J197" i="14"/>
  <c r="J162" i="18" s="1"/>
  <c r="J167" i="18" s="1"/>
  <c r="I212" i="14"/>
  <c r="M197" i="14"/>
  <c r="M162" i="18" s="1"/>
  <c r="M167" i="18" s="1"/>
  <c r="L212" i="14"/>
  <c r="I197" i="14"/>
  <c r="I162" i="18" s="1"/>
  <c r="I167" i="18" s="1"/>
  <c r="H212" i="14"/>
  <c r="J69" i="14"/>
  <c r="J25" i="18" s="1"/>
  <c r="K69" i="14"/>
  <c r="K25" i="18" s="1"/>
  <c r="E25" i="18"/>
  <c r="E247" i="18" s="1"/>
  <c r="E30" i="4" s="1"/>
  <c r="M69" i="14"/>
  <c r="M25" i="18" s="1"/>
  <c r="M247" i="18" s="1"/>
  <c r="M30" i="4" s="1"/>
  <c r="L69" i="14"/>
  <c r="L25" i="18" s="1"/>
  <c r="L247" i="18" s="1"/>
  <c r="L30" i="4" s="1"/>
  <c r="G25" i="18"/>
  <c r="G30" i="18" s="1"/>
  <c r="F25" i="18"/>
  <c r="F247" i="18" s="1"/>
  <c r="F30" i="4" s="1"/>
  <c r="H69" i="14"/>
  <c r="H25" i="18" s="1"/>
  <c r="I69" i="14"/>
  <c r="I25" i="18" s="1"/>
  <c r="D25" i="18"/>
  <c r="C12" i="4"/>
  <c r="D178" i="12"/>
  <c r="C179" i="12" s="1"/>
  <c r="E72" i="16"/>
  <c r="M72" i="16"/>
  <c r="D72" i="16"/>
  <c r="H56" i="15"/>
  <c r="H160" i="15" s="1"/>
  <c r="M26" i="18"/>
  <c r="M248" i="18" s="1"/>
  <c r="M29" i="4" s="1"/>
  <c r="K56" i="15"/>
  <c r="K160" i="15" s="1"/>
  <c r="P27" i="18"/>
  <c r="I18" i="20" s="1"/>
  <c r="L72" i="16"/>
  <c r="J72" i="16"/>
  <c r="K16" i="18"/>
  <c r="K238" i="18" s="1"/>
  <c r="C86" i="4"/>
  <c r="R111" i="18"/>
  <c r="K70" i="20" s="1"/>
  <c r="I70" i="20"/>
  <c r="P172" i="18"/>
  <c r="I99" i="20" s="1"/>
  <c r="G16" i="18"/>
  <c r="G238" i="18" s="1"/>
  <c r="G72" i="16"/>
  <c r="H72" i="16"/>
  <c r="F72" i="16"/>
  <c r="I16" i="18"/>
  <c r="I72" i="16"/>
  <c r="I235" i="18"/>
  <c r="E56" i="15"/>
  <c r="E160" i="15" s="1"/>
  <c r="E26" i="18"/>
  <c r="E248" i="18" s="1"/>
  <c r="E29" i="4" s="1"/>
  <c r="D56" i="15"/>
  <c r="D160" i="15" s="1"/>
  <c r="D26" i="18"/>
  <c r="L56" i="15"/>
  <c r="L160" i="15" s="1"/>
  <c r="L26" i="18"/>
  <c r="L248" i="18" s="1"/>
  <c r="L29" i="4" s="1"/>
  <c r="P23" i="18"/>
  <c r="I14" i="20" s="1"/>
  <c r="D246" i="18"/>
  <c r="D25" i="4" s="1"/>
  <c r="K245" i="18"/>
  <c r="J245" i="18"/>
  <c r="M245" i="18"/>
  <c r="H245" i="18"/>
  <c r="P22" i="18"/>
  <c r="I13" i="20" s="1"/>
  <c r="D245" i="18"/>
  <c r="D24" i="4" s="1"/>
  <c r="D254" i="18"/>
  <c r="L245" i="18"/>
  <c r="L24" i="4" s="1"/>
  <c r="I245" i="18"/>
  <c r="E245" i="18"/>
  <c r="F245" i="18"/>
  <c r="G245" i="18"/>
  <c r="I56" i="15"/>
  <c r="I160" i="15" s="1"/>
  <c r="G56" i="15"/>
  <c r="G160" i="15" s="1"/>
  <c r="G15" i="18"/>
  <c r="J56" i="15"/>
  <c r="J160" i="15" s="1"/>
  <c r="J15" i="18"/>
  <c r="F56" i="15"/>
  <c r="N94" i="22" l="1"/>
  <c r="M102" i="22" s="1"/>
  <c r="M103" i="22" s="1"/>
  <c r="M104" i="22" s="1"/>
  <c r="M106" i="22" s="1"/>
  <c r="C107" i="22" s="1"/>
  <c r="M115" i="18"/>
  <c r="M263" i="18" s="1"/>
  <c r="M37" i="17"/>
  <c r="L263" i="18"/>
  <c r="J237" i="18"/>
  <c r="K40" i="22"/>
  <c r="K110" i="22" s="1"/>
  <c r="L36" i="22"/>
  <c r="L37" i="22" s="1"/>
  <c r="L38" i="22" s="1"/>
  <c r="N28" i="22"/>
  <c r="M36" i="22" s="1"/>
  <c r="M37" i="22" s="1"/>
  <c r="M38" i="22" s="1"/>
  <c r="C74" i="22"/>
  <c r="G237" i="18"/>
  <c r="P36" i="18"/>
  <c r="I27" i="20" s="1"/>
  <c r="F30" i="18"/>
  <c r="G247" i="18"/>
  <c r="G30" i="4" s="1"/>
  <c r="H30" i="18"/>
  <c r="H247" i="18"/>
  <c r="H30" i="4" s="1"/>
  <c r="I30" i="18"/>
  <c r="I247" i="18"/>
  <c r="I30" i="4" s="1"/>
  <c r="K30" i="18"/>
  <c r="K247" i="18"/>
  <c r="K30" i="4" s="1"/>
  <c r="J247" i="18"/>
  <c r="J30" i="4" s="1"/>
  <c r="J30" i="18"/>
  <c r="D247" i="18"/>
  <c r="D30" i="4" s="1"/>
  <c r="P24" i="18"/>
  <c r="I15" i="20" s="1"/>
  <c r="D30" i="18"/>
  <c r="M30" i="18"/>
  <c r="E30" i="18"/>
  <c r="E24" i="4"/>
  <c r="H24" i="4"/>
  <c r="I24" i="4"/>
  <c r="M24" i="4"/>
  <c r="G24" i="4"/>
  <c r="J24" i="4"/>
  <c r="G80" i="4"/>
  <c r="C80" i="4" s="1"/>
  <c r="C82" i="4" s="1"/>
  <c r="C25" i="4"/>
  <c r="F24" i="4"/>
  <c r="K24" i="4"/>
  <c r="P37" i="18"/>
  <c r="I28" i="20" s="1"/>
  <c r="I238" i="18"/>
  <c r="C73" i="16"/>
  <c r="L30" i="18"/>
  <c r="D248" i="18"/>
  <c r="P25" i="18"/>
  <c r="I16" i="20" s="1"/>
  <c r="C57" i="15"/>
  <c r="F160" i="15"/>
  <c r="C161" i="15" s="1"/>
  <c r="M72" i="17" l="1"/>
  <c r="C73" i="17" s="1"/>
  <c r="C38" i="17"/>
  <c r="G79" i="4"/>
  <c r="C79" i="4" s="1"/>
  <c r="C81" i="4" s="1"/>
  <c r="L40" i="22"/>
  <c r="L110" i="22" s="1"/>
  <c r="M40" i="22"/>
  <c r="M110" i="22" s="1"/>
  <c r="G84" i="4"/>
  <c r="C84" i="4" s="1"/>
  <c r="C30" i="4"/>
  <c r="D29" i="4"/>
  <c r="C24" i="4"/>
  <c r="C111" i="22" l="1"/>
  <c r="C41" i="22"/>
  <c r="G83" i="4"/>
  <c r="C83" i="4" s="1"/>
  <c r="C29" i="4"/>
  <c r="R34" i="18" l="1"/>
  <c r="K25" i="20" s="1"/>
  <c r="R36" i="18"/>
  <c r="K27" i="20" s="1"/>
  <c r="R37" i="18"/>
  <c r="K28" i="20" s="1"/>
  <c r="R38" i="18"/>
  <c r="K29" i="20" s="1"/>
  <c r="R30" i="1" l="1"/>
  <c r="R31" i="1" s="1"/>
  <c r="R32" i="1" s="1"/>
  <c r="U30" i="1"/>
  <c r="U31" i="1" s="1"/>
  <c r="U32" i="1" s="1"/>
  <c r="X30" i="1"/>
  <c r="Y30" i="1" s="1"/>
  <c r="L142" i="16" l="1"/>
  <c r="L72" i="4" s="1"/>
  <c r="L75" i="4" s="1"/>
  <c r="D142" i="16"/>
  <c r="D143" i="16" s="1"/>
  <c r="N142" i="16"/>
  <c r="M142" i="16"/>
  <c r="M75" i="4" s="1"/>
  <c r="K142" i="16"/>
  <c r="K72" i="4" s="1"/>
  <c r="K75" i="4" s="1"/>
  <c r="J142" i="16"/>
  <c r="I142" i="16"/>
  <c r="I72" i="4" s="1"/>
  <c r="I75" i="4" s="1"/>
  <c r="G142" i="16"/>
  <c r="G72" i="4" s="1"/>
  <c r="G75" i="4" s="1"/>
  <c r="F142" i="16"/>
  <c r="F72" i="4" s="1"/>
  <c r="F75" i="4" s="1"/>
  <c r="H142" i="16"/>
  <c r="E142" i="16"/>
  <c r="X31" i="1"/>
  <c r="X32" i="1" s="1"/>
  <c r="C8" i="1" l="1"/>
  <c r="C9" i="1" s="1"/>
  <c r="D72" i="4"/>
  <c r="D75" i="4" s="1"/>
  <c r="J143" i="16"/>
  <c r="M143" i="16"/>
  <c r="N143" i="16"/>
  <c r="N72" i="4"/>
  <c r="N75" i="4" s="1"/>
  <c r="L143" i="16"/>
  <c r="G143" i="16"/>
  <c r="K143" i="16"/>
  <c r="J72" i="4"/>
  <c r="J75" i="4" s="1"/>
  <c r="H143" i="16"/>
  <c r="H72" i="4"/>
  <c r="H75" i="4" s="1"/>
  <c r="I143" i="16"/>
  <c r="G191" i="16" s="1"/>
  <c r="E72" i="4"/>
  <c r="E75" i="4" s="1"/>
  <c r="E143" i="16"/>
  <c r="F143" i="16"/>
  <c r="Y31" i="1"/>
  <c r="Y32" i="1" s="1"/>
  <c r="I191" i="16" l="1"/>
  <c r="K191" i="16"/>
  <c r="E191" i="16"/>
  <c r="D191" i="16"/>
  <c r="J191" i="16"/>
  <c r="L191" i="16"/>
  <c r="F191" i="16"/>
  <c r="M191" i="16"/>
  <c r="H191" i="16"/>
  <c r="F193" i="16" l="1"/>
  <c r="K193" i="16"/>
  <c r="I192" i="16"/>
  <c r="F192" i="16"/>
  <c r="F194" i="16" s="1"/>
  <c r="F195" i="16" s="1"/>
  <c r="F175" i="18" s="1"/>
  <c r="E192" i="16"/>
  <c r="L193" i="16"/>
  <c r="M193" i="16"/>
  <c r="E193" i="16"/>
  <c r="D193" i="16"/>
  <c r="L192" i="16"/>
  <c r="K192" i="16"/>
  <c r="M192" i="16"/>
  <c r="I193" i="16"/>
  <c r="I194" i="16" s="1"/>
  <c r="I195" i="16" s="1"/>
  <c r="I175" i="18" s="1"/>
  <c r="J193" i="16"/>
  <c r="H192" i="16"/>
  <c r="J192" i="16"/>
  <c r="G193" i="16"/>
  <c r="G192" i="16"/>
  <c r="H193" i="16"/>
  <c r="D192" i="16"/>
  <c r="K194" i="16" l="1"/>
  <c r="K195" i="16" s="1"/>
  <c r="K175" i="18" s="1"/>
  <c r="K178" i="18" s="1"/>
  <c r="J194" i="16"/>
  <c r="J195" i="16" s="1"/>
  <c r="J175" i="18" s="1"/>
  <c r="J178" i="18" s="1"/>
  <c r="M194" i="16"/>
  <c r="M195" i="16" s="1"/>
  <c r="M175" i="18" s="1"/>
  <c r="M178" i="18" s="1"/>
  <c r="E194" i="16"/>
  <c r="E195" i="16" s="1"/>
  <c r="E175" i="18" s="1"/>
  <c r="E249" i="18" s="1"/>
  <c r="L194" i="16"/>
  <c r="L195" i="16" s="1"/>
  <c r="L175" i="18" s="1"/>
  <c r="H194" i="16"/>
  <c r="H195" i="16" s="1"/>
  <c r="H175" i="18" s="1"/>
  <c r="H249" i="18" s="1"/>
  <c r="D194" i="16"/>
  <c r="D195" i="16" s="1"/>
  <c r="D175" i="18" s="1"/>
  <c r="D178" i="18" s="1"/>
  <c r="G194" i="16"/>
  <c r="G195" i="16" s="1"/>
  <c r="G202" i="16" s="1"/>
  <c r="G206" i="16" s="1"/>
  <c r="F202" i="16"/>
  <c r="F206" i="16" s="1"/>
  <c r="I249" i="18"/>
  <c r="I178" i="18"/>
  <c r="M249" i="18"/>
  <c r="F249" i="18"/>
  <c r="F178" i="18"/>
  <c r="I202" i="16"/>
  <c r="I206" i="16" s="1"/>
  <c r="E178" i="18" l="1"/>
  <c r="J202" i="16"/>
  <c r="J206" i="16" s="1"/>
  <c r="E202" i="16"/>
  <c r="E206" i="16" s="1"/>
  <c r="M202" i="16"/>
  <c r="M206" i="16" s="1"/>
  <c r="J249" i="18"/>
  <c r="J31" i="4" s="1"/>
  <c r="J37" i="4" s="1"/>
  <c r="J43" i="4" s="1"/>
  <c r="H202" i="16"/>
  <c r="H206" i="16" s="1"/>
  <c r="L202" i="16"/>
  <c r="L206" i="16" s="1"/>
  <c r="G175" i="18"/>
  <c r="G178" i="18" s="1"/>
  <c r="H178" i="18"/>
  <c r="K202" i="16"/>
  <c r="K206" i="16" s="1"/>
  <c r="D202" i="16"/>
  <c r="D206" i="16" s="1"/>
  <c r="K249" i="18"/>
  <c r="K252" i="18" s="1"/>
  <c r="L249" i="18"/>
  <c r="L178" i="18"/>
  <c r="E31" i="4"/>
  <c r="E37" i="4" s="1"/>
  <c r="E43" i="4" s="1"/>
  <c r="E252" i="18"/>
  <c r="F31" i="4"/>
  <c r="F37" i="4" s="1"/>
  <c r="F43" i="4" s="1"/>
  <c r="F252" i="18"/>
  <c r="H31" i="4"/>
  <c r="H37" i="4" s="1"/>
  <c r="H43" i="4" s="1"/>
  <c r="H252" i="18"/>
  <c r="M31" i="4"/>
  <c r="M37" i="4" s="1"/>
  <c r="M43" i="4" s="1"/>
  <c r="M252" i="18"/>
  <c r="I31" i="4"/>
  <c r="I37" i="4" s="1"/>
  <c r="I43" i="4" s="1"/>
  <c r="I252" i="18"/>
  <c r="D249" i="18"/>
  <c r="J252" i="18" l="1"/>
  <c r="G249" i="18"/>
  <c r="G31" i="4" s="1"/>
  <c r="G37" i="4" s="1"/>
  <c r="G43" i="4" s="1"/>
  <c r="C203" i="16"/>
  <c r="C207" i="16"/>
  <c r="P174" i="18"/>
  <c r="I101" i="20" s="1"/>
  <c r="K31" i="4"/>
  <c r="K37" i="4" s="1"/>
  <c r="K43" i="4" s="1"/>
  <c r="D31" i="4"/>
  <c r="C31" i="4" s="1"/>
  <c r="C37" i="4" s="1"/>
  <c r="D252" i="18"/>
  <c r="L31" i="4"/>
  <c r="L37" i="4" s="1"/>
  <c r="L43" i="4" s="1"/>
  <c r="L252" i="18"/>
  <c r="G252" i="18" l="1"/>
  <c r="G85" i="4"/>
  <c r="C85" i="4" s="1"/>
  <c r="D37" i="4"/>
  <c r="D43" i="4" s="1"/>
  <c r="C43" i="4" s="1"/>
  <c r="D47" i="14" l="1"/>
  <c r="E47" i="14" l="1"/>
  <c r="E49" i="14" s="1"/>
  <c r="D213" i="14" l="1"/>
  <c r="D214" i="14" s="1"/>
  <c r="D186" i="18" s="1"/>
  <c r="E53" i="14"/>
  <c r="D142" i="14"/>
  <c r="D143" i="14" s="1"/>
  <c r="D144" i="14" s="1"/>
  <c r="D112" i="18" s="1"/>
  <c r="D116" i="18" s="1"/>
  <c r="D72" i="14" l="1"/>
  <c r="D73" i="14" s="1"/>
  <c r="E10" i="4"/>
  <c r="E57" i="14"/>
  <c r="E14" i="18" s="1"/>
  <c r="E19" i="18" s="1"/>
  <c r="D74" i="14" l="1"/>
  <c r="D38" i="18" s="1"/>
  <c r="D93" i="18"/>
  <c r="D118" i="18" s="1"/>
  <c r="D122" i="18" s="1"/>
  <c r="D42" i="18" l="1"/>
  <c r="J47" i="14" l="1"/>
  <c r="J49" i="14" s="1"/>
  <c r="I213" i="14" s="1"/>
  <c r="I214" i="14" s="1"/>
  <c r="I186" i="18" s="1"/>
  <c r="G47" i="14"/>
  <c r="G49" i="14" s="1"/>
  <c r="F213" i="14" s="1"/>
  <c r="F214" i="14" s="1"/>
  <c r="F186" i="18" s="1"/>
  <c r="I47" i="14"/>
  <c r="I49" i="14" s="1"/>
  <c r="H213" i="14" s="1"/>
  <c r="H214" i="14" s="1"/>
  <c r="H186" i="18" s="1"/>
  <c r="L47" i="14"/>
  <c r="L49" i="14" s="1"/>
  <c r="N47" i="14"/>
  <c r="N49" i="14" s="1"/>
  <c r="M213" i="14" s="1"/>
  <c r="M214" i="14" s="1"/>
  <c r="M186" i="18" s="1"/>
  <c r="M190" i="18" s="1"/>
  <c r="K47" i="14"/>
  <c r="K49" i="14" s="1"/>
  <c r="J213" i="14" s="1"/>
  <c r="J214" i="14" s="1"/>
  <c r="J186" i="18" s="1"/>
  <c r="H47" i="14"/>
  <c r="H49" i="14" s="1"/>
  <c r="G213" i="14" s="1"/>
  <c r="G214" i="14" s="1"/>
  <c r="G186" i="18" s="1"/>
  <c r="M47" i="14"/>
  <c r="M49" i="14" s="1"/>
  <c r="L213" i="14" s="1"/>
  <c r="L214" i="14" s="1"/>
  <c r="L186" i="18" s="1"/>
  <c r="F47" i="14"/>
  <c r="F49" i="14" s="1"/>
  <c r="K213" i="14" l="1"/>
  <c r="K214" i="14" s="1"/>
  <c r="K186" i="18" s="1"/>
  <c r="E213" i="14"/>
  <c r="E214" i="14" s="1"/>
  <c r="K53" i="14"/>
  <c r="J142" i="14"/>
  <c r="M53" i="14"/>
  <c r="M10" i="4" s="1"/>
  <c r="L142" i="14"/>
  <c r="L143" i="14" s="1"/>
  <c r="L144" i="14" s="1"/>
  <c r="L112" i="18" s="1"/>
  <c r="L116" i="18" s="1"/>
  <c r="I53" i="14"/>
  <c r="I10" i="4" s="1"/>
  <c r="H142" i="14"/>
  <c r="H143" i="14" s="1"/>
  <c r="H144" i="14" s="1"/>
  <c r="H112" i="18" s="1"/>
  <c r="H116" i="18" s="1"/>
  <c r="H53" i="14"/>
  <c r="H10" i="4" s="1"/>
  <c r="G142" i="14"/>
  <c r="N53" i="14"/>
  <c r="N10" i="4" s="1"/>
  <c r="M142" i="14"/>
  <c r="M143" i="14" s="1"/>
  <c r="M144" i="14" s="1"/>
  <c r="M112" i="18" s="1"/>
  <c r="M116" i="18" s="1"/>
  <c r="L53" i="14"/>
  <c r="K142" i="14"/>
  <c r="G53" i="14"/>
  <c r="F142" i="14"/>
  <c r="F143" i="14" s="1"/>
  <c r="F144" i="14" s="1"/>
  <c r="F112" i="18" s="1"/>
  <c r="F116" i="18" s="1"/>
  <c r="F53" i="14"/>
  <c r="F10" i="4" s="1"/>
  <c r="E142" i="14"/>
  <c r="J53" i="14"/>
  <c r="I142" i="14"/>
  <c r="G57" i="14" l="1"/>
  <c r="G14" i="18" s="1"/>
  <c r="G19" i="18" s="1"/>
  <c r="G10" i="4"/>
  <c r="G19" i="4" s="1"/>
  <c r="K57" i="14"/>
  <c r="K10" i="4"/>
  <c r="I72" i="14"/>
  <c r="I73" i="14" s="1"/>
  <c r="I74" i="14" s="1"/>
  <c r="J10" i="4"/>
  <c r="K72" i="14"/>
  <c r="K73" i="14" s="1"/>
  <c r="K74" i="14" s="1"/>
  <c r="L10" i="4"/>
  <c r="E216" i="14"/>
  <c r="E186" i="18"/>
  <c r="J57" i="14"/>
  <c r="J14" i="18" s="1"/>
  <c r="J19" i="18" s="1"/>
  <c r="J72" i="14"/>
  <c r="J73" i="14" s="1"/>
  <c r="J74" i="14" s="1"/>
  <c r="N57" i="14"/>
  <c r="L146" i="14"/>
  <c r="L216" i="14"/>
  <c r="F146" i="14"/>
  <c r="F216" i="14"/>
  <c r="J216" i="14"/>
  <c r="M146" i="14"/>
  <c r="M216" i="14"/>
  <c r="K216" i="14"/>
  <c r="M57" i="14"/>
  <c r="M14" i="18" s="1"/>
  <c r="M19" i="18" s="1"/>
  <c r="L72" i="14"/>
  <c r="L73" i="14" s="1"/>
  <c r="L74" i="14" s="1"/>
  <c r="H146" i="14"/>
  <c r="H216" i="14"/>
  <c r="N19" i="4"/>
  <c r="L57" i="14"/>
  <c r="L14" i="18" s="1"/>
  <c r="L19" i="18" s="1"/>
  <c r="G216" i="14"/>
  <c r="I216" i="14"/>
  <c r="H72" i="14"/>
  <c r="H73" i="14" s="1"/>
  <c r="H74" i="14" s="1"/>
  <c r="I57" i="14"/>
  <c r="I14" i="18" s="1"/>
  <c r="I19" i="18" s="1"/>
  <c r="F57" i="14"/>
  <c r="F14" i="18" s="1"/>
  <c r="F19" i="18" s="1"/>
  <c r="G143" i="14"/>
  <c r="G144" i="14" s="1"/>
  <c r="G112" i="18" s="1"/>
  <c r="G116" i="18" s="1"/>
  <c r="G72" i="14"/>
  <c r="G73" i="14" s="1"/>
  <c r="G74" i="14" s="1"/>
  <c r="E143" i="14"/>
  <c r="E144" i="14" s="1"/>
  <c r="E112" i="18" s="1"/>
  <c r="E116" i="18" s="1"/>
  <c r="H57" i="14"/>
  <c r="H14" i="18" s="1"/>
  <c r="H19" i="18" s="1"/>
  <c r="K143" i="14"/>
  <c r="K144" i="14" s="1"/>
  <c r="K112" i="18" s="1"/>
  <c r="K116" i="18" s="1"/>
  <c r="I143" i="14"/>
  <c r="I144" i="14" s="1"/>
  <c r="I112" i="18" s="1"/>
  <c r="I116" i="18" s="1"/>
  <c r="J143" i="14"/>
  <c r="J144" i="14" s="1"/>
  <c r="J112" i="18" s="1"/>
  <c r="J116" i="18" s="1"/>
  <c r="E72" i="14"/>
  <c r="E73" i="14" s="1"/>
  <c r="E74" i="14" s="1"/>
  <c r="F72" i="14"/>
  <c r="F73" i="14" s="1"/>
  <c r="F74" i="14" s="1"/>
  <c r="M72" i="14"/>
  <c r="M73" i="14" s="1"/>
  <c r="M74" i="14" s="1"/>
  <c r="K14" i="18"/>
  <c r="K19" i="18" s="1"/>
  <c r="G146" i="14" l="1"/>
  <c r="E146" i="14"/>
  <c r="J146" i="14"/>
  <c r="K146" i="14"/>
  <c r="I146" i="14"/>
  <c r="M93" i="18"/>
  <c r="M118" i="18" s="1"/>
  <c r="M122" i="18" s="1"/>
  <c r="F93" i="18"/>
  <c r="F118" i="18" s="1"/>
  <c r="F122" i="18" s="1"/>
  <c r="L38" i="18"/>
  <c r="L42" i="18" s="1"/>
  <c r="L93" i="18"/>
  <c r="L118" i="18" s="1"/>
  <c r="L122" i="18" s="1"/>
  <c r="G38" i="18"/>
  <c r="G42" i="18" s="1"/>
  <c r="G93" i="18"/>
  <c r="G118" i="18" s="1"/>
  <c r="G122" i="18" s="1"/>
  <c r="I38" i="18"/>
  <c r="I42" i="18" s="1"/>
  <c r="I93" i="18"/>
  <c r="I118" i="18" s="1"/>
  <c r="I122" i="18" s="1"/>
  <c r="H93" i="18"/>
  <c r="H118" i="18" s="1"/>
  <c r="H122" i="18" s="1"/>
  <c r="J38" i="18"/>
  <c r="J42" i="18" s="1"/>
  <c r="J93" i="18"/>
  <c r="J118" i="18" s="1"/>
  <c r="J122" i="18" s="1"/>
  <c r="H38" i="18"/>
  <c r="H42" i="18" s="1"/>
  <c r="H76" i="14"/>
  <c r="H220" i="14" s="1"/>
  <c r="M38" i="18"/>
  <c r="M76" i="14"/>
  <c r="M220" i="14" s="1"/>
  <c r="F38" i="18"/>
  <c r="F76" i="14"/>
  <c r="F220" i="14" s="1"/>
  <c r="K38" i="18"/>
  <c r="K76" i="14"/>
  <c r="G76" i="14"/>
  <c r="E76" i="14"/>
  <c r="E38" i="18"/>
  <c r="P35" i="18"/>
  <c r="I76" i="14"/>
  <c r="J76" i="14"/>
  <c r="L76" i="14"/>
  <c r="L220" i="14" s="1"/>
  <c r="I220" i="14" l="1"/>
  <c r="K220" i="14"/>
  <c r="G220" i="14"/>
  <c r="J220" i="14"/>
  <c r="E220" i="14"/>
  <c r="E190" i="18"/>
  <c r="F190" i="18"/>
  <c r="G40" i="4"/>
  <c r="P109" i="18"/>
  <c r="K93" i="18"/>
  <c r="K118" i="18" s="1"/>
  <c r="K122" i="18" s="1"/>
  <c r="E19" i="4"/>
  <c r="E40" i="4" s="1"/>
  <c r="H190" i="18"/>
  <c r="I19" i="4"/>
  <c r="I40" i="4" s="1"/>
  <c r="K190" i="18"/>
  <c r="L19" i="4"/>
  <c r="L40" i="4" s="1"/>
  <c r="E93" i="18"/>
  <c r="E118" i="18" s="1"/>
  <c r="E122" i="18" s="1"/>
  <c r="M19" i="4"/>
  <c r="M40" i="4" s="1"/>
  <c r="J19" i="4"/>
  <c r="J40" i="4" s="1"/>
  <c r="L44" i="18"/>
  <c r="L48" i="18" s="1"/>
  <c r="H44" i="18"/>
  <c r="H48" i="18" s="1"/>
  <c r="K42" i="18"/>
  <c r="K44" i="18" s="1"/>
  <c r="K48" i="18" s="1"/>
  <c r="I26" i="20"/>
  <c r="P39" i="18"/>
  <c r="R35" i="18"/>
  <c r="E42" i="18"/>
  <c r="E44" i="18" s="1"/>
  <c r="E48" i="18" s="1"/>
  <c r="F42" i="18"/>
  <c r="F44" i="18" s="1"/>
  <c r="F48" i="18" s="1"/>
  <c r="J44" i="18"/>
  <c r="J48" i="18" s="1"/>
  <c r="I44" i="18"/>
  <c r="I48" i="18" s="1"/>
  <c r="G44" i="18"/>
  <c r="G48" i="18" s="1"/>
  <c r="M42" i="18"/>
  <c r="M44" i="18" s="1"/>
  <c r="M48" i="18" s="1"/>
  <c r="M260" i="18"/>
  <c r="M264" i="18" s="1"/>
  <c r="H19" i="4" l="1"/>
  <c r="H40" i="4" s="1"/>
  <c r="P103" i="18"/>
  <c r="P104" i="18" s="1"/>
  <c r="F260" i="18"/>
  <c r="F264" i="18" s="1"/>
  <c r="F20" i="4" s="1"/>
  <c r="F41" i="4" s="1"/>
  <c r="H260" i="18"/>
  <c r="H264" i="18" s="1"/>
  <c r="H20" i="4" s="1"/>
  <c r="H41" i="4" s="1"/>
  <c r="K260" i="18"/>
  <c r="K264" i="18" s="1"/>
  <c r="K20" i="4" s="1"/>
  <c r="K41" i="4" s="1"/>
  <c r="I68" i="20"/>
  <c r="R109" i="18"/>
  <c r="P113" i="18"/>
  <c r="C119" i="18"/>
  <c r="G190" i="18"/>
  <c r="G260" i="18"/>
  <c r="G264" i="18" s="1"/>
  <c r="G20" i="4" s="1"/>
  <c r="I190" i="18"/>
  <c r="I260" i="18"/>
  <c r="I264" i="18" s="1"/>
  <c r="I20" i="4" s="1"/>
  <c r="K19" i="4"/>
  <c r="K40" i="4" s="1"/>
  <c r="L190" i="18"/>
  <c r="L260" i="18"/>
  <c r="L264" i="18" s="1"/>
  <c r="L20" i="4" s="1"/>
  <c r="E260" i="18"/>
  <c r="E264" i="18" s="1"/>
  <c r="E20" i="4" s="1"/>
  <c r="D190" i="18"/>
  <c r="D260" i="18"/>
  <c r="D264" i="18" s="1"/>
  <c r="D20" i="4" s="1"/>
  <c r="K26" i="20"/>
  <c r="R39" i="18"/>
  <c r="R42" i="18" s="1"/>
  <c r="K50" i="4"/>
  <c r="M20" i="4"/>
  <c r="I30" i="20"/>
  <c r="R45" i="18"/>
  <c r="K36" i="20" s="1"/>
  <c r="F19" i="4" l="1"/>
  <c r="F40" i="4" s="1"/>
  <c r="H21" i="4"/>
  <c r="K21" i="4"/>
  <c r="E192" i="18"/>
  <c r="E196" i="18" s="1"/>
  <c r="E236" i="18"/>
  <c r="C20" i="4"/>
  <c r="D41" i="4"/>
  <c r="G21" i="4"/>
  <c r="G41" i="4"/>
  <c r="F192" i="18"/>
  <c r="F196" i="18" s="1"/>
  <c r="F236" i="18"/>
  <c r="L21" i="4"/>
  <c r="L41" i="4"/>
  <c r="J190" i="18"/>
  <c r="J260" i="18"/>
  <c r="J264" i="18" s="1"/>
  <c r="J20" i="4" s="1"/>
  <c r="J236" i="18"/>
  <c r="J241" i="18" s="1"/>
  <c r="G192" i="18"/>
  <c r="G196" i="18" s="1"/>
  <c r="G236" i="18"/>
  <c r="I41" i="4"/>
  <c r="I21" i="4"/>
  <c r="R119" i="18"/>
  <c r="K78" i="20" s="1"/>
  <c r="I72" i="20"/>
  <c r="M192" i="18"/>
  <c r="M196" i="18" s="1"/>
  <c r="M236" i="18"/>
  <c r="I192" i="18"/>
  <c r="I196" i="18" s="1"/>
  <c r="I236" i="18"/>
  <c r="L192" i="18"/>
  <c r="L196" i="18" s="1"/>
  <c r="L236" i="18"/>
  <c r="K68" i="20"/>
  <c r="R113" i="18"/>
  <c r="H192" i="18"/>
  <c r="H196" i="18" s="1"/>
  <c r="H236" i="18"/>
  <c r="K30" i="20"/>
  <c r="E41" i="4"/>
  <c r="E21" i="4"/>
  <c r="M41" i="4"/>
  <c r="M21" i="4"/>
  <c r="H241" i="18" l="1"/>
  <c r="H266" i="18" s="1"/>
  <c r="H44" i="4" s="1"/>
  <c r="E241" i="18"/>
  <c r="E266" i="18" s="1"/>
  <c r="E44" i="4" s="1"/>
  <c r="M241" i="18"/>
  <c r="M266" i="18" s="1"/>
  <c r="M44" i="4" s="1"/>
  <c r="F241" i="18"/>
  <c r="F266" i="18" s="1"/>
  <c r="F44" i="4" s="1"/>
  <c r="I241" i="18"/>
  <c r="I266" i="18" s="1"/>
  <c r="I44" i="4" s="1"/>
  <c r="L241" i="18"/>
  <c r="L266" i="18" s="1"/>
  <c r="L44" i="4" s="1"/>
  <c r="G241" i="18"/>
  <c r="G266" i="18" s="1"/>
  <c r="G44" i="4" s="1"/>
  <c r="F21" i="4"/>
  <c r="C41" i="4"/>
  <c r="J192" i="18"/>
  <c r="J196" i="18" s="1"/>
  <c r="J266" i="18"/>
  <c r="J44" i="4" s="1"/>
  <c r="P183" i="18"/>
  <c r="K192" i="18"/>
  <c r="K196" i="18" s="1"/>
  <c r="K236" i="18"/>
  <c r="R116" i="18"/>
  <c r="K72" i="20"/>
  <c r="J41" i="4"/>
  <c r="J21" i="4"/>
  <c r="K33" i="20"/>
  <c r="R47" i="18"/>
  <c r="R49" i="18" s="1"/>
  <c r="K241" i="18" l="1"/>
  <c r="K266" i="18" s="1"/>
  <c r="K44" i="4" s="1"/>
  <c r="K75" i="20"/>
  <c r="R121" i="18"/>
  <c r="R123" i="18" s="1"/>
  <c r="I110" i="20"/>
  <c r="R183" i="18"/>
  <c r="P187" i="18"/>
  <c r="M76" i="18"/>
  <c r="K38" i="20"/>
  <c r="G76" i="18"/>
  <c r="I76" i="18"/>
  <c r="D76" i="18"/>
  <c r="L76" i="18"/>
  <c r="E76" i="18"/>
  <c r="R48" i="18"/>
  <c r="F76" i="18"/>
  <c r="J76" i="18"/>
  <c r="H76" i="18"/>
  <c r="K76" i="18"/>
  <c r="I77" i="18" l="1"/>
  <c r="J77" i="18"/>
  <c r="K77" i="18"/>
  <c r="D77" i="18"/>
  <c r="L77" i="18"/>
  <c r="E77" i="18"/>
  <c r="M77" i="18"/>
  <c r="F77" i="18"/>
  <c r="G77" i="18"/>
  <c r="H77" i="18"/>
  <c r="K110" i="20"/>
  <c r="R187" i="18"/>
  <c r="R193" i="18"/>
  <c r="K120" i="20" s="1"/>
  <c r="I114" i="20"/>
  <c r="K80" i="20"/>
  <c r="F150" i="18"/>
  <c r="I150" i="18"/>
  <c r="R122" i="18"/>
  <c r="G150" i="18"/>
  <c r="J150" i="18"/>
  <c r="M150" i="18"/>
  <c r="H150" i="18"/>
  <c r="L150" i="18"/>
  <c r="K150" i="18"/>
  <c r="D150" i="18"/>
  <c r="E150" i="18"/>
  <c r="K39" i="20"/>
  <c r="R50" i="18"/>
  <c r="K41" i="20" s="1"/>
  <c r="I75" i="18"/>
  <c r="K40" i="20"/>
  <c r="F75" i="18"/>
  <c r="K75" i="18"/>
  <c r="H75" i="18"/>
  <c r="G75" i="18"/>
  <c r="J75" i="18"/>
  <c r="D75" i="18"/>
  <c r="M75" i="18"/>
  <c r="E75" i="18"/>
  <c r="L75" i="18"/>
  <c r="K82" i="20" l="1"/>
  <c r="E149" i="18"/>
  <c r="D149" i="18"/>
  <c r="K149" i="18"/>
  <c r="H149" i="18"/>
  <c r="M149" i="18"/>
  <c r="G149" i="18"/>
  <c r="F149" i="18"/>
  <c r="J149" i="18"/>
  <c r="L149" i="18"/>
  <c r="I149" i="18"/>
  <c r="R190" i="18"/>
  <c r="K114" i="20"/>
  <c r="F151" i="18"/>
  <c r="M151" i="18"/>
  <c r="J151" i="18"/>
  <c r="I151" i="18"/>
  <c r="G151" i="18"/>
  <c r="L151" i="18"/>
  <c r="E151" i="18"/>
  <c r="K81" i="20"/>
  <c r="H151" i="18"/>
  <c r="D151" i="18"/>
  <c r="R124" i="18"/>
  <c r="K151" i="18"/>
  <c r="G78" i="18"/>
  <c r="E78" i="18"/>
  <c r="L78" i="18"/>
  <c r="J78" i="18"/>
  <c r="M78" i="18"/>
  <c r="I78" i="18"/>
  <c r="D78" i="18"/>
  <c r="H78" i="18"/>
  <c r="F78" i="18"/>
  <c r="K78" i="18"/>
  <c r="D49" i="14"/>
  <c r="R195" i="18" l="1"/>
  <c r="R197" i="18" s="1"/>
  <c r="K117" i="20"/>
  <c r="K83" i="20"/>
  <c r="L152" i="18"/>
  <c r="F152" i="18"/>
  <c r="K152" i="18"/>
  <c r="E152" i="18"/>
  <c r="H152" i="18"/>
  <c r="M152" i="18"/>
  <c r="I152" i="18"/>
  <c r="D152" i="18"/>
  <c r="J152" i="18"/>
  <c r="G152" i="18"/>
  <c r="D53" i="14"/>
  <c r="D216" i="14" l="1"/>
  <c r="D10" i="4"/>
  <c r="C217" i="14"/>
  <c r="I224" i="18"/>
  <c r="I298" i="18" s="1"/>
  <c r="D224" i="18"/>
  <c r="D298" i="18" s="1"/>
  <c r="K224" i="18"/>
  <c r="K298" i="18" s="1"/>
  <c r="K122" i="20"/>
  <c r="F224" i="18"/>
  <c r="F298" i="18" s="1"/>
  <c r="H224" i="18"/>
  <c r="H298" i="18" s="1"/>
  <c r="E224" i="18"/>
  <c r="E298" i="18" s="1"/>
  <c r="R196" i="18"/>
  <c r="L224" i="18"/>
  <c r="L298" i="18" s="1"/>
  <c r="G224" i="18"/>
  <c r="G298" i="18" s="1"/>
  <c r="J224" i="18"/>
  <c r="J298" i="18" s="1"/>
  <c r="M224" i="18"/>
  <c r="M298" i="18" s="1"/>
  <c r="D57" i="14"/>
  <c r="D76" i="14" s="1"/>
  <c r="D146" i="14"/>
  <c r="D220" i="14" l="1"/>
  <c r="C221" i="14" s="1"/>
  <c r="C147" i="14"/>
  <c r="D14" i="18"/>
  <c r="D19" i="18" s="1"/>
  <c r="H223" i="18"/>
  <c r="H297" i="18" s="1"/>
  <c r="J223" i="18"/>
  <c r="J297" i="18" s="1"/>
  <c r="I223" i="18"/>
  <c r="I297" i="18" s="1"/>
  <c r="K223" i="18"/>
  <c r="K297" i="18" s="1"/>
  <c r="M223" i="18"/>
  <c r="M297" i="18" s="1"/>
  <c r="D223" i="18"/>
  <c r="D297" i="18" s="1"/>
  <c r="F223" i="18"/>
  <c r="F297" i="18" s="1"/>
  <c r="E223" i="18"/>
  <c r="E297" i="18" s="1"/>
  <c r="G223" i="18"/>
  <c r="G297" i="18" s="1"/>
  <c r="K124" i="20"/>
  <c r="L223" i="18"/>
  <c r="L297" i="18" s="1"/>
  <c r="J225" i="18"/>
  <c r="J299" i="18" s="1"/>
  <c r="D225" i="18"/>
  <c r="D299" i="18" s="1"/>
  <c r="D46" i="4" s="1"/>
  <c r="K123" i="20"/>
  <c r="R198" i="18"/>
  <c r="M225" i="18"/>
  <c r="M299" i="18" s="1"/>
  <c r="F225" i="18"/>
  <c r="F299" i="18" s="1"/>
  <c r="L225" i="18"/>
  <c r="L299" i="18" s="1"/>
  <c r="H225" i="18"/>
  <c r="H299" i="18" s="1"/>
  <c r="G225" i="18"/>
  <c r="G299" i="18" s="1"/>
  <c r="E225" i="18"/>
  <c r="E299" i="18" s="1"/>
  <c r="K225" i="18"/>
  <c r="K299" i="18" s="1"/>
  <c r="I225" i="18"/>
  <c r="I299" i="18" s="1"/>
  <c r="D44" i="18"/>
  <c r="D48" i="18" s="1"/>
  <c r="C77" i="14"/>
  <c r="P29" i="18" l="1"/>
  <c r="K226" i="18"/>
  <c r="K300" i="18" s="1"/>
  <c r="F226" i="18"/>
  <c r="F300" i="18" s="1"/>
  <c r="J226" i="18"/>
  <c r="J300" i="18" s="1"/>
  <c r="I226" i="18"/>
  <c r="I300" i="18" s="1"/>
  <c r="H226" i="18"/>
  <c r="H300" i="18" s="1"/>
  <c r="G226" i="18"/>
  <c r="G300" i="18" s="1"/>
  <c r="E226" i="18"/>
  <c r="E300" i="18" s="1"/>
  <c r="D226" i="18"/>
  <c r="D300" i="18" s="1"/>
  <c r="M226" i="18"/>
  <c r="M300" i="18" s="1"/>
  <c r="L226" i="18"/>
  <c r="L300" i="18" s="1"/>
  <c r="K125" i="20"/>
  <c r="C45" i="18"/>
  <c r="D19" i="4" l="1"/>
  <c r="D192" i="18" l="1"/>
  <c r="D196" i="18" s="1"/>
  <c r="D236" i="18"/>
  <c r="C19" i="4"/>
  <c r="D40" i="4"/>
  <c r="C40" i="4" s="1"/>
  <c r="D21" i="4"/>
  <c r="C21" i="4" s="1"/>
  <c r="D241" i="18" l="1"/>
  <c r="D266" i="18" s="1"/>
  <c r="P177" i="18"/>
  <c r="D270" i="18"/>
  <c r="C193" i="18"/>
  <c r="D44" i="4" l="1"/>
  <c r="C47" i="4" s="1"/>
  <c r="C267" i="18"/>
  <c r="C49" i="4" s="1"/>
  <c r="C44" i="4" l="1"/>
  <c r="D49" i="18"/>
  <c r="E49" i="18"/>
  <c r="F49" i="18"/>
  <c r="G49" i="18"/>
  <c r="H49" i="18"/>
  <c r="I49" i="18"/>
  <c r="J49" i="18"/>
  <c r="K49" i="18"/>
  <c r="L49" i="18"/>
  <c r="M49" i="18"/>
  <c r="P15" i="18" l="1"/>
  <c r="I6" i="20" s="1"/>
  <c r="P14" i="18"/>
  <c r="D50" i="18" s="1"/>
  <c r="P16" i="18"/>
  <c r="I5" i="20" l="1"/>
  <c r="P18" i="18"/>
  <c r="R165" i="18" s="1"/>
  <c r="K92" i="20" s="1"/>
  <c r="E50" i="18"/>
  <c r="P30" i="18"/>
  <c r="I21" i="20" s="1"/>
  <c r="I20" i="20"/>
  <c r="I7" i="20"/>
  <c r="R14" i="18" l="1"/>
  <c r="K5" i="20" s="1"/>
  <c r="I9" i="20"/>
  <c r="R91" i="18"/>
  <c r="K50" i="20" s="1"/>
  <c r="R18" i="18"/>
  <c r="K9" i="20" s="1"/>
  <c r="R16" i="18"/>
  <c r="K7" i="20" s="1"/>
  <c r="R17" i="18"/>
  <c r="K8" i="20" s="1"/>
  <c r="R15" i="18"/>
  <c r="K6" i="20" s="1"/>
  <c r="R29" i="18"/>
  <c r="K20" i="20" s="1"/>
  <c r="R30" i="18"/>
  <c r="K21" i="20" s="1"/>
  <c r="D51" i="18"/>
  <c r="D52" i="18" s="1"/>
  <c r="D59" i="18" s="1"/>
  <c r="R21" i="18"/>
  <c r="K12" i="20" s="1"/>
  <c r="R101" i="18"/>
  <c r="K60" i="20" s="1"/>
  <c r="R170" i="18"/>
  <c r="K97" i="20" s="1"/>
  <c r="R22" i="18"/>
  <c r="K13" i="20" s="1"/>
  <c r="R102" i="18"/>
  <c r="K61" i="20" s="1"/>
  <c r="R171" i="18"/>
  <c r="K98" i="20" s="1"/>
  <c r="R23" i="18"/>
  <c r="K14" i="20" s="1"/>
  <c r="R95" i="18"/>
  <c r="K54" i="20" s="1"/>
  <c r="R172" i="18"/>
  <c r="K99" i="20" s="1"/>
  <c r="R24" i="18"/>
  <c r="K15" i="20" s="1"/>
  <c r="R96" i="18"/>
  <c r="K55" i="20" s="1"/>
  <c r="R173" i="18"/>
  <c r="K100" i="20" s="1"/>
  <c r="R25" i="18"/>
  <c r="K16" i="20" s="1"/>
  <c r="R97" i="18"/>
  <c r="K56" i="20" s="1"/>
  <c r="R174" i="18"/>
  <c r="K101" i="20" s="1"/>
  <c r="R26" i="18"/>
  <c r="K17" i="20" s="1"/>
  <c r="R98" i="18"/>
  <c r="K57" i="20" s="1"/>
  <c r="R175" i="18"/>
  <c r="K102" i="20" s="1"/>
  <c r="R27" i="18"/>
  <c r="K18" i="20" s="1"/>
  <c r="R99" i="18"/>
  <c r="K58" i="20" s="1"/>
  <c r="R176" i="18"/>
  <c r="K103" i="20" s="1"/>
  <c r="R28" i="18"/>
  <c r="K19" i="20" s="1"/>
  <c r="R100" i="18"/>
  <c r="K59" i="20" s="1"/>
  <c r="R169" i="18"/>
  <c r="K96" i="20" s="1"/>
  <c r="F50" i="18"/>
  <c r="G50" i="18" s="1"/>
  <c r="H50" i="18" s="1"/>
  <c r="D67" i="18" l="1"/>
  <c r="D69" i="18" s="1"/>
  <c r="E51" i="18"/>
  <c r="E67" i="18" s="1"/>
  <c r="I50" i="18"/>
  <c r="D61" i="18"/>
  <c r="D62" i="18" s="1"/>
  <c r="E52" i="18" l="1"/>
  <c r="E59" i="18" s="1"/>
  <c r="F51" i="18"/>
  <c r="G51" i="18" s="1"/>
  <c r="G67" i="18" s="1"/>
  <c r="E57" i="18"/>
  <c r="J50" i="18"/>
  <c r="K50" i="18" s="1"/>
  <c r="D80" i="18"/>
  <c r="D70" i="18"/>
  <c r="H51" i="18" l="1"/>
  <c r="I51" i="18" s="1"/>
  <c r="G52" i="18"/>
  <c r="G59" i="18" s="1"/>
  <c r="F52" i="18"/>
  <c r="F59" i="18" s="1"/>
  <c r="F67" i="18"/>
  <c r="L50" i="18"/>
  <c r="E65" i="18"/>
  <c r="E58" i="18"/>
  <c r="E60" i="18"/>
  <c r="H67" i="18" l="1"/>
  <c r="H52" i="18"/>
  <c r="H59" i="18" s="1"/>
  <c r="I67" i="18"/>
  <c r="I52" i="18"/>
  <c r="E68" i="18"/>
  <c r="E66" i="18"/>
  <c r="J51" i="18"/>
  <c r="E61" i="18"/>
  <c r="E62" i="18" s="1"/>
  <c r="M50" i="18"/>
  <c r="E69" i="18" l="1"/>
  <c r="E70" i="18" s="1"/>
  <c r="F57" i="18"/>
  <c r="J67" i="18"/>
  <c r="J52" i="18"/>
  <c r="K51" i="18"/>
  <c r="L51" i="18" s="1"/>
  <c r="I59" i="18"/>
  <c r="E80" i="18" l="1"/>
  <c r="L67" i="18"/>
  <c r="M51" i="18"/>
  <c r="L52" i="18"/>
  <c r="F65" i="18"/>
  <c r="K67" i="18"/>
  <c r="K52" i="18"/>
  <c r="J59" i="18"/>
  <c r="F60" i="18"/>
  <c r="F58" i="18"/>
  <c r="L59" i="18" l="1"/>
  <c r="K59" i="18"/>
  <c r="M67" i="18"/>
  <c r="M52" i="18"/>
  <c r="F68" i="18"/>
  <c r="F66" i="18"/>
  <c r="F69" i="18" s="1"/>
  <c r="F70" i="18" s="1"/>
  <c r="F61" i="18"/>
  <c r="G65" i="18" l="1"/>
  <c r="M59" i="18"/>
  <c r="F80" i="18"/>
  <c r="F62" i="18"/>
  <c r="G57" i="18" l="1"/>
  <c r="G68" i="18"/>
  <c r="G66" i="18"/>
  <c r="G69" i="18" s="1"/>
  <c r="G60" i="18" l="1"/>
  <c r="G58" i="18"/>
  <c r="G70" i="18"/>
  <c r="G61" i="18" l="1"/>
  <c r="G80" i="18" s="1"/>
  <c r="H65" i="18"/>
  <c r="H66" i="18" l="1"/>
  <c r="H68" i="18"/>
  <c r="G62" i="18"/>
  <c r="H69" i="18" l="1"/>
  <c r="H70" i="18" s="1"/>
  <c r="I65" i="18" s="1"/>
  <c r="H57" i="18"/>
  <c r="H60" i="18" l="1"/>
  <c r="H58" i="18"/>
  <c r="I66" i="18"/>
  <c r="I68" i="18"/>
  <c r="H61" i="18" l="1"/>
  <c r="H62" i="18" s="1"/>
  <c r="I69" i="18"/>
  <c r="I70" i="18" s="1"/>
  <c r="H80" i="18" l="1"/>
  <c r="J65" i="18"/>
  <c r="I57" i="18"/>
  <c r="I58" i="18" l="1"/>
  <c r="I60" i="18"/>
  <c r="J66" i="18"/>
  <c r="J68" i="18"/>
  <c r="I61" i="18" l="1"/>
  <c r="I62" i="18" s="1"/>
  <c r="J69" i="18"/>
  <c r="I80" i="18" l="1"/>
  <c r="J57" i="18"/>
  <c r="J70" i="18"/>
  <c r="K65" i="18" l="1"/>
  <c r="J58" i="18"/>
  <c r="J60" i="18"/>
  <c r="J61" i="18" l="1"/>
  <c r="J80" i="18" s="1"/>
  <c r="K66" i="18"/>
  <c r="K68" i="18"/>
  <c r="K69" i="18" l="1"/>
  <c r="K70" i="18" s="1"/>
  <c r="J62" i="18"/>
  <c r="K57" i="18" s="1"/>
  <c r="L65" i="18" l="1"/>
  <c r="K58" i="18"/>
  <c r="K60" i="18"/>
  <c r="K61" i="18" l="1"/>
  <c r="K80" i="18" s="1"/>
  <c r="L66" i="18"/>
  <c r="L68" i="18"/>
  <c r="K62" i="18" l="1"/>
  <c r="L57" i="18" s="1"/>
  <c r="L69" i="18"/>
  <c r="L70" i="18" s="1"/>
  <c r="L58" i="18" l="1"/>
  <c r="L60" i="18"/>
  <c r="M65" i="18"/>
  <c r="M68" i="18" l="1"/>
  <c r="M66" i="18"/>
  <c r="L61" i="18"/>
  <c r="L62" i="18" s="1"/>
  <c r="M57" i="18" l="1"/>
  <c r="M69" i="18"/>
  <c r="M70" i="18" s="1"/>
  <c r="L80" i="18"/>
  <c r="M58" i="18" l="1"/>
  <c r="M60" i="18"/>
  <c r="M61" i="18" l="1"/>
  <c r="M62" i="18" l="1"/>
  <c r="M80" i="18"/>
  <c r="C81" i="18" l="1"/>
  <c r="C82" i="18"/>
  <c r="D123" i="18"/>
  <c r="E123" i="18"/>
  <c r="F123" i="18"/>
  <c r="G123" i="18"/>
  <c r="H123" i="18"/>
  <c r="I123" i="18"/>
  <c r="J123" i="18"/>
  <c r="K123" i="18"/>
  <c r="L123" i="18"/>
  <c r="M123" i="18"/>
  <c r="P90" i="18" l="1"/>
  <c r="P88" i="18"/>
  <c r="P89" i="18"/>
  <c r="D124" i="18" l="1"/>
  <c r="E124" i="18" s="1"/>
  <c r="F124" i="18" s="1"/>
  <c r="I47" i="20"/>
  <c r="R88" i="18"/>
  <c r="K47" i="20" s="1"/>
  <c r="P92" i="18"/>
  <c r="R92" i="18" s="1"/>
  <c r="K51" i="20" s="1"/>
  <c r="R90" i="18"/>
  <c r="K49" i="20" s="1"/>
  <c r="I49" i="20"/>
  <c r="I48" i="20"/>
  <c r="R89" i="18"/>
  <c r="K48" i="20" s="1"/>
  <c r="D125" i="18" l="1"/>
  <c r="D141" i="18" s="1"/>
  <c r="I51" i="20"/>
  <c r="I62" i="20"/>
  <c r="R103" i="18"/>
  <c r="K62" i="20" s="1"/>
  <c r="G124" i="18"/>
  <c r="D126" i="18" l="1"/>
  <c r="D133" i="18" s="1"/>
  <c r="E125" i="18"/>
  <c r="F125" i="18" s="1"/>
  <c r="F141" i="18" s="1"/>
  <c r="D143" i="18"/>
  <c r="H124" i="18"/>
  <c r="I124" i="18" s="1"/>
  <c r="I63" i="20"/>
  <c r="R104" i="18"/>
  <c r="K63" i="20" s="1"/>
  <c r="E141" i="18" l="1"/>
  <c r="F126" i="18"/>
  <c r="F133" i="18" s="1"/>
  <c r="G125" i="18"/>
  <c r="H125" i="18" s="1"/>
  <c r="I125" i="18" s="1"/>
  <c r="I126" i="18" s="1"/>
  <c r="E126" i="18"/>
  <c r="E133" i="18" s="1"/>
  <c r="J124" i="18"/>
  <c r="K124" i="18" s="1"/>
  <c r="D144" i="18"/>
  <c r="D135" i="18"/>
  <c r="D154" i="18" s="1"/>
  <c r="J125" i="18" l="1"/>
  <c r="K125" i="18" s="1"/>
  <c r="K126" i="18" s="1"/>
  <c r="I141" i="18"/>
  <c r="G126" i="18"/>
  <c r="G133" i="18" s="1"/>
  <c r="H126" i="18"/>
  <c r="H133" i="18" s="1"/>
  <c r="G141" i="18"/>
  <c r="H141" i="18"/>
  <c r="L124" i="18"/>
  <c r="M124" i="18" s="1"/>
  <c r="I133" i="18"/>
  <c r="D136" i="18"/>
  <c r="E139" i="18"/>
  <c r="J141" i="18" l="1"/>
  <c r="K141" i="18"/>
  <c r="L125" i="18"/>
  <c r="M125" i="18" s="1"/>
  <c r="M126" i="18" s="1"/>
  <c r="J126" i="18"/>
  <c r="J133" i="18" s="1"/>
  <c r="K133" i="18"/>
  <c r="E131" i="18"/>
  <c r="E140" i="18"/>
  <c r="E142" i="18"/>
  <c r="M141" i="18" l="1"/>
  <c r="L126" i="18"/>
  <c r="L141" i="18"/>
  <c r="E134" i="18"/>
  <c r="E132" i="18"/>
  <c r="L133" i="18"/>
  <c r="M133" i="18"/>
  <c r="E143" i="18"/>
  <c r="E135" i="18" l="1"/>
  <c r="E154" i="18" s="1"/>
  <c r="E144" i="18"/>
  <c r="E136" i="18" l="1"/>
  <c r="F131" i="18" s="1"/>
  <c r="F139" i="18"/>
  <c r="F132" i="18" l="1"/>
  <c r="F134" i="18"/>
  <c r="F140" i="18"/>
  <c r="F142" i="18"/>
  <c r="F135" i="18" l="1"/>
  <c r="F136" i="18" s="1"/>
  <c r="F143" i="18"/>
  <c r="F154" i="18" l="1"/>
  <c r="G131" i="18"/>
  <c r="F144" i="18"/>
  <c r="G139" i="18" l="1"/>
  <c r="G132" i="18"/>
  <c r="G134" i="18"/>
  <c r="G135" i="18" l="1"/>
  <c r="G136" i="18" s="1"/>
  <c r="G140" i="18"/>
  <c r="G142" i="18"/>
  <c r="G143" i="18" l="1"/>
  <c r="G154" i="18" s="1"/>
  <c r="H131" i="18"/>
  <c r="H132" i="18" l="1"/>
  <c r="H134" i="18"/>
  <c r="G144" i="18"/>
  <c r="H135" i="18" l="1"/>
  <c r="H136" i="18" s="1"/>
  <c r="I131" i="18" s="1"/>
  <c r="H139" i="18"/>
  <c r="H140" i="18" l="1"/>
  <c r="H142" i="18"/>
  <c r="I132" i="18"/>
  <c r="I134" i="18"/>
  <c r="I135" i="18" l="1"/>
  <c r="I136" i="18" s="1"/>
  <c r="H143" i="18"/>
  <c r="H154" i="18" s="1"/>
  <c r="H144" i="18" l="1"/>
  <c r="J131" i="18"/>
  <c r="J132" i="18" l="1"/>
  <c r="J134" i="18"/>
  <c r="I139" i="18"/>
  <c r="I140" i="18" l="1"/>
  <c r="I142" i="18"/>
  <c r="J135" i="18"/>
  <c r="I143" i="18" l="1"/>
  <c r="J136" i="18"/>
  <c r="K131" i="18" l="1"/>
  <c r="I154" i="18"/>
  <c r="I144" i="18"/>
  <c r="J139" i="18" l="1"/>
  <c r="K134" i="18"/>
  <c r="K132" i="18"/>
  <c r="K135" i="18" l="1"/>
  <c r="J142" i="18"/>
  <c r="J140" i="18"/>
  <c r="J143" i="18" l="1"/>
  <c r="J144" i="18" s="1"/>
  <c r="K136" i="18"/>
  <c r="J154" i="18" l="1"/>
  <c r="L131" i="18"/>
  <c r="K139" i="18"/>
  <c r="K142" i="18" l="1"/>
  <c r="K140" i="18"/>
  <c r="L134" i="18"/>
  <c r="L132" i="18"/>
  <c r="L135" i="18" l="1"/>
  <c r="L136" i="18" s="1"/>
  <c r="K143" i="18"/>
  <c r="K144" i="18" s="1"/>
  <c r="K154" i="18" l="1"/>
  <c r="M131" i="18"/>
  <c r="L139" i="18"/>
  <c r="L142" i="18" l="1"/>
  <c r="L140" i="18"/>
  <c r="M134" i="18"/>
  <c r="M132" i="18"/>
  <c r="M135" i="18" l="1"/>
  <c r="M136" i="18" s="1"/>
  <c r="L143" i="18"/>
  <c r="L144" i="18" s="1"/>
  <c r="L154" i="18" l="1"/>
  <c r="M139" i="18"/>
  <c r="M140" i="18" l="1"/>
  <c r="M142" i="18"/>
  <c r="M143" i="18" l="1"/>
  <c r="M144" i="18" s="1"/>
  <c r="M154" i="18" l="1"/>
  <c r="C155" i="18" s="1"/>
  <c r="D197" i="18"/>
  <c r="D271" i="18" s="1"/>
  <c r="E197" i="18"/>
  <c r="E271" i="18" s="1"/>
  <c r="F197" i="18"/>
  <c r="F271" i="18" s="1"/>
  <c r="G197" i="18"/>
  <c r="G271" i="18" s="1"/>
  <c r="H197" i="18"/>
  <c r="H271" i="18" s="1"/>
  <c r="I197" i="18"/>
  <c r="I271" i="18" s="1"/>
  <c r="J197" i="18"/>
  <c r="J271" i="18" s="1"/>
  <c r="K197" i="18"/>
  <c r="L197" i="18"/>
  <c r="L271" i="18" s="1"/>
  <c r="M197" i="18"/>
  <c r="M271" i="18" s="1"/>
  <c r="E270" i="18"/>
  <c r="F270" i="18"/>
  <c r="G270" i="18"/>
  <c r="H270" i="18"/>
  <c r="I270" i="18"/>
  <c r="J270" i="18"/>
  <c r="K270" i="18"/>
  <c r="L270" i="18"/>
  <c r="M270" i="18"/>
  <c r="C156" i="18" l="1"/>
  <c r="P164" i="18"/>
  <c r="I91" i="20" s="1"/>
  <c r="K86" i="4" s="1"/>
  <c r="P163" i="18"/>
  <c r="K271" i="18"/>
  <c r="P162" i="18"/>
  <c r="R164" i="18" l="1"/>
  <c r="K91" i="20" s="1"/>
  <c r="P166" i="18"/>
  <c r="I89" i="20"/>
  <c r="R163" i="18"/>
  <c r="K90" i="20" s="1"/>
  <c r="I90" i="20"/>
  <c r="K87" i="4" s="1"/>
  <c r="D198" i="18"/>
  <c r="D272" i="18" s="1"/>
  <c r="K80" i="4"/>
  <c r="R162" i="18"/>
  <c r="K89" i="20" s="1"/>
  <c r="I93" i="20" l="1"/>
  <c r="R166" i="18"/>
  <c r="K93" i="20" s="1"/>
  <c r="P178" i="18"/>
  <c r="I104" i="20"/>
  <c r="G96" i="4" s="1"/>
  <c r="R177" i="18"/>
  <c r="K104" i="20" s="1"/>
  <c r="E198" i="18"/>
  <c r="F198" i="18" s="1"/>
  <c r="D199" i="18"/>
  <c r="G198" i="18" l="1"/>
  <c r="H198" i="18" s="1"/>
  <c r="I198" i="18" s="1"/>
  <c r="R178" i="18"/>
  <c r="K105" i="20" s="1"/>
  <c r="I105" i="20"/>
  <c r="G98" i="4" s="1"/>
  <c r="F272" i="18"/>
  <c r="E272" i="18"/>
  <c r="D273" i="18"/>
  <c r="D215" i="18"/>
  <c r="E199" i="18"/>
  <c r="F199" i="18" s="1"/>
  <c r="D200" i="18"/>
  <c r="L98" i="4" l="1"/>
  <c r="L93" i="4"/>
  <c r="L99" i="4"/>
  <c r="L100" i="4"/>
  <c r="L104" i="4"/>
  <c r="L97" i="4"/>
  <c r="L101" i="4"/>
  <c r="L94" i="4"/>
  <c r="L102" i="4"/>
  <c r="L95" i="4"/>
  <c r="L103" i="4"/>
  <c r="L96" i="4"/>
  <c r="L92" i="4"/>
  <c r="L86" i="4"/>
  <c r="L80" i="4"/>
  <c r="L81" i="4"/>
  <c r="L87" i="4"/>
  <c r="L91" i="4"/>
  <c r="J198" i="18"/>
  <c r="J272" i="18" s="1"/>
  <c r="D207" i="18"/>
  <c r="D274" i="18"/>
  <c r="D289" i="18"/>
  <c r="D217" i="18"/>
  <c r="D291" i="18" s="1"/>
  <c r="I272" i="18"/>
  <c r="H272" i="18"/>
  <c r="F273" i="18"/>
  <c r="F215" i="18"/>
  <c r="F289" i="18" s="1"/>
  <c r="F200" i="18"/>
  <c r="G199" i="18"/>
  <c r="E273" i="18"/>
  <c r="E215" i="18"/>
  <c r="E289" i="18" s="1"/>
  <c r="G272" i="18"/>
  <c r="E200" i="18"/>
  <c r="K198" i="18" l="1"/>
  <c r="L198" i="18" s="1"/>
  <c r="L272" i="18" s="1"/>
  <c r="D218" i="18"/>
  <c r="E213" i="18" s="1"/>
  <c r="G273" i="18"/>
  <c r="G215" i="18"/>
  <c r="G289" i="18" s="1"/>
  <c r="D281" i="18"/>
  <c r="D209" i="18"/>
  <c r="D283" i="18" s="1"/>
  <c r="E207" i="18"/>
  <c r="E274" i="18"/>
  <c r="F207" i="18"/>
  <c r="F274" i="18"/>
  <c r="G200" i="18"/>
  <c r="H199" i="18"/>
  <c r="I199" i="18" s="1"/>
  <c r="K272" i="18" l="1"/>
  <c r="M198" i="18"/>
  <c r="M272" i="18" s="1"/>
  <c r="D292" i="18"/>
  <c r="D302" i="18"/>
  <c r="D45" i="4" s="1"/>
  <c r="I215" i="18"/>
  <c r="I289" i="18" s="1"/>
  <c r="I273" i="18"/>
  <c r="I200" i="18"/>
  <c r="J199" i="18"/>
  <c r="F281" i="18"/>
  <c r="E281" i="18"/>
  <c r="D210" i="18"/>
  <c r="H273" i="18"/>
  <c r="H215" i="18"/>
  <c r="H289" i="18" s="1"/>
  <c r="H200" i="18"/>
  <c r="G207" i="18"/>
  <c r="G274" i="18"/>
  <c r="D228" i="18"/>
  <c r="E287" i="18"/>
  <c r="E214" i="18"/>
  <c r="E288" i="18" s="1"/>
  <c r="E216" i="18"/>
  <c r="E290" i="18" s="1"/>
  <c r="E217" i="18" l="1"/>
  <c r="E291" i="18" s="1"/>
  <c r="G281" i="18"/>
  <c r="I274" i="18"/>
  <c r="I207" i="18"/>
  <c r="J273" i="18"/>
  <c r="J215" i="18"/>
  <c r="J289" i="18" s="1"/>
  <c r="J200" i="18"/>
  <c r="H274" i="18"/>
  <c r="H207" i="18"/>
  <c r="E205" i="18"/>
  <c r="D284" i="18"/>
  <c r="K199" i="18"/>
  <c r="E218" i="18" l="1"/>
  <c r="F213" i="18" s="1"/>
  <c r="F287" i="18" s="1"/>
  <c r="K273" i="18"/>
  <c r="K215" i="18"/>
  <c r="K289" i="18" s="1"/>
  <c r="K200" i="18"/>
  <c r="H281" i="18"/>
  <c r="J207" i="18"/>
  <c r="J274" i="18"/>
  <c r="L199" i="18"/>
  <c r="E206" i="18"/>
  <c r="E280" i="18" s="1"/>
  <c r="E46" i="4" s="1"/>
  <c r="C46" i="4" s="1"/>
  <c r="E208" i="18"/>
  <c r="E279" i="18"/>
  <c r="I281" i="18"/>
  <c r="F216" i="18" l="1"/>
  <c r="F290" i="18" s="1"/>
  <c r="F214" i="18"/>
  <c r="E292" i="18"/>
  <c r="J281" i="18"/>
  <c r="K207" i="18"/>
  <c r="K274" i="18"/>
  <c r="L273" i="18"/>
  <c r="L215" i="18"/>
  <c r="L289" i="18" s="1"/>
  <c r="L200" i="18"/>
  <c r="M199" i="18"/>
  <c r="E209" i="18"/>
  <c r="E283" i="18" s="1"/>
  <c r="E282" i="18"/>
  <c r="F288" i="18" l="1"/>
  <c r="F217" i="18"/>
  <c r="F291" i="18" s="1"/>
  <c r="E302" i="18"/>
  <c r="E228" i="18"/>
  <c r="M273" i="18"/>
  <c r="M215" i="18"/>
  <c r="M289" i="18" s="1"/>
  <c r="M200" i="18"/>
  <c r="K281" i="18"/>
  <c r="L207" i="18"/>
  <c r="L274" i="18"/>
  <c r="E210" i="18"/>
  <c r="F218" i="18" l="1"/>
  <c r="F205" i="18"/>
  <c r="E284" i="18"/>
  <c r="M207" i="18"/>
  <c r="M274" i="18"/>
  <c r="L281" i="18"/>
  <c r="E45" i="4"/>
  <c r="C45" i="4" s="1"/>
  <c r="F292" i="18" l="1"/>
  <c r="G213" i="18"/>
  <c r="M281" i="18"/>
  <c r="F279" i="18"/>
  <c r="F206" i="18"/>
  <c r="F280" i="18" s="1"/>
  <c r="F46" i="4" s="1"/>
  <c r="F208" i="18"/>
  <c r="G216" i="18" l="1"/>
  <c r="G290" i="18" s="1"/>
  <c r="G214" i="18"/>
  <c r="G287" i="18"/>
  <c r="F282" i="18"/>
  <c r="F209" i="18"/>
  <c r="F283" i="18" s="1"/>
  <c r="G288" i="18" l="1"/>
  <c r="G217" i="18"/>
  <c r="G291" i="18" s="1"/>
  <c r="F210" i="18"/>
  <c r="F228" i="18"/>
  <c r="F302" i="18"/>
  <c r="G218" i="18" l="1"/>
  <c r="F45" i="4"/>
  <c r="G205" i="18"/>
  <c r="F284" i="18"/>
  <c r="G292" i="18" l="1"/>
  <c r="H213" i="18"/>
  <c r="G279" i="18"/>
  <c r="G206" i="18"/>
  <c r="G280" i="18" s="1"/>
  <c r="G46" i="4" s="1"/>
  <c r="G208" i="18"/>
  <c r="H214" i="18" l="1"/>
  <c r="H216" i="18"/>
  <c r="H290" i="18" s="1"/>
  <c r="H287" i="18"/>
  <c r="G282" i="18"/>
  <c r="G209" i="18"/>
  <c r="G283" i="18" s="1"/>
  <c r="H217" i="18" l="1"/>
  <c r="H291" i="18" s="1"/>
  <c r="H288" i="18"/>
  <c r="G228" i="18"/>
  <c r="G210" i="18"/>
  <c r="G284" i="18" s="1"/>
  <c r="G302" i="18"/>
  <c r="G45" i="4" s="1"/>
  <c r="H205" i="18" l="1"/>
  <c r="H279" i="18" s="1"/>
  <c r="H218" i="18"/>
  <c r="H292" i="18" s="1"/>
  <c r="H208" i="18" l="1"/>
  <c r="H282" i="18" s="1"/>
  <c r="I213" i="18"/>
  <c r="H206" i="18"/>
  <c r="H280" i="18" s="1"/>
  <c r="H46" i="4" s="1"/>
  <c r="I216" i="18"/>
  <c r="I290" i="18" s="1"/>
  <c r="I287" i="18"/>
  <c r="I214" i="18"/>
  <c r="H209" i="18" l="1"/>
  <c r="H283" i="18" s="1"/>
  <c r="H302" i="18" s="1"/>
  <c r="I288" i="18"/>
  <c r="I217" i="18"/>
  <c r="I291" i="18" s="1"/>
  <c r="H210" i="18" l="1"/>
  <c r="H284" i="18" s="1"/>
  <c r="H228" i="18"/>
  <c r="I218" i="18"/>
  <c r="H45" i="4"/>
  <c r="I205" i="18" l="1"/>
  <c r="I208" i="18" s="1"/>
  <c r="I292" i="18"/>
  <c r="J213" i="18"/>
  <c r="I206" i="18" l="1"/>
  <c r="I280" i="18" s="1"/>
  <c r="I46" i="4" s="1"/>
  <c r="I279" i="18"/>
  <c r="J214" i="18"/>
  <c r="J288" i="18" s="1"/>
  <c r="J216" i="18"/>
  <c r="J290" i="18" s="1"/>
  <c r="J287" i="18"/>
  <c r="I282" i="18"/>
  <c r="I209" i="18" l="1"/>
  <c r="I283" i="18" s="1"/>
  <c r="I302" i="18" s="1"/>
  <c r="I45" i="4" s="1"/>
  <c r="J217" i="18"/>
  <c r="J291" i="18" s="1"/>
  <c r="I210" i="18" l="1"/>
  <c r="J205" i="18" s="1"/>
  <c r="J206" i="18" s="1"/>
  <c r="J280" i="18" s="1"/>
  <c r="J46" i="4" s="1"/>
  <c r="I228" i="18"/>
  <c r="J218" i="18"/>
  <c r="J279" i="18" l="1"/>
  <c r="J208" i="18"/>
  <c r="I284" i="18"/>
  <c r="K213" i="18"/>
  <c r="J292" i="18"/>
  <c r="J209" i="18"/>
  <c r="J283" i="18" s="1"/>
  <c r="J282" i="18"/>
  <c r="K216" i="18" l="1"/>
  <c r="K290" i="18" s="1"/>
  <c r="K214" i="18"/>
  <c r="K287" i="18"/>
  <c r="J228" i="18"/>
  <c r="J302" i="18"/>
  <c r="J45" i="4" s="1"/>
  <c r="J210" i="18"/>
  <c r="K205" i="18" s="1"/>
  <c r="K217" i="18" l="1"/>
  <c r="K291" i="18" s="1"/>
  <c r="K288" i="18"/>
  <c r="J284" i="18"/>
  <c r="K218" i="18" l="1"/>
  <c r="L213" i="18" s="1"/>
  <c r="K208" i="18"/>
  <c r="K279" i="18"/>
  <c r="K206" i="18"/>
  <c r="K280" i="18" s="1"/>
  <c r="K46" i="4" s="1"/>
  <c r="K292" i="18" l="1"/>
  <c r="L214" i="18"/>
  <c r="L287" i="18"/>
  <c r="L216" i="18"/>
  <c r="L290" i="18" s="1"/>
  <c r="K209" i="18"/>
  <c r="K283" i="18" s="1"/>
  <c r="K282" i="18"/>
  <c r="L288" i="18" l="1"/>
  <c r="L217" i="18"/>
  <c r="L291" i="18" s="1"/>
  <c r="K228" i="18"/>
  <c r="K302" i="18"/>
  <c r="K45" i="4" s="1"/>
  <c r="K210" i="18"/>
  <c r="L205" i="18" s="1"/>
  <c r="L218" i="18" l="1"/>
  <c r="K284" i="18"/>
  <c r="L292" i="18" l="1"/>
  <c r="M213" i="18"/>
  <c r="L206" i="18"/>
  <c r="L280" i="18" s="1"/>
  <c r="L46" i="4" s="1"/>
  <c r="L208" i="18"/>
  <c r="L209" i="18" s="1"/>
  <c r="L283" i="18" s="1"/>
  <c r="L279" i="18"/>
  <c r="M216" i="18" l="1"/>
  <c r="M290" i="18" s="1"/>
  <c r="M287" i="18"/>
  <c r="M214" i="18"/>
  <c r="L282" i="18"/>
  <c r="L302" i="18" s="1"/>
  <c r="L45" i="4" s="1"/>
  <c r="L228" i="18"/>
  <c r="L210" i="18"/>
  <c r="M288" i="18" l="1"/>
  <c r="M217" i="18"/>
  <c r="M291" i="18" s="1"/>
  <c r="M205" i="18"/>
  <c r="L284" i="18"/>
  <c r="M218" i="18" l="1"/>
  <c r="M292" i="18" s="1"/>
  <c r="M206" i="18"/>
  <c r="M280" i="18" s="1"/>
  <c r="M46" i="4" s="1"/>
  <c r="M208" i="18"/>
  <c r="M279" i="18"/>
  <c r="M209" i="18" l="1"/>
  <c r="M283" i="18" s="1"/>
  <c r="M282" i="18"/>
  <c r="M210" i="18" l="1"/>
  <c r="M284" i="18" s="1"/>
  <c r="M228" i="18"/>
  <c r="M302" i="18"/>
  <c r="M45" i="4" s="1"/>
  <c r="C304" i="18"/>
  <c r="C303" i="18"/>
  <c r="C50" i="4" s="1"/>
  <c r="C229" i="18"/>
  <c r="C230" i="18"/>
</calcChain>
</file>

<file path=xl/sharedStrings.xml><?xml version="1.0" encoding="utf-8"?>
<sst xmlns="http://schemas.openxmlformats.org/spreadsheetml/2006/main" count="2272" uniqueCount="626">
  <si>
    <t>Total Net Rentable Building Area (SF)</t>
  </si>
  <si>
    <t>Total Gross Building Area (SF)</t>
  </si>
  <si>
    <t>Non-Rentable Gross Floor Area (SF)</t>
  </si>
  <si>
    <t>Hotel Gross Floor Area (SF)</t>
  </si>
  <si>
    <t>Office Net Rentable Area (SF)</t>
  </si>
  <si>
    <t>Retail Gross Leasable Area (SF)</t>
  </si>
  <si>
    <t>Residential Rentable Area (SF)</t>
  </si>
  <si>
    <t>Building Area Breakdown</t>
  </si>
  <si>
    <t>Overall Average</t>
  </si>
  <si>
    <t>n/a</t>
  </si>
  <si>
    <t>3 Bedroom</t>
  </si>
  <si>
    <t>2 Bedroom</t>
  </si>
  <si>
    <t>1 Bedroom</t>
  </si>
  <si>
    <t>Studio/Efficiency</t>
  </si>
  <si>
    <t>Average Unit Size (SF)</t>
  </si>
  <si>
    <t>Market Rate Unit Mix</t>
  </si>
  <si>
    <t>Overall Unit Mix</t>
  </si>
  <si>
    <t>Total Market Rate Units</t>
  </si>
  <si>
    <t>Total Unit Count</t>
  </si>
  <si>
    <t>Rental</t>
  </si>
  <si>
    <t>Condominium</t>
  </si>
  <si>
    <t>Residential Ownership</t>
  </si>
  <si>
    <t>Residential Units</t>
  </si>
  <si>
    <t>III</t>
  </si>
  <si>
    <t>II</t>
  </si>
  <si>
    <t>I</t>
  </si>
  <si>
    <t>Development Phase</t>
  </si>
  <si>
    <t>Building Height (Feet)</t>
  </si>
  <si>
    <t>Total</t>
  </si>
  <si>
    <t>Floor Count</t>
  </si>
  <si>
    <t>Office</t>
  </si>
  <si>
    <t>Residential</t>
  </si>
  <si>
    <t>Proposed FAR:</t>
  </si>
  <si>
    <t>Site Area (SF / AC):</t>
  </si>
  <si>
    <t>PROJECT SUMMARY</t>
  </si>
  <si>
    <t>Team Number:</t>
  </si>
  <si>
    <t>Project Name:</t>
  </si>
  <si>
    <t>PROJECT IDENTIFICATION</t>
  </si>
  <si>
    <t>Phase III</t>
  </si>
  <si>
    <t>Phase II</t>
  </si>
  <si>
    <t>Phase I</t>
  </si>
  <si>
    <t>Unit Type</t>
  </si>
  <si>
    <t>Market Rate Apartment Units</t>
  </si>
  <si>
    <t>Proposed Gross Floor Area (SF):</t>
  </si>
  <si>
    <t>Building Use 1</t>
  </si>
  <si>
    <t>Building Use 2</t>
  </si>
  <si>
    <t>Building Use 3</t>
  </si>
  <si>
    <t>Retail</t>
  </si>
  <si>
    <t>Food Hall</t>
  </si>
  <si>
    <t>Hotel</t>
  </si>
  <si>
    <t>TOTAL</t>
  </si>
  <si>
    <t>PHASE</t>
  </si>
  <si>
    <t>ALL</t>
  </si>
  <si>
    <t>PHASES</t>
  </si>
  <si>
    <t>PROPOSED BUILDING SUMMARY</t>
  </si>
  <si>
    <t>PROJECT TIMELINE</t>
  </si>
  <si>
    <t>Construction Phase</t>
  </si>
  <si>
    <t>Begin</t>
  </si>
  <si>
    <t>Months</t>
  </si>
  <si>
    <t>Complete</t>
  </si>
  <si>
    <t>Preconstruction</t>
  </si>
  <si>
    <t>Construction</t>
  </si>
  <si>
    <t>Lease-Up</t>
  </si>
  <si>
    <t>Refinance</t>
  </si>
  <si>
    <t>Construction Financing</t>
  </si>
  <si>
    <t>Loan to Cost</t>
  </si>
  <si>
    <t>Equity</t>
  </si>
  <si>
    <t>Senior Loan</t>
  </si>
  <si>
    <t>Mezzanine Loan</t>
  </si>
  <si>
    <t>Points &amp; Fees</t>
  </si>
  <si>
    <t>Permanent Financing</t>
  </si>
  <si>
    <t>Loan to Value</t>
  </si>
  <si>
    <t>Resale</t>
  </si>
  <si>
    <t>Projected Resale Date</t>
  </si>
  <si>
    <t>Projected Hold (Years)</t>
  </si>
  <si>
    <t>DSCR</t>
  </si>
  <si>
    <t>Interest Rate/Preferred Return</t>
  </si>
  <si>
    <t>Amortization (Years)</t>
  </si>
  <si>
    <t>Loan Term (Years)</t>
  </si>
  <si>
    <t>Building Type</t>
  </si>
  <si>
    <t>Up to 12 Stories</t>
  </si>
  <si>
    <t>Low</t>
  </si>
  <si>
    <t>High</t>
  </si>
  <si>
    <t>Concluded</t>
  </si>
  <si>
    <t>Parking Garage - Underground</t>
  </si>
  <si>
    <t>5-30 Stories (Class A)</t>
  </si>
  <si>
    <t>Add: Interior Fitout (Class A)</t>
  </si>
  <si>
    <t>Suite Hotel</t>
  </si>
  <si>
    <t>Add: Premium for Luxury</t>
  </si>
  <si>
    <t>Add: Premium for High Quality</t>
  </si>
  <si>
    <t>Other Buildings</t>
  </si>
  <si>
    <t>Site Servicing</t>
  </si>
  <si>
    <t>Type</t>
  </si>
  <si>
    <t>Building Efficiency</t>
  </si>
  <si>
    <t>Hotel Rooms</t>
  </si>
  <si>
    <t>Unit</t>
  </si>
  <si>
    <t>Count</t>
  </si>
  <si>
    <t>Spaces Per</t>
  </si>
  <si>
    <t>Provided</t>
  </si>
  <si>
    <t>Parking Spaces</t>
  </si>
  <si>
    <t>Parking for Residential Units</t>
  </si>
  <si>
    <t>Total for Residential Uses</t>
  </si>
  <si>
    <t>RESIDENTIAL APARTMENT UNIT MIX</t>
  </si>
  <si>
    <t>All Phases</t>
  </si>
  <si>
    <t>Phase</t>
  </si>
  <si>
    <t>MARKET RATE RENTS</t>
  </si>
  <si>
    <t>Average Unit Size</t>
  </si>
  <si>
    <t>Market Rent PSF</t>
  </si>
  <si>
    <t>Annual Market Rent</t>
  </si>
  <si>
    <t>Monthly Market Rent</t>
  </si>
  <si>
    <t>Maximum Monthly Rent</t>
  </si>
  <si>
    <t>Maximum Annual Rent</t>
  </si>
  <si>
    <t>Maximum Rent PSF</t>
  </si>
  <si>
    <t>Soft Costs</t>
  </si>
  <si>
    <t>Architecture &amp; Engineering Fees</t>
  </si>
  <si>
    <t>Other Soft Costs</t>
  </si>
  <si>
    <t>Contingency</t>
  </si>
  <si>
    <t>Property Type</t>
  </si>
  <si>
    <t>Survey</t>
  </si>
  <si>
    <t>Exit Cap</t>
  </si>
  <si>
    <t>Load (BPS)</t>
  </si>
  <si>
    <t>Current Cap</t>
  </si>
  <si>
    <t>Apartments</t>
  </si>
  <si>
    <t>Cost of Sale</t>
  </si>
  <si>
    <t>Broker Fees &amp; Closing Costs</t>
  </si>
  <si>
    <t>INFLATION PROJECTIONS</t>
  </si>
  <si>
    <t>Rate</t>
  </si>
  <si>
    <t>Market Rent</t>
  </si>
  <si>
    <t>Operating Expenses</t>
  </si>
  <si>
    <t>Capital Expenditures</t>
  </si>
  <si>
    <t>Construction Costs</t>
  </si>
  <si>
    <t>Percentage</t>
  </si>
  <si>
    <t>Ownership</t>
  </si>
  <si>
    <t>RESIDENTIAL CONDO UNIT MIX</t>
  </si>
  <si>
    <t>Market Rate Condo Units</t>
  </si>
  <si>
    <t>Price PSF</t>
  </si>
  <si>
    <t>Price Per Unit</t>
  </si>
  <si>
    <t>Maximum %</t>
  </si>
  <si>
    <t>Maximum $ Amount</t>
  </si>
  <si>
    <t>MARKET RATE CONDO PRICES</t>
  </si>
  <si>
    <t>RETAIL UNIT MIX</t>
  </si>
  <si>
    <t>Space Type</t>
  </si>
  <si>
    <t>RETAIL MARKET RENTAL RATES</t>
  </si>
  <si>
    <t>Expense Basis</t>
  </si>
  <si>
    <t>NNN</t>
  </si>
  <si>
    <t>Weighted Avg.</t>
  </si>
  <si>
    <t>Affordability Reduction</t>
  </si>
  <si>
    <t>Annual</t>
  </si>
  <si>
    <t>Monthly</t>
  </si>
  <si>
    <t>OFFICE SPACE MIX</t>
  </si>
  <si>
    <t>Market Rate Office Space</t>
  </si>
  <si>
    <t>Affordable Office Space</t>
  </si>
  <si>
    <t>AFFORDABLE OFFICE PROVIDED</t>
  </si>
  <si>
    <t>Targeted Affordable % of Office Space</t>
  </si>
  <si>
    <t>OFFICE MARKET RENTAL RATES</t>
  </si>
  <si>
    <t>Market Base Rent PSF</t>
  </si>
  <si>
    <t>Additional Rent PSF</t>
  </si>
  <si>
    <t>FSG</t>
  </si>
  <si>
    <t>Expense</t>
  </si>
  <si>
    <t>Basis</t>
  </si>
  <si>
    <t>OTHER ASSUMPTIONS</t>
  </si>
  <si>
    <t>Vacancy</t>
  </si>
  <si>
    <t>Market Rate</t>
  </si>
  <si>
    <t>During Lease-Up</t>
  </si>
  <si>
    <t>Expenses/CapEx</t>
  </si>
  <si>
    <t>Expense Ratio</t>
  </si>
  <si>
    <t>Capital Reserve/Unit</t>
  </si>
  <si>
    <t>Sell Through</t>
  </si>
  <si>
    <t>Pre-Construction</t>
  </si>
  <si>
    <t>During Construction</t>
  </si>
  <si>
    <t>Selling Costs</t>
  </si>
  <si>
    <t>Capital Reserve PSF</t>
  </si>
  <si>
    <t>All Office Space</t>
  </si>
  <si>
    <t>Office During Lease-Up</t>
  </si>
  <si>
    <t>HOTEL CONCEPT MIX</t>
  </si>
  <si>
    <t>Lifestyle Hotel</t>
  </si>
  <si>
    <t>PROJECTED ADR, OCCUPANCY &amp; REVPAR</t>
  </si>
  <si>
    <t>Hotel Concept</t>
  </si>
  <si>
    <t>Projected ADR</t>
  </si>
  <si>
    <t>Projected Occupancy</t>
  </si>
  <si>
    <t>Projected RevPAR</t>
  </si>
  <si>
    <t>% of Rooms Revenue</t>
  </si>
  <si>
    <t>Food &amp; Beverage</t>
  </si>
  <si>
    <t>Other Departments</t>
  </si>
  <si>
    <t>Revenue Type</t>
  </si>
  <si>
    <t>Profit Margins</t>
  </si>
  <si>
    <t>% of Department Revenue</t>
  </si>
  <si>
    <t>Rooms Expenses &amp; CapEx</t>
  </si>
  <si>
    <t>Per Available Room</t>
  </si>
  <si>
    <t>Capital Reserve</t>
  </si>
  <si>
    <t>RESIDENTIAL APARTMENT CASH FLOW</t>
  </si>
  <si>
    <t>Cash Flow Year</t>
  </si>
  <si>
    <t>Calendar Year</t>
  </si>
  <si>
    <t>Phase I Cash Flow</t>
  </si>
  <si>
    <t>Square Feet Complete</t>
  </si>
  <si>
    <t>New Square Feet</t>
  </si>
  <si>
    <t>Market Rate Units Complete</t>
  </si>
  <si>
    <t>Phase II Cash Flow</t>
  </si>
  <si>
    <t>Phase III Cash Flow</t>
  </si>
  <si>
    <t>Potential Gross Revenue</t>
  </si>
  <si>
    <t>Total Potential Gross Revenue</t>
  </si>
  <si>
    <t>Less: Vacancy</t>
  </si>
  <si>
    <t>Market Rate Vacancy</t>
  </si>
  <si>
    <t>Additional Lease-Up Vacancy</t>
  </si>
  <si>
    <t>Total Vacancy Loss</t>
  </si>
  <si>
    <t>Effective Gross Revenue</t>
  </si>
  <si>
    <t>Operating Pro Forma</t>
  </si>
  <si>
    <t>Total Operating Expenses</t>
  </si>
  <si>
    <t>Cash Flow From Operations</t>
  </si>
  <si>
    <t>Net Operating Income</t>
  </si>
  <si>
    <t>Hard Construction Costs</t>
  </si>
  <si>
    <t>A&amp;E Fees</t>
  </si>
  <si>
    <t>Total Construction Costs</t>
  </si>
  <si>
    <t>Property Resale</t>
  </si>
  <si>
    <t>Cash Flow Before Financing</t>
  </si>
  <si>
    <t>Resale Value</t>
  </si>
  <si>
    <t>Less: Selling Costs</t>
  </si>
  <si>
    <t>Net Reversion Value</t>
  </si>
  <si>
    <t>Unleveraged IRR</t>
  </si>
  <si>
    <t>RESIDENTIAL CONDO CASH FLOW</t>
  </si>
  <si>
    <t>Net Sell Through</t>
  </si>
  <si>
    <t>Percent Sold</t>
  </si>
  <si>
    <t>Condo Presale Deposits</t>
  </si>
  <si>
    <t>Pre-Completion Deposit</t>
  </si>
  <si>
    <t>Condo Price Growth</t>
  </si>
  <si>
    <t>Remaining Payment Upon Completion</t>
  </si>
  <si>
    <t>RETAIL CASH FLOW</t>
  </si>
  <si>
    <t>Space Type Complete</t>
  </si>
  <si>
    <t>Stabilized Vacancy</t>
  </si>
  <si>
    <t>Potential Base Rent Revenue</t>
  </si>
  <si>
    <t>Total Potential Base Rent</t>
  </si>
  <si>
    <t>Potential Expense Reimbursement Revenue</t>
  </si>
  <si>
    <t>Total Potential Expense Reimbursements</t>
  </si>
  <si>
    <t>OFFICE CASH FLOW</t>
  </si>
  <si>
    <t>HOTEL CASH FLOW</t>
  </si>
  <si>
    <t>Hotel Room Type Complete</t>
  </si>
  <si>
    <t>Rooms Revenue</t>
  </si>
  <si>
    <t>Days in Year</t>
  </si>
  <si>
    <t>Total Rooms Revenue</t>
  </si>
  <si>
    <t>ADR/Occupancy/RevPAR</t>
  </si>
  <si>
    <t>Average Daily Rate (ADR)</t>
  </si>
  <si>
    <t>Occupancy</t>
  </si>
  <si>
    <t>Revenue Per Available Room (RevPAR)</t>
  </si>
  <si>
    <t>Hotel ADR</t>
  </si>
  <si>
    <t>Food &amp; Beverage Revenue</t>
  </si>
  <si>
    <t>Total Food &amp; Beverage Revenue</t>
  </si>
  <si>
    <t>Other Departmental Revenue</t>
  </si>
  <si>
    <t>Total Projected Revenue</t>
  </si>
  <si>
    <t>Food &amp; Beverage Department</t>
  </si>
  <si>
    <t>Rooms Department &amp; Fixed Expenses</t>
  </si>
  <si>
    <t>Total Other Departmental Revenue</t>
  </si>
  <si>
    <t>Price Per Parking Space</t>
  </si>
  <si>
    <t>Parking Revenue</t>
  </si>
  <si>
    <t>PARKING CASH FLOW</t>
  </si>
  <si>
    <t>Parking Spaces Completed</t>
  </si>
  <si>
    <t>Parking Space Sales</t>
  </si>
  <si>
    <t>Size</t>
  </si>
  <si>
    <t>Units</t>
  </si>
  <si>
    <t>Cost Per Unit</t>
  </si>
  <si>
    <t>Total Cost</t>
  </si>
  <si>
    <t>Work Type</t>
  </si>
  <si>
    <t>SF</t>
  </si>
  <si>
    <t>Phase I Road Construction</t>
  </si>
  <si>
    <t>Phase II Road Construction</t>
  </si>
  <si>
    <t>LM</t>
  </si>
  <si>
    <t>Total Phase I Infrastructure</t>
  </si>
  <si>
    <t>Total Phase II Infrastructure</t>
  </si>
  <si>
    <t>Total Phase III Infrastructure</t>
  </si>
  <si>
    <t>Total Infrastructure</t>
  </si>
  <si>
    <t>Utility Servicing</t>
  </si>
  <si>
    <t>AC</t>
  </si>
  <si>
    <t>COMBINED CASH FLOW</t>
  </si>
  <si>
    <t>Cash Flow from Operations</t>
  </si>
  <si>
    <t>Residential Apartments</t>
  </si>
  <si>
    <t>Parking</t>
  </si>
  <si>
    <t>Total Cash Flow from Operations</t>
  </si>
  <si>
    <t>Residential Condos</t>
  </si>
  <si>
    <t>Infrastructure</t>
  </si>
  <si>
    <t>Total Combined CF Before Financing</t>
  </si>
  <si>
    <t>IRR</t>
  </si>
  <si>
    <t>Land Acquisition</t>
  </si>
  <si>
    <t>Year 0</t>
  </si>
  <si>
    <t xml:space="preserve">Net Operating Income </t>
  </si>
  <si>
    <t>Rental Housing</t>
  </si>
  <si>
    <t>For-Sale Housing</t>
  </si>
  <si>
    <t>Workforce</t>
  </si>
  <si>
    <t>Office/Commercial</t>
  </si>
  <si>
    <t>Affordable Retail</t>
  </si>
  <si>
    <t>Structured Parking</t>
  </si>
  <si>
    <t>Development Fees</t>
  </si>
  <si>
    <t>Other</t>
  </si>
  <si>
    <t>Total Net Operating Income</t>
  </si>
  <si>
    <t>Income from Sales Proceeds</t>
  </si>
  <si>
    <t>Total Income</t>
  </si>
  <si>
    <t>Development Costs</t>
  </si>
  <si>
    <t>Indirect costs</t>
  </si>
  <si>
    <t>Total Development Costs</t>
  </si>
  <si>
    <t>Annual Cash Flow</t>
  </si>
  <si>
    <t>Total Costs of Sale</t>
  </si>
  <si>
    <t>Net Cash Flow</t>
  </si>
  <si>
    <t>Leveraged Net Cash Flow</t>
  </si>
  <si>
    <t>Debt Service</t>
  </si>
  <si>
    <t>Loan to Value Ratio (LVR)</t>
  </si>
  <si>
    <t>Unleveraged IRR Before Taxes</t>
  </si>
  <si>
    <t>Current Site Value (start of Year 0)</t>
  </si>
  <si>
    <t>Leveraged IRR Before Taxes</t>
  </si>
  <si>
    <t>Projected Site Value (end of Year 10)</t>
  </si>
  <si>
    <t>Total Buildout</t>
  </si>
  <si>
    <t>Project Buildout by Development Units</t>
  </si>
  <si>
    <t>(units)</t>
  </si>
  <si>
    <t>(rooms)</t>
  </si>
  <si>
    <t>(spaces)</t>
  </si>
  <si>
    <t>(s.f.)</t>
  </si>
  <si>
    <t>Unit Cost</t>
  </si>
  <si>
    <t>Total Costs</t>
  </si>
  <si>
    <t>Amount</t>
  </si>
  <si>
    <t>Percent of Total</t>
  </si>
  <si>
    <t>($ per unit)</t>
  </si>
  <si>
    <t>Equity Sources (total)</t>
  </si>
  <si>
    <t>($ per s.f.)</t>
  </si>
  <si>
    <t>Financing Sources (total)</t>
  </si>
  <si>
    <t>($ per room)</t>
  </si>
  <si>
    <t>($ per space)</t>
  </si>
  <si>
    <t>Infrastructure Costs</t>
  </si>
  <si>
    <t>Roads</t>
  </si>
  <si>
    <t>Utilities</t>
  </si>
  <si>
    <t>Landscaping</t>
  </si>
  <si>
    <t>Other Amenities</t>
  </si>
  <si>
    <t>Acquisition Taxes and Fees</t>
  </si>
  <si>
    <t>Total Infrastructure Costs</t>
  </si>
  <si>
    <t>Net Property Resale</t>
  </si>
  <si>
    <t>Total Net Property Resale</t>
  </si>
  <si>
    <t>LAND ACQUISITION COST</t>
  </si>
  <si>
    <t>Size (SF)</t>
  </si>
  <si>
    <t>Size (AC)</t>
  </si>
  <si>
    <t>Total Price</t>
  </si>
  <si>
    <t>Total Land Acquisition</t>
  </si>
  <si>
    <t>Combined Cash Flow</t>
  </si>
  <si>
    <t>Condo Parking</t>
  </si>
  <si>
    <t>Sources</t>
  </si>
  <si>
    <t>Uses</t>
  </si>
  <si>
    <t>Mezzanine Debt</t>
  </si>
  <si>
    <t>Senior Debt</t>
  </si>
  <si>
    <t>Total Sources</t>
  </si>
  <si>
    <t>% of Total</t>
  </si>
  <si>
    <t>Financing Costs</t>
  </si>
  <si>
    <t>Total Uses</t>
  </si>
  <si>
    <t>Phase I Permanent Financing</t>
  </si>
  <si>
    <t>Phase I Construction &amp; Lease-Up Financing</t>
  </si>
  <si>
    <t>Required Debt/Equity Funding</t>
  </si>
  <si>
    <t>Equity Funding</t>
  </si>
  <si>
    <t>Mezzanine Loan Funding</t>
  </si>
  <si>
    <t>Senior Loan Funding</t>
  </si>
  <si>
    <t>Financing Fees &amp; Points</t>
  </si>
  <si>
    <t>Condo &amp; Parking Pre-Sales</t>
  </si>
  <si>
    <t>Beginning Balance</t>
  </si>
  <si>
    <t>Interest on Balance</t>
  </si>
  <si>
    <t>Loan Draws</t>
  </si>
  <si>
    <t>Ending Balance</t>
  </si>
  <si>
    <t>Repayment</t>
  </si>
  <si>
    <t>Cap Rate</t>
  </si>
  <si>
    <t>Value</t>
  </si>
  <si>
    <t>Stabilized</t>
  </si>
  <si>
    <t>Cash Flow</t>
  </si>
  <si>
    <t>Estimated</t>
  </si>
  <si>
    <t>Maximum Loan-to-Value</t>
  </si>
  <si>
    <t>Maximum Loan by LTV Test</t>
  </si>
  <si>
    <t>Condo &amp; Parking Sales After Completion</t>
  </si>
  <si>
    <t>Paydown from Condo &amp; Parking Sales</t>
  </si>
  <si>
    <t>Minimum DSCR</t>
  </si>
  <si>
    <t>Maximum Loan by DSCR Test</t>
  </si>
  <si>
    <t>Projected Permanent Loan Amount</t>
  </si>
  <si>
    <t>Projected Annual Debt Service</t>
  </si>
  <si>
    <t>Financing Points &amp; Fees</t>
  </si>
  <si>
    <t>Annual Debt Service</t>
  </si>
  <si>
    <t>Remaining Loan Balance at Date of Sale</t>
  </si>
  <si>
    <t>Repayment at Sale</t>
  </si>
  <si>
    <t>Loan Proceeds</t>
  </si>
  <si>
    <t>Cash Flow After Debt Financing (Equity CF)</t>
  </si>
  <si>
    <t>Equity Multiple</t>
  </si>
  <si>
    <t>Leveraged (Equity) IRR</t>
  </si>
  <si>
    <t>Phase II Construction &amp; Lease-Up Financing</t>
  </si>
  <si>
    <t>Phase II Permanent Financing</t>
  </si>
  <si>
    <t>Phase III Construction &amp; Lease-Up Financing</t>
  </si>
  <si>
    <t>Phase III Permanent Financing</t>
  </si>
  <si>
    <t>HIDE</t>
  </si>
  <si>
    <t>Reversion Year</t>
  </si>
  <si>
    <t>SOURCES &amp; USES - PHASE I</t>
  </si>
  <si>
    <t>SOURCES &amp; USES - PHASE II</t>
  </si>
  <si>
    <t>SOURCES &amp; USES - PHASE III</t>
  </si>
  <si>
    <t>APARTMENT MARKET RATE RENTS</t>
  </si>
  <si>
    <t>Affordable Retail Space is included in Market Rate Retail Buildings and NOI is included in Total Retail NOI Above - Please See Retail Cash Flow for Breakdown</t>
  </si>
  <si>
    <t>Residential Condominium Sell-Through is included in Income from Sales Proceeds Below</t>
  </si>
  <si>
    <t>Development Costs above reflect total development costs by property type including Indirect Costs</t>
  </si>
  <si>
    <t>Total Asset Value (Sale Proceeds)</t>
  </si>
  <si>
    <t>Affordable Retail Space is included in Market Rate Buildings; Square footage is included in Market Rate Retail Above</t>
  </si>
  <si>
    <t>Included in MR</t>
  </si>
  <si>
    <t>Condominium Pre-Sales</t>
  </si>
  <si>
    <t>8th Hill</t>
  </si>
  <si>
    <t>Up to 5 Stories</t>
  </si>
  <si>
    <t>13-40 Stories</t>
  </si>
  <si>
    <t>Lot Identifier</t>
  </si>
  <si>
    <t>A2</t>
  </si>
  <si>
    <t>A3</t>
  </si>
  <si>
    <t>A4</t>
  </si>
  <si>
    <t>C</t>
  </si>
  <si>
    <t>D1</t>
  </si>
  <si>
    <t>D2</t>
  </si>
  <si>
    <t>D4</t>
  </si>
  <si>
    <t>E</t>
  </si>
  <si>
    <t>F1</t>
  </si>
  <si>
    <t>F3</t>
  </si>
  <si>
    <t>N2</t>
  </si>
  <si>
    <t>N5</t>
  </si>
  <si>
    <t>O</t>
  </si>
  <si>
    <t>Q</t>
  </si>
  <si>
    <t>Comparable Links</t>
  </si>
  <si>
    <t>http://property.costar.com/Property/Detail/Detail.aspx?t=14&amp;id=9787843&amp;popup=0</t>
  </si>
  <si>
    <t>http://property.costar.com/Property/Detail/Detail.aspx?ID=9462000&amp;newSearchMode=&amp;t=14</t>
  </si>
  <si>
    <t>A1</t>
  </si>
  <si>
    <t>Music Hall</t>
  </si>
  <si>
    <t>75'</t>
  </si>
  <si>
    <t>Civic (PPP)</t>
  </si>
  <si>
    <t>G 1&amp;2</t>
  </si>
  <si>
    <t xml:space="preserve">Residential </t>
  </si>
  <si>
    <t>Garage</t>
  </si>
  <si>
    <t>130'</t>
  </si>
  <si>
    <t>Health Center Gross Floor Area (SF)</t>
  </si>
  <si>
    <t>Renovated Apartment Units</t>
  </si>
  <si>
    <t>Retail (reno)</t>
  </si>
  <si>
    <t>Workforce Apartment Units</t>
  </si>
  <si>
    <t>Renovated Workforce Apartment Units</t>
  </si>
  <si>
    <t>Professional Hotel</t>
  </si>
  <si>
    <t>Downtown Professional</t>
  </si>
  <si>
    <t>Luxury</t>
  </si>
  <si>
    <t>Lifestyle</t>
  </si>
  <si>
    <t>Downtown Luxury</t>
  </si>
  <si>
    <t>Big Box</t>
  </si>
  <si>
    <t>Specialty</t>
  </si>
  <si>
    <t>FT</t>
  </si>
  <si>
    <t>Neighborhood</t>
  </si>
  <si>
    <t>Wellness Building</t>
  </si>
  <si>
    <t>* Per square foot cost estimates based on Building Journal Cost Guide 2019 for Cincinnati, OH</t>
  </si>
  <si>
    <t>SUMMIT</t>
  </si>
  <si>
    <t>The Altitude Hotel</t>
  </si>
  <si>
    <t>Valley Market Hall</t>
  </si>
  <si>
    <t>Valley Food Hall</t>
  </si>
  <si>
    <t>The Huddle</t>
  </si>
  <si>
    <t>The Step Center</t>
  </si>
  <si>
    <t>Bubbling Brooks Health Center</t>
  </si>
  <si>
    <t>The Bridges</t>
  </si>
  <si>
    <t>The Bond</t>
  </si>
  <si>
    <t>The Range</t>
  </si>
  <si>
    <t>Union Row</t>
  </si>
  <si>
    <t>The Pass</t>
  </si>
  <si>
    <t>The Villas at 3rd Street</t>
  </si>
  <si>
    <t>Parking Garage Gross Floor Area (SF)</t>
  </si>
  <si>
    <t xml:space="preserve"> </t>
  </si>
  <si>
    <t xml:space="preserve">Grocery </t>
  </si>
  <si>
    <t>120'</t>
  </si>
  <si>
    <t>140'</t>
  </si>
  <si>
    <t>50'</t>
  </si>
  <si>
    <t>100'</t>
  </si>
  <si>
    <t>380'</t>
  </si>
  <si>
    <t>H1&amp; H2</t>
  </si>
  <si>
    <t>Active Banks Shops</t>
  </si>
  <si>
    <t>Price Per FAR (SF)</t>
  </si>
  <si>
    <t>New District Premium</t>
  </si>
  <si>
    <t xml:space="preserve">~6000 spaces currently. </t>
  </si>
  <si>
    <t>Big Box Retail Space</t>
  </si>
  <si>
    <t xml:space="preserve">Specialty </t>
  </si>
  <si>
    <t>GE Rooftop Experience</t>
  </si>
  <si>
    <t>Total Hard Costs</t>
  </si>
  <si>
    <t>Construction Hard Costs</t>
  </si>
  <si>
    <t>New Food Hall Square Feet</t>
  </si>
  <si>
    <t>New Big Box Retail Space</t>
  </si>
  <si>
    <t>New Neighborhood</t>
  </si>
  <si>
    <t>New Specialty</t>
  </si>
  <si>
    <t>New Food Hall</t>
  </si>
  <si>
    <t>New Big Box</t>
  </si>
  <si>
    <t>S</t>
  </si>
  <si>
    <t>Skycar</t>
  </si>
  <si>
    <t>N/A</t>
  </si>
  <si>
    <t>Skycar Gross Floor Area (SF)</t>
  </si>
  <si>
    <t>Streetscape Improvements</t>
  </si>
  <si>
    <t xml:space="preserve">Ohio River Scenic Trail Pedestrian Bridges </t>
  </si>
  <si>
    <t>Foundations over Ft. Washington Way</t>
  </si>
  <si>
    <t>The Valley Plaza</t>
  </si>
  <si>
    <t>Transit Center</t>
  </si>
  <si>
    <t>By Building</t>
  </si>
  <si>
    <t>Edge Apartments</t>
  </si>
  <si>
    <t>Emery Apartments</t>
  </si>
  <si>
    <t>Lot O (Emery Apartments)</t>
  </si>
  <si>
    <t>Lot Q (Edge Apartments)</t>
  </si>
  <si>
    <t>Terraces at The Bank</t>
  </si>
  <si>
    <t>N1, N3, N4</t>
  </si>
  <si>
    <t>Valley Market and Freedom Center Roof Structure</t>
  </si>
  <si>
    <t>Park and Ecological Flood Resilience</t>
  </si>
  <si>
    <t>Observation Deck (SF)</t>
  </si>
  <si>
    <t>Residential (reno)</t>
  </si>
  <si>
    <t>Post-Construction</t>
  </si>
  <si>
    <t>Parking Garage</t>
  </si>
  <si>
    <t>Square Footage</t>
  </si>
  <si>
    <t>N5 (The Villas at 3rd Street)</t>
  </si>
  <si>
    <t>G1&amp;2 (The Altitude Hotel)</t>
  </si>
  <si>
    <t>Parking for Hotel Units</t>
  </si>
  <si>
    <t>ABOVEGROUND STRUCTURED PARKING (PROPERTY OWNED)</t>
  </si>
  <si>
    <t>Operating Expenses *</t>
  </si>
  <si>
    <t>* Includes Parking Expense Per Room</t>
  </si>
  <si>
    <t>Tickets Sold</t>
  </si>
  <si>
    <t>Ticket Price</t>
  </si>
  <si>
    <t>Total Gross Income</t>
  </si>
  <si>
    <t>Total Income Annual</t>
  </si>
  <si>
    <t>GE Share of Income (3%)</t>
  </si>
  <si>
    <t>Football Share of Income (3%)</t>
  </si>
  <si>
    <t>Baseball Share of Income (3%)</t>
  </si>
  <si>
    <t>Partnership Net Income (94%)</t>
  </si>
  <si>
    <t>Ticket Revenue</t>
  </si>
  <si>
    <t>Phase I Complete</t>
  </si>
  <si>
    <t>Completion Level</t>
  </si>
  <si>
    <t>SKYCAR TIMELINE</t>
  </si>
  <si>
    <t>PROJECTED INCOME FROM SALES</t>
  </si>
  <si>
    <t>% of Ticket Revenue</t>
  </si>
  <si>
    <t>Per Linear Foot</t>
  </si>
  <si>
    <t>FINANCING ASSUMPTIONS**</t>
  </si>
  <si>
    <t>**Financing assumptions based on CoStar Analytics January 2019</t>
  </si>
  <si>
    <t>PROJECTED CONSTRUCTION COSTS PER SQUARE FOOT*</t>
  </si>
  <si>
    <t xml:space="preserve">Downtown Office </t>
  </si>
  <si>
    <t xml:space="preserve">Downtown Office Luxury </t>
  </si>
  <si>
    <t>*** Survey rates taken from CoStar Cap Rates Data 3Q2018</t>
  </si>
  <si>
    <t>Capitalization Rates***</t>
  </si>
  <si>
    <t>Cincinnati Fort Washington Way Development Partnership</t>
  </si>
  <si>
    <t>800'</t>
  </si>
  <si>
    <t>Underground City Parking Garage</t>
  </si>
  <si>
    <t>PARKING MONITIZATION (PROPERTY OWNED)</t>
  </si>
  <si>
    <t>Residential Condominium Spaces (Sold)*</t>
  </si>
  <si>
    <t>Spaces Provided</t>
  </si>
  <si>
    <t>*Parking spaces subject to same vacancy as condo units</t>
  </si>
  <si>
    <t>Monthly Rate</t>
  </si>
  <si>
    <t>City Parking Agreement Per Space</t>
  </si>
  <si>
    <t>Other Hardscaping</t>
  </si>
  <si>
    <t>Food &amp; Beverage + Other Revenue</t>
  </si>
  <si>
    <t>Partnership Gross Income</t>
  </si>
  <si>
    <t>Phase II Complete</t>
  </si>
  <si>
    <t>Phase III Complete</t>
  </si>
  <si>
    <t>Total for Hotel Uses</t>
  </si>
  <si>
    <t>Operating Expenses PSF*</t>
  </si>
  <si>
    <t>*Includes parking expense</t>
  </si>
  <si>
    <t>Expenses PSF*</t>
  </si>
  <si>
    <t>*Includes parking spaces provided</t>
  </si>
  <si>
    <t>Workforce Units are included in Market Rate Buildings and NOI is included in Total Rental Housing NOI Above - Please See Residential Rental Cash Flow for Breakdown</t>
  </si>
  <si>
    <t>Parking Agreement Revenue</t>
  </si>
  <si>
    <t>Condo Sell Through</t>
  </si>
  <si>
    <t>Average Ticket Price</t>
  </si>
  <si>
    <t>Other Departments (including photos)</t>
  </si>
  <si>
    <t>Building Name</t>
  </si>
  <si>
    <t>OTHER SKYCAR ASSUMPTIONS</t>
  </si>
  <si>
    <t>Sky Car Construction</t>
  </si>
  <si>
    <t>Sky Car Landing Center - GE Experience</t>
  </si>
  <si>
    <t>Sky Car Landing Center - Paul Brown Stadium</t>
  </si>
  <si>
    <t>Sky Car Landing Center - Great American Ball Park</t>
  </si>
  <si>
    <t>Sky Car</t>
  </si>
  <si>
    <t>Sky Rail System</t>
  </si>
  <si>
    <t>Sky Car Maintenance</t>
  </si>
  <si>
    <t>SKY CAR CASH FLOW</t>
  </si>
  <si>
    <t>Year</t>
  </si>
  <si>
    <t>Workforce Units are included in Market Rate Buildings and Development Costs are included in Market Rate Rental Housing Development Costs Above</t>
  </si>
  <si>
    <t>Workforce Units are included in Market Rate Buildings and Development Costs are included in Market Rate For Sale Housing Development Costs Above</t>
  </si>
  <si>
    <t>Workforce Rental Housing is included in Market Rate Buildings; Square footage is included in Market Rate Rental Housing Above***</t>
  </si>
  <si>
    <t>Workforce For-Sale Housing is included in Market Rate Buildings; Square footage is included in Market Rate For-Sale Housing Above</t>
  </si>
  <si>
    <t>Workforce Condo Units</t>
  </si>
  <si>
    <t>Workforce Housing Public Funding</t>
  </si>
  <si>
    <t>Total Workforce Units</t>
  </si>
  <si>
    <t>Workforce Unit Mix</t>
  </si>
  <si>
    <t>Workforce Rent</t>
  </si>
  <si>
    <t>Targeted Workforce Unit Mix</t>
  </si>
  <si>
    <t>WORKFORCE RENTS</t>
  </si>
  <si>
    <t>WORKFORCE UNITS PROVIDED</t>
  </si>
  <si>
    <t>WORKFORCE FUNDING</t>
  </si>
  <si>
    <t>Targeted Workforce % of Total Units</t>
  </si>
  <si>
    <t>Workforce Units Complete</t>
  </si>
  <si>
    <t>Workforce Vacancy</t>
  </si>
  <si>
    <t>Workforce Discount</t>
  </si>
  <si>
    <t>WORKFORCE CONDO PRICES</t>
  </si>
  <si>
    <t>Streetscape</t>
  </si>
  <si>
    <t>Union Row Renovation</t>
  </si>
  <si>
    <t>Food &amp; Market Halls</t>
  </si>
  <si>
    <t>*TIF bonds secured through PILOTS</t>
  </si>
  <si>
    <t>Project TIF</t>
  </si>
  <si>
    <t>District TIF</t>
  </si>
  <si>
    <t>CRA</t>
  </si>
  <si>
    <t>PACE</t>
  </si>
  <si>
    <t>All Green Roofs</t>
  </si>
  <si>
    <t>35'-65'</t>
  </si>
  <si>
    <t>APARTMENT WORKFORCE RENTS</t>
  </si>
  <si>
    <t>3. UNIT DEVELOPMENT AND INFRASTRUCTURE COSTS</t>
  </si>
  <si>
    <t>2. MULTIYEAR DEVELOPMENT PROGRAM</t>
  </si>
  <si>
    <t>1. SUMMARY PRO FORMA</t>
  </si>
  <si>
    <t>PHASE OVERLAP DIAGRAM</t>
  </si>
  <si>
    <t>TEAM</t>
  </si>
  <si>
    <t>TEAM 192021</t>
  </si>
  <si>
    <t>4. DEBT AND EQUITY FINANCING SOURCES</t>
  </si>
  <si>
    <t>Retail Total</t>
  </si>
  <si>
    <t>Market-Rate</t>
  </si>
  <si>
    <t>Market-Rate Retail</t>
  </si>
  <si>
    <t>DISPOSITION ASSUMPTIONS</t>
  </si>
  <si>
    <t>Projected</t>
  </si>
  <si>
    <t>Tickets Sold (Per Line)</t>
  </si>
  <si>
    <r>
      <t>Residential Rental Spaces (Leased)*</t>
    </r>
    <r>
      <rPr>
        <sz val="9"/>
        <color theme="1"/>
        <rFont val="Calibri"/>
        <family val="2"/>
        <scheme val="minor"/>
      </rPr>
      <t>*</t>
    </r>
  </si>
  <si>
    <t>**Parking spaces subject to same vacancy as apartment units</t>
  </si>
  <si>
    <t>Food Desert Remediation</t>
  </si>
  <si>
    <t>Parking Garage Burial</t>
  </si>
  <si>
    <t>Sustainable Food Market</t>
  </si>
  <si>
    <t>Community Business Dev</t>
  </si>
  <si>
    <t>Public Subsidies (total)</t>
  </si>
  <si>
    <t>OMBBP**</t>
  </si>
  <si>
    <t>** Ohio Minority Business Bonding Program</t>
  </si>
  <si>
    <t xml:space="preserve">Inclusive Retail Hiring </t>
  </si>
  <si>
    <t xml:space="preserve">Ft. Washington Way </t>
  </si>
  <si>
    <t>Low-E Window Tech</t>
  </si>
  <si>
    <t>Smart HVAC Skyscraper</t>
  </si>
  <si>
    <t>SITE WORK &amp; INFRASTRUCTURE COSTS</t>
  </si>
  <si>
    <t>Net Present Value @ 10%</t>
  </si>
  <si>
    <t>Project Buildout by Year</t>
  </si>
  <si>
    <t>Corporate issued + TIF bonds</t>
  </si>
  <si>
    <t>Bank Issued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</si>
</sst>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'"/>
    <numFmt numFmtId="166" formatCode="[$-409]mmm\-yy;@"/>
    <numFmt numFmtId="167" formatCode="&quot;$&quot;#,##0.00"/>
    <numFmt numFmtId="168" formatCode="&quot;$&quot;#,##0"/>
    <numFmt numFmtId="169" formatCode="0.0%"/>
    <numFmt numFmtId="170" formatCode="0.00\x"/>
    <numFmt numFmtId="171" formatCode="_(&quot;$&quot;* #,##0_);_(&quot;$&quot;* \(#,##0\);_(&quot;$&quot;* &quot;-&quot;??_);_(@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271BC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271BC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i/>
      <sz val="9"/>
      <color theme="1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9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9"/>
      <color theme="9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9"/>
      <color theme="0"/>
      <name val="Gill Sans MT"/>
      <family val="2"/>
    </font>
    <font>
      <b/>
      <sz val="9"/>
      <color theme="0"/>
      <name val="Gill Sans MT"/>
      <family val="2"/>
      <scheme val="major"/>
    </font>
    <font>
      <b/>
      <sz val="11"/>
      <color indexed="9"/>
      <name val="Gill Sans MT"/>
      <family val="2"/>
      <scheme val="major"/>
    </font>
    <font>
      <b/>
      <sz val="9"/>
      <color indexed="9"/>
      <name val="Gill Sans MT"/>
      <family val="2"/>
      <scheme val="major"/>
    </font>
    <font>
      <u val="singleAccounting"/>
      <sz val="9"/>
      <color theme="1"/>
      <name val="Calibri"/>
      <family val="2"/>
      <scheme val="minor"/>
    </font>
    <font>
      <b/>
      <sz val="11"/>
      <color theme="0"/>
      <name val="Gill Sans MT"/>
      <family val="2"/>
    </font>
  </fonts>
  <fills count="1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2F648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1BC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C1F5FB"/>
        <bgColor indexed="64"/>
      </patternFill>
    </fill>
    <fill>
      <patternFill patternType="solid">
        <fgColor rgb="FFF0C2DC"/>
        <bgColor indexed="64"/>
      </patternFill>
    </fill>
    <fill>
      <patternFill patternType="solid">
        <fgColor rgb="FFFFF1AB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404040"/>
        <bgColor indexed="64"/>
      </patternFill>
    </fill>
    <fill>
      <patternFill patternType="solid">
        <fgColor rgb="FFB2CAE8"/>
        <bgColor indexed="64"/>
      </patternFill>
    </fill>
    <fill>
      <patternFill patternType="solid">
        <fgColor rgb="FFC3DFC3"/>
        <bgColor indexed="64"/>
      </patternFill>
    </fill>
  </fills>
  <borders count="9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0" fontId="15" fillId="0" borderId="0"/>
    <xf numFmtId="0" fontId="2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0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3" xfId="0" applyFont="1" applyBorder="1"/>
    <xf numFmtId="0" fontId="2" fillId="0" borderId="12" xfId="0" applyFont="1" applyBorder="1" applyAlignment="1">
      <alignment horizontal="right"/>
    </xf>
    <xf numFmtId="0" fontId="2" fillId="0" borderId="11" xfId="0" applyFont="1" applyBorder="1"/>
    <xf numFmtId="0" fontId="2" fillId="0" borderId="9" xfId="0" applyFont="1" applyBorder="1" applyAlignment="1"/>
    <xf numFmtId="0" fontId="2" fillId="0" borderId="7" xfId="0" applyFont="1" applyBorder="1"/>
    <xf numFmtId="0" fontId="2" fillId="0" borderId="0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9" xfId="0" applyFont="1" applyBorder="1"/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4" fillId="0" borderId="5" xfId="1" applyNumberFormat="1" applyFont="1" applyFill="1" applyBorder="1" applyAlignment="1">
      <alignment horizontal="right"/>
    </xf>
    <xf numFmtId="164" fontId="4" fillId="0" borderId="0" xfId="1" applyNumberFormat="1" applyFont="1" applyFill="1" applyBorder="1" applyAlignment="1">
      <alignment horizontal="right"/>
    </xf>
    <xf numFmtId="164" fontId="4" fillId="0" borderId="4" xfId="1" applyNumberFormat="1" applyFont="1" applyFill="1" applyBorder="1" applyAlignment="1">
      <alignment horizontal="right"/>
    </xf>
    <xf numFmtId="164" fontId="8" fillId="0" borderId="5" xfId="1" applyNumberFormat="1" applyFont="1" applyFill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164" fontId="8" fillId="0" borderId="4" xfId="1" applyNumberFormat="1" applyFont="1" applyFill="1" applyBorder="1" applyAlignment="1">
      <alignment horizontal="right"/>
    </xf>
    <xf numFmtId="164" fontId="4" fillId="0" borderId="8" xfId="1" applyNumberFormat="1" applyFont="1" applyFill="1" applyBorder="1" applyAlignment="1">
      <alignment horizontal="right"/>
    </xf>
    <xf numFmtId="164" fontId="4" fillId="0" borderId="7" xfId="1" applyNumberFormat="1" applyFont="1" applyFill="1" applyBorder="1" applyAlignment="1">
      <alignment horizontal="right"/>
    </xf>
    <xf numFmtId="164" fontId="4" fillId="0" borderId="6" xfId="1" applyNumberFormat="1" applyFont="1" applyFill="1" applyBorder="1" applyAlignment="1">
      <alignment horizontal="right"/>
    </xf>
    <xf numFmtId="0" fontId="2" fillId="0" borderId="2" xfId="0" applyFont="1" applyBorder="1"/>
    <xf numFmtId="0" fontId="9" fillId="0" borderId="13" xfId="0" applyFont="1" applyBorder="1"/>
    <xf numFmtId="0" fontId="2" fillId="0" borderId="0" xfId="0" applyFont="1" applyBorder="1" applyAlignment="1"/>
    <xf numFmtId="0" fontId="2" fillId="0" borderId="5" xfId="0" applyFont="1" applyBorder="1"/>
    <xf numFmtId="0" fontId="10" fillId="0" borderId="13" xfId="0" applyFont="1" applyBorder="1"/>
    <xf numFmtId="0" fontId="10" fillId="0" borderId="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5" xfId="1" applyNumberFormat="1" applyFont="1" applyBorder="1" applyAlignment="1">
      <alignment horizontal="right"/>
    </xf>
    <xf numFmtId="164" fontId="2" fillId="0" borderId="12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164" fontId="2" fillId="0" borderId="2" xfId="1" applyNumberFormat="1" applyFont="1" applyBorder="1" applyAlignment="1">
      <alignment horizontal="right"/>
    </xf>
    <xf numFmtId="164" fontId="2" fillId="0" borderId="22" xfId="1" applyNumberFormat="1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2" fillId="0" borderId="21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164" fontId="4" fillId="0" borderId="12" xfId="1" applyNumberFormat="1" applyFont="1" applyFill="1" applyBorder="1" applyAlignment="1">
      <alignment horizontal="right"/>
    </xf>
    <xf numFmtId="164" fontId="8" fillId="0" borderId="12" xfId="1" applyNumberFormat="1" applyFont="1" applyFill="1" applyBorder="1" applyAlignment="1">
      <alignment horizontal="right"/>
    </xf>
    <xf numFmtId="0" fontId="2" fillId="0" borderId="24" xfId="0" applyFont="1" applyFill="1" applyBorder="1" applyAlignment="1">
      <alignment horizontal="left"/>
    </xf>
    <xf numFmtId="164" fontId="4" fillId="0" borderId="14" xfId="1" applyNumberFormat="1" applyFont="1" applyFill="1" applyBorder="1" applyAlignment="1">
      <alignment horizontal="right"/>
    </xf>
    <xf numFmtId="166" fontId="2" fillId="0" borderId="0" xfId="1" applyNumberFormat="1" applyFont="1" applyBorder="1" applyAlignment="1">
      <alignment horizontal="right"/>
    </xf>
    <xf numFmtId="166" fontId="2" fillId="0" borderId="12" xfId="1" applyNumberFormat="1" applyFont="1" applyBorder="1" applyAlignment="1">
      <alignment horizontal="right"/>
    </xf>
    <xf numFmtId="166" fontId="2" fillId="0" borderId="10" xfId="1" applyNumberFormat="1" applyFont="1" applyBorder="1" applyAlignment="1">
      <alignment horizontal="right"/>
    </xf>
    <xf numFmtId="166" fontId="11" fillId="0" borderId="0" xfId="1" applyNumberFormat="1" applyFont="1" applyBorder="1" applyAlignment="1">
      <alignment horizontal="right"/>
    </xf>
    <xf numFmtId="164" fontId="11" fillId="0" borderId="0" xfId="1" applyNumberFormat="1" applyFont="1" applyBorder="1" applyAlignment="1">
      <alignment horizontal="right"/>
    </xf>
    <xf numFmtId="9" fontId="2" fillId="0" borderId="0" xfId="2" applyFont="1" applyBorder="1" applyAlignment="1">
      <alignment horizontal="right"/>
    </xf>
    <xf numFmtId="0" fontId="2" fillId="0" borderId="12" xfId="0" applyFont="1" applyBorder="1" applyAlignment="1"/>
    <xf numFmtId="9" fontId="2" fillId="0" borderId="12" xfId="2" applyFont="1" applyBorder="1" applyAlignment="1">
      <alignment horizontal="right"/>
    </xf>
    <xf numFmtId="9" fontId="11" fillId="0" borderId="12" xfId="2" applyFont="1" applyBorder="1" applyAlignment="1">
      <alignment horizontal="right"/>
    </xf>
    <xf numFmtId="9" fontId="12" fillId="0" borderId="22" xfId="2" applyFont="1" applyBorder="1" applyAlignment="1">
      <alignment horizontal="right"/>
    </xf>
    <xf numFmtId="164" fontId="11" fillId="0" borderId="12" xfId="1" applyNumberFormat="1" applyFont="1" applyBorder="1" applyAlignment="1">
      <alignment horizontal="right"/>
    </xf>
    <xf numFmtId="10" fontId="11" fillId="0" borderId="12" xfId="2" applyNumberFormat="1" applyFont="1" applyBorder="1" applyAlignment="1">
      <alignment horizontal="right"/>
    </xf>
    <xf numFmtId="9" fontId="11" fillId="0" borderId="0" xfId="2" applyFont="1" applyBorder="1" applyAlignment="1">
      <alignment horizontal="right"/>
    </xf>
    <xf numFmtId="9" fontId="12" fillId="0" borderId="0" xfId="2" applyFont="1" applyBorder="1" applyAlignment="1">
      <alignment horizontal="right"/>
    </xf>
    <xf numFmtId="10" fontId="11" fillId="0" borderId="0" xfId="2" applyNumberFormat="1" applyFont="1" applyBorder="1" applyAlignment="1">
      <alignment horizontal="right"/>
    </xf>
    <xf numFmtId="9" fontId="12" fillId="0" borderId="2" xfId="2" applyFont="1" applyBorder="1" applyAlignment="1">
      <alignment horizontal="right"/>
    </xf>
    <xf numFmtId="43" fontId="11" fillId="0" borderId="12" xfId="1" applyFont="1" applyBorder="1" applyAlignment="1">
      <alignment horizontal="right"/>
    </xf>
    <xf numFmtId="43" fontId="11" fillId="0" borderId="0" xfId="1" applyFont="1" applyBorder="1" applyAlignment="1">
      <alignment horizontal="right"/>
    </xf>
    <xf numFmtId="0" fontId="9" fillId="0" borderId="8" xfId="0" applyFont="1" applyBorder="1"/>
    <xf numFmtId="0" fontId="10" fillId="0" borderId="5" xfId="0" applyFont="1" applyBorder="1"/>
    <xf numFmtId="167" fontId="2" fillId="0" borderId="0" xfId="1" applyNumberFormat="1" applyFont="1" applyBorder="1" applyAlignment="1">
      <alignment horizontal="right"/>
    </xf>
    <xf numFmtId="0" fontId="2" fillId="0" borderId="13" xfId="0" applyFont="1" applyBorder="1" applyAlignment="1">
      <alignment horizontal="left" indent="2"/>
    </xf>
    <xf numFmtId="168" fontId="2" fillId="0" borderId="0" xfId="1" applyNumberFormat="1" applyFont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164" fontId="2" fillId="0" borderId="2" xfId="1" applyNumberFormat="1" applyFont="1" applyFill="1" applyBorder="1" applyAlignment="1">
      <alignment horizontal="right"/>
    </xf>
    <xf numFmtId="164" fontId="4" fillId="0" borderId="3" xfId="1" applyNumberFormat="1" applyFont="1" applyFill="1" applyBorder="1" applyAlignment="1">
      <alignment horizontal="right"/>
    </xf>
    <xf numFmtId="164" fontId="4" fillId="0" borderId="2" xfId="1" applyNumberFormat="1" applyFont="1" applyFill="1" applyBorder="1" applyAlignment="1">
      <alignment horizontal="right"/>
    </xf>
    <xf numFmtId="164" fontId="4" fillId="0" borderId="1" xfId="1" applyNumberFormat="1" applyFont="1" applyFill="1" applyBorder="1" applyAlignment="1">
      <alignment horizontal="right"/>
    </xf>
    <xf numFmtId="164" fontId="4" fillId="0" borderId="22" xfId="1" applyNumberFormat="1" applyFont="1" applyFill="1" applyBorder="1" applyAlignment="1">
      <alignment horizontal="right"/>
    </xf>
    <xf numFmtId="164" fontId="2" fillId="0" borderId="0" xfId="0" applyNumberFormat="1" applyFont="1"/>
    <xf numFmtId="164" fontId="4" fillId="0" borderId="32" xfId="1" applyNumberFormat="1" applyFont="1" applyFill="1" applyBorder="1" applyAlignment="1">
      <alignment horizontal="right"/>
    </xf>
    <xf numFmtId="164" fontId="4" fillId="0" borderId="33" xfId="1" applyNumberFormat="1" applyFont="1" applyFill="1" applyBorder="1" applyAlignment="1">
      <alignment horizontal="right"/>
    </xf>
    <xf numFmtId="43" fontId="2" fillId="0" borderId="12" xfId="1" applyNumberFormat="1" applyFont="1" applyBorder="1" applyAlignment="1">
      <alignment horizontal="right"/>
    </xf>
    <xf numFmtId="0" fontId="2" fillId="0" borderId="24" xfId="0" applyFont="1" applyBorder="1"/>
    <xf numFmtId="0" fontId="2" fillId="0" borderId="0" xfId="0" applyFont="1" applyAlignment="1">
      <alignment horizontal="left"/>
    </xf>
    <xf numFmtId="0" fontId="10" fillId="0" borderId="7" xfId="0" applyFont="1" applyBorder="1" applyAlignment="1">
      <alignment horizontal="right"/>
    </xf>
    <xf numFmtId="167" fontId="11" fillId="0" borderId="0" xfId="1" applyNumberFormat="1" applyFont="1" applyBorder="1" applyAlignment="1">
      <alignment horizontal="right"/>
    </xf>
    <xf numFmtId="167" fontId="11" fillId="0" borderId="10" xfId="1" applyNumberFormat="1" applyFont="1" applyBorder="1" applyAlignment="1">
      <alignment horizontal="right"/>
    </xf>
    <xf numFmtId="167" fontId="2" fillId="0" borderId="10" xfId="1" applyNumberFormat="1" applyFont="1" applyBorder="1" applyAlignment="1">
      <alignment horizontal="right"/>
    </xf>
    <xf numFmtId="168" fontId="2" fillId="0" borderId="12" xfId="1" applyNumberFormat="1" applyFont="1" applyBorder="1" applyAlignment="1">
      <alignment horizontal="right"/>
    </xf>
    <xf numFmtId="168" fontId="2" fillId="0" borderId="9" xfId="1" applyNumberFormat="1" applyFont="1" applyBorder="1" applyAlignment="1">
      <alignment horizontal="right"/>
    </xf>
    <xf numFmtId="168" fontId="11" fillId="0" borderId="0" xfId="1" applyNumberFormat="1" applyFont="1" applyBorder="1" applyAlignment="1">
      <alignment horizontal="right"/>
    </xf>
    <xf numFmtId="168" fontId="11" fillId="0" borderId="12" xfId="1" applyNumberFormat="1" applyFont="1" applyBorder="1" applyAlignment="1">
      <alignment horizontal="right"/>
    </xf>
    <xf numFmtId="168" fontId="11" fillId="0" borderId="10" xfId="1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0" fontId="2" fillId="0" borderId="12" xfId="2" applyNumberFormat="1" applyFont="1" applyBorder="1" applyAlignment="1">
      <alignment horizontal="center"/>
    </xf>
    <xf numFmtId="10" fontId="11" fillId="0" borderId="0" xfId="2" applyNumberFormat="1" applyFont="1" applyBorder="1" applyAlignment="1">
      <alignment horizontal="center"/>
    </xf>
    <xf numFmtId="10" fontId="13" fillId="0" borderId="0" xfId="2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0" fontId="11" fillId="0" borderId="5" xfId="2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10" fontId="11" fillId="0" borderId="4" xfId="2" applyNumberFormat="1" applyFont="1" applyBorder="1" applyAlignment="1">
      <alignment horizontal="center"/>
    </xf>
    <xf numFmtId="1" fontId="11" fillId="0" borderId="0" xfId="2" applyNumberFormat="1" applyFont="1" applyBorder="1" applyAlignment="1">
      <alignment horizontal="center"/>
    </xf>
    <xf numFmtId="1" fontId="13" fillId="0" borderId="0" xfId="2" applyNumberFormat="1" applyFont="1" applyBorder="1" applyAlignment="1">
      <alignment horizontal="center"/>
    </xf>
    <xf numFmtId="0" fontId="2" fillId="0" borderId="24" xfId="0" applyFont="1" applyBorder="1" applyAlignment="1">
      <alignment horizontal="left" indent="2"/>
    </xf>
    <xf numFmtId="10" fontId="11" fillId="0" borderId="3" xfId="2" applyNumberFormat="1" applyFont="1" applyBorder="1" applyAlignment="1">
      <alignment horizontal="center"/>
    </xf>
    <xf numFmtId="10" fontId="11" fillId="0" borderId="1" xfId="2" applyNumberFormat="1" applyFont="1" applyBorder="1" applyAlignment="1">
      <alignment horizontal="center"/>
    </xf>
    <xf numFmtId="10" fontId="11" fillId="0" borderId="2" xfId="2" applyNumberFormat="1" applyFont="1" applyBorder="1" applyAlignment="1">
      <alignment horizontal="center"/>
    </xf>
    <xf numFmtId="1" fontId="11" fillId="0" borderId="2" xfId="2" applyNumberFormat="1" applyFont="1" applyBorder="1" applyAlignment="1">
      <alignment horizontal="center"/>
    </xf>
    <xf numFmtId="10" fontId="2" fillId="0" borderId="22" xfId="2" applyNumberFormat="1" applyFont="1" applyBorder="1" applyAlignment="1">
      <alignment horizontal="center"/>
    </xf>
    <xf numFmtId="0" fontId="2" fillId="0" borderId="3" xfId="0" applyFont="1" applyBorder="1"/>
    <xf numFmtId="164" fontId="11" fillId="0" borderId="22" xfId="1" applyNumberFormat="1" applyFont="1" applyBorder="1" applyAlignment="1">
      <alignment horizontal="right"/>
    </xf>
    <xf numFmtId="9" fontId="2" fillId="0" borderId="0" xfId="2" applyFont="1" applyBorder="1"/>
    <xf numFmtId="169" fontId="2" fillId="0" borderId="0" xfId="2" applyNumberFormat="1" applyFont="1" applyBorder="1"/>
    <xf numFmtId="9" fontId="11" fillId="0" borderId="9" xfId="2" applyFont="1" applyBorder="1" applyAlignment="1">
      <alignment horizontal="right"/>
    </xf>
    <xf numFmtId="169" fontId="11" fillId="0" borderId="12" xfId="2" applyNumberFormat="1" applyFont="1" applyBorder="1" applyAlignment="1">
      <alignment horizontal="right"/>
    </xf>
    <xf numFmtId="169" fontId="11" fillId="0" borderId="9" xfId="2" applyNumberFormat="1" applyFont="1" applyBorder="1" applyAlignment="1">
      <alignment horizontal="right"/>
    </xf>
    <xf numFmtId="167" fontId="11" fillId="0" borderId="12" xfId="2" applyNumberFormat="1" applyFont="1" applyBorder="1" applyAlignment="1">
      <alignment horizontal="right"/>
    </xf>
    <xf numFmtId="168" fontId="11" fillId="0" borderId="9" xfId="2" applyNumberFormat="1" applyFont="1" applyBorder="1" applyAlignment="1">
      <alignment horizontal="right"/>
    </xf>
    <xf numFmtId="168" fontId="12" fillId="0" borderId="0" xfId="1" applyNumberFormat="1" applyFont="1" applyBorder="1" applyAlignment="1">
      <alignment horizontal="right"/>
    </xf>
    <xf numFmtId="168" fontId="12" fillId="0" borderId="10" xfId="1" applyNumberFormat="1" applyFont="1" applyBorder="1" applyAlignment="1">
      <alignment horizontal="right"/>
    </xf>
    <xf numFmtId="167" fontId="12" fillId="0" borderId="4" xfId="1" applyNumberFormat="1" applyFont="1" applyBorder="1" applyAlignment="1">
      <alignment horizontal="center"/>
    </xf>
    <xf numFmtId="167" fontId="12" fillId="0" borderId="1" xfId="1" applyNumberFormat="1" applyFont="1" applyBorder="1" applyAlignment="1">
      <alignment horizontal="center"/>
    </xf>
    <xf numFmtId="167" fontId="12" fillId="0" borderId="39" xfId="1" applyNumberFormat="1" applyFont="1" applyBorder="1" applyAlignment="1">
      <alignment horizontal="center"/>
    </xf>
    <xf numFmtId="167" fontId="12" fillId="0" borderId="21" xfId="1" applyNumberFormat="1" applyFont="1" applyBorder="1" applyAlignment="1">
      <alignment horizontal="center"/>
    </xf>
    <xf numFmtId="167" fontId="12" fillId="0" borderId="3" xfId="1" applyNumberFormat="1" applyFont="1" applyBorder="1" applyAlignment="1">
      <alignment horizontal="center"/>
    </xf>
    <xf numFmtId="167" fontId="11" fillId="0" borderId="9" xfId="2" applyNumberFormat="1" applyFont="1" applyBorder="1" applyAlignment="1">
      <alignment horizontal="right"/>
    </xf>
    <xf numFmtId="10" fontId="11" fillId="0" borderId="9" xfId="2" applyNumberFormat="1" applyFont="1" applyBorder="1" applyAlignment="1">
      <alignment horizontal="right"/>
    </xf>
    <xf numFmtId="0" fontId="9" fillId="0" borderId="25" xfId="0" applyFont="1" applyBorder="1"/>
    <xf numFmtId="168" fontId="2" fillId="0" borderId="2" xfId="0" applyNumberFormat="1" applyFont="1" applyBorder="1"/>
    <xf numFmtId="168" fontId="2" fillId="0" borderId="30" xfId="0" applyNumberFormat="1" applyFont="1" applyBorder="1"/>
    <xf numFmtId="168" fontId="2" fillId="0" borderId="0" xfId="0" applyNumberFormat="1" applyFont="1" applyBorder="1"/>
    <xf numFmtId="0" fontId="6" fillId="0" borderId="13" xfId="0" applyFont="1" applyBorder="1"/>
    <xf numFmtId="164" fontId="2" fillId="0" borderId="0" xfId="1" applyNumberFormat="1" applyFont="1" applyBorder="1"/>
    <xf numFmtId="164" fontId="2" fillId="0" borderId="12" xfId="1" applyNumberFormat="1" applyFont="1" applyBorder="1"/>
    <xf numFmtId="0" fontId="2" fillId="0" borderId="13" xfId="0" applyFont="1" applyBorder="1" applyAlignment="1">
      <alignment horizontal="left" indent="1"/>
    </xf>
    <xf numFmtId="168" fontId="2" fillId="0" borderId="12" xfId="0" applyNumberFormat="1" applyFont="1" applyBorder="1"/>
    <xf numFmtId="168" fontId="2" fillId="0" borderId="22" xfId="0" applyNumberFormat="1" applyFont="1" applyBorder="1"/>
    <xf numFmtId="168" fontId="2" fillId="0" borderId="36" xfId="0" applyNumberFormat="1" applyFont="1" applyBorder="1"/>
    <xf numFmtId="0" fontId="2" fillId="0" borderId="20" xfId="0" applyFont="1" applyBorder="1"/>
    <xf numFmtId="0" fontId="2" fillId="0" borderId="23" xfId="0" applyFont="1" applyBorder="1"/>
    <xf numFmtId="0" fontId="2" fillId="0" borderId="19" xfId="0" applyFont="1" applyBorder="1"/>
    <xf numFmtId="9" fontId="2" fillId="0" borderId="12" xfId="2" applyFont="1" applyBorder="1"/>
    <xf numFmtId="10" fontId="2" fillId="0" borderId="0" xfId="0" applyNumberFormat="1" applyFont="1" applyBorder="1"/>
    <xf numFmtId="168" fontId="2" fillId="0" borderId="14" xfId="0" applyNumberFormat="1" applyFont="1" applyBorder="1"/>
    <xf numFmtId="9" fontId="11" fillId="0" borderId="9" xfId="2" applyFont="1" applyBorder="1"/>
    <xf numFmtId="167" fontId="2" fillId="0" borderId="0" xfId="1" applyNumberFormat="1" applyFont="1" applyBorder="1"/>
    <xf numFmtId="167" fontId="2" fillId="0" borderId="12" xfId="1" applyNumberFormat="1" applyFont="1" applyBorder="1"/>
    <xf numFmtId="169" fontId="2" fillId="0" borderId="12" xfId="2" applyNumberFormat="1" applyFont="1" applyBorder="1"/>
    <xf numFmtId="164" fontId="10" fillId="0" borderId="12" xfId="1" applyNumberFormat="1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164" fontId="11" fillId="0" borderId="0" xfId="1" applyNumberFormat="1" applyFont="1" applyBorder="1" applyAlignment="1">
      <alignment horizontal="center"/>
    </xf>
    <xf numFmtId="168" fontId="2" fillId="0" borderId="9" xfId="0" applyNumberFormat="1" applyFont="1" applyBorder="1"/>
    <xf numFmtId="168" fontId="2" fillId="0" borderId="22" xfId="1" applyNumberFormat="1" applyFont="1" applyBorder="1" applyAlignment="1">
      <alignment horizontal="right"/>
    </xf>
    <xf numFmtId="164" fontId="11" fillId="0" borderId="0" xfId="1" applyNumberFormat="1" applyFont="1" applyFill="1" applyBorder="1" applyAlignment="1">
      <alignment horizontal="center"/>
    </xf>
    <xf numFmtId="164" fontId="11" fillId="0" borderId="2" xfId="1" applyNumberFormat="1" applyFont="1" applyFill="1" applyBorder="1" applyAlignment="1">
      <alignment horizontal="center"/>
    </xf>
    <xf numFmtId="168" fontId="2" fillId="0" borderId="0" xfId="0" applyNumberFormat="1" applyFont="1"/>
    <xf numFmtId="10" fontId="2" fillId="0" borderId="0" xfId="0" applyNumberFormat="1" applyFont="1"/>
    <xf numFmtId="0" fontId="2" fillId="0" borderId="24" xfId="0" applyFont="1" applyBorder="1" applyAlignment="1">
      <alignment horizontal="left"/>
    </xf>
    <xf numFmtId="0" fontId="6" fillId="0" borderId="0" xfId="0" applyFont="1" applyBorder="1"/>
    <xf numFmtId="0" fontId="10" fillId="0" borderId="0" xfId="0" applyFont="1" applyBorder="1"/>
    <xf numFmtId="9" fontId="2" fillId="0" borderId="0" xfId="0" applyNumberFormat="1" applyFont="1" applyBorder="1" applyAlignment="1">
      <alignment horizontal="center"/>
    </xf>
    <xf numFmtId="169" fontId="2" fillId="0" borderId="22" xfId="2" applyNumberFormat="1" applyFont="1" applyBorder="1"/>
    <xf numFmtId="168" fontId="2" fillId="0" borderId="10" xfId="0" applyNumberFormat="1" applyFont="1" applyBorder="1"/>
    <xf numFmtId="169" fontId="2" fillId="0" borderId="9" xfId="2" applyNumberFormat="1" applyFont="1" applyBorder="1"/>
    <xf numFmtId="167" fontId="2" fillId="0" borderId="0" xfId="0" applyNumberFormat="1" applyFont="1" applyBorder="1"/>
    <xf numFmtId="10" fontId="9" fillId="0" borderId="27" xfId="0" applyNumberFormat="1" applyFont="1" applyBorder="1"/>
    <xf numFmtId="0" fontId="16" fillId="0" borderId="13" xfId="0" applyFont="1" applyBorder="1"/>
    <xf numFmtId="10" fontId="2" fillId="0" borderId="0" xfId="2" applyNumberFormat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8" fontId="2" fillId="0" borderId="12" xfId="2" applyNumberFormat="1" applyFont="1" applyBorder="1"/>
    <xf numFmtId="168" fontId="2" fillId="0" borderId="22" xfId="2" applyNumberFormat="1" applyFont="1" applyBorder="1"/>
    <xf numFmtId="169" fontId="2" fillId="0" borderId="12" xfId="0" applyNumberFormat="1" applyFont="1" applyBorder="1" applyAlignment="1">
      <alignment horizontal="center"/>
    </xf>
    <xf numFmtId="2" fontId="2" fillId="0" borderId="12" xfId="2" applyNumberFormat="1" applyFont="1" applyBorder="1" applyAlignment="1">
      <alignment horizontal="center"/>
    </xf>
    <xf numFmtId="168" fontId="2" fillId="0" borderId="9" xfId="2" applyNumberFormat="1" applyFont="1" applyBorder="1"/>
    <xf numFmtId="10" fontId="2" fillId="0" borderId="0" xfId="2" applyNumberFormat="1" applyFont="1"/>
    <xf numFmtId="43" fontId="2" fillId="0" borderId="0" xfId="1" applyFont="1"/>
    <xf numFmtId="170" fontId="9" fillId="0" borderId="27" xfId="1" applyNumberFormat="1" applyFont="1" applyBorder="1"/>
    <xf numFmtId="0" fontId="12" fillId="0" borderId="7" xfId="4" applyFont="1" applyBorder="1"/>
    <xf numFmtId="0" fontId="12" fillId="0" borderId="2" xfId="4" applyFont="1" applyBorder="1" applyAlignment="1">
      <alignment horizontal="center"/>
    </xf>
    <xf numFmtId="0" fontId="14" fillId="0" borderId="2" xfId="4" applyFont="1" applyBorder="1" applyAlignment="1">
      <alignment horizontal="center"/>
    </xf>
    <xf numFmtId="0" fontId="14" fillId="0" borderId="40" xfId="4" applyFont="1" applyBorder="1"/>
    <xf numFmtId="0" fontId="12" fillId="0" borderId="41" xfId="4" applyFont="1" applyBorder="1" applyAlignment="1">
      <alignment horizontal="center"/>
    </xf>
    <xf numFmtId="0" fontId="12" fillId="0" borderId="41" xfId="4" applyFont="1" applyBorder="1" applyAlignment="1"/>
    <xf numFmtId="0" fontId="12" fillId="0" borderId="41" xfId="4" applyFont="1" applyBorder="1" applyAlignment="1">
      <alignment horizontal="right"/>
    </xf>
    <xf numFmtId="0" fontId="12" fillId="0" borderId="46" xfId="4" applyFont="1" applyFill="1" applyBorder="1"/>
    <xf numFmtId="0" fontId="12" fillId="0" borderId="2" xfId="4" applyFont="1" applyFill="1" applyBorder="1"/>
    <xf numFmtId="0" fontId="14" fillId="0" borderId="0" xfId="4" applyFont="1" applyBorder="1" applyAlignment="1">
      <alignment horizontal="left"/>
    </xf>
    <xf numFmtId="0" fontId="14" fillId="2" borderId="30" xfId="4" applyFont="1" applyFill="1" applyBorder="1" applyAlignment="1">
      <alignment horizontal="left"/>
    </xf>
    <xf numFmtId="0" fontId="12" fillId="2" borderId="30" xfId="4" applyFont="1" applyFill="1" applyBorder="1" applyAlignment="1">
      <alignment horizontal="center"/>
    </xf>
    <xf numFmtId="0" fontId="12" fillId="2" borderId="30" xfId="4" applyFont="1" applyFill="1" applyBorder="1"/>
    <xf numFmtId="0" fontId="14" fillId="2" borderId="0" xfId="4" applyFont="1" applyFill="1" applyBorder="1" applyAlignment="1">
      <alignment horizontal="left"/>
    </xf>
    <xf numFmtId="0" fontId="12" fillId="2" borderId="0" xfId="4" applyFont="1" applyFill="1" applyBorder="1" applyAlignment="1">
      <alignment horizontal="center"/>
    </xf>
    <xf numFmtId="0" fontId="12" fillId="2" borderId="0" xfId="4" applyFont="1" applyFill="1" applyBorder="1"/>
    <xf numFmtId="0" fontId="14" fillId="0" borderId="42" xfId="4" applyFont="1" applyBorder="1"/>
    <xf numFmtId="0" fontId="14" fillId="0" borderId="2" xfId="4" applyFont="1" applyBorder="1" applyAlignment="1">
      <alignment horizontal="right"/>
    </xf>
    <xf numFmtId="0" fontId="14" fillId="0" borderId="30" xfId="4" applyFont="1" applyBorder="1"/>
    <xf numFmtId="0" fontId="12" fillId="0" borderId="30" xfId="4" applyFont="1" applyFill="1" applyBorder="1"/>
    <xf numFmtId="0" fontId="12" fillId="0" borderId="0" xfId="3" applyFont="1"/>
    <xf numFmtId="0" fontId="14" fillId="0" borderId="2" xfId="4" applyFont="1" applyBorder="1"/>
    <xf numFmtId="0" fontId="14" fillId="0" borderId="8" xfId="4" applyFont="1" applyFill="1" applyBorder="1"/>
    <xf numFmtId="0" fontId="12" fillId="0" borderId="45" xfId="4" applyFont="1" applyFill="1" applyBorder="1"/>
    <xf numFmtId="0" fontId="12" fillId="0" borderId="40" xfId="4" applyFont="1" applyBorder="1" applyAlignment="1">
      <alignment horizontal="center"/>
    </xf>
    <xf numFmtId="0" fontId="12" fillId="0" borderId="43" xfId="4" applyFont="1" applyBorder="1" applyAlignment="1">
      <alignment horizontal="center"/>
    </xf>
    <xf numFmtId="0" fontId="12" fillId="0" borderId="43" xfId="4" applyFont="1" applyBorder="1" applyAlignment="1"/>
    <xf numFmtId="0" fontId="12" fillId="0" borderId="47" xfId="4" applyFont="1" applyBorder="1" applyAlignment="1">
      <alignment horizontal="center"/>
    </xf>
    <xf numFmtId="0" fontId="12" fillId="0" borderId="0" xfId="4" applyFont="1" applyBorder="1" applyAlignment="1">
      <alignment vertical="center"/>
    </xf>
    <xf numFmtId="0" fontId="14" fillId="0" borderId="2" xfId="4" applyFont="1" applyBorder="1" applyAlignment="1">
      <alignment horizontal="center" wrapText="1"/>
    </xf>
    <xf numFmtId="0" fontId="12" fillId="0" borderId="0" xfId="4" applyFont="1" applyAlignment="1">
      <alignment wrapText="1"/>
    </xf>
    <xf numFmtId="0" fontId="12" fillId="0" borderId="2" xfId="4" applyFont="1" applyBorder="1" applyAlignment="1">
      <alignment wrapText="1"/>
    </xf>
    <xf numFmtId="0" fontId="12" fillId="0" borderId="40" xfId="4" applyFont="1" applyBorder="1" applyAlignment="1">
      <alignment horizontal="right"/>
    </xf>
    <xf numFmtId="0" fontId="14" fillId="0" borderId="30" xfId="4" applyFont="1" applyFill="1" applyBorder="1" applyAlignment="1">
      <alignment horizontal="center"/>
    </xf>
    <xf numFmtId="0" fontId="12" fillId="0" borderId="44" xfId="4" applyFont="1" applyBorder="1" applyAlignment="1">
      <alignment horizontal="right"/>
    </xf>
    <xf numFmtId="0" fontId="12" fillId="0" borderId="0" xfId="4" applyFont="1" applyBorder="1"/>
    <xf numFmtId="0" fontId="12" fillId="0" borderId="0" xfId="4" applyFont="1" applyFill="1" applyAlignment="1">
      <alignment horizontal="center"/>
    </xf>
    <xf numFmtId="0" fontId="12" fillId="0" borderId="0" xfId="4" applyFont="1" applyFill="1"/>
    <xf numFmtId="0" fontId="12" fillId="0" borderId="15" xfId="4" applyFont="1" applyBorder="1"/>
    <xf numFmtId="0" fontId="12" fillId="0" borderId="49" xfId="4" applyFont="1" applyFill="1" applyBorder="1"/>
    <xf numFmtId="0" fontId="12" fillId="0" borderId="24" xfId="4" applyFont="1" applyBorder="1" applyAlignment="1">
      <alignment horizontal="center"/>
    </xf>
    <xf numFmtId="0" fontId="14" fillId="0" borderId="22" xfId="4" applyFont="1" applyBorder="1" applyAlignment="1">
      <alignment horizontal="center"/>
    </xf>
    <xf numFmtId="0" fontId="14" fillId="0" borderId="50" xfId="4" applyFont="1" applyBorder="1"/>
    <xf numFmtId="0" fontId="12" fillId="0" borderId="51" xfId="4" applyFont="1" applyBorder="1"/>
    <xf numFmtId="0" fontId="12" fillId="0" borderId="53" xfId="4" applyFont="1" applyFill="1" applyBorder="1"/>
    <xf numFmtId="0" fontId="12" fillId="0" borderId="22" xfId="4" applyFont="1" applyFill="1" applyBorder="1"/>
    <xf numFmtId="0" fontId="14" fillId="0" borderId="13" xfId="4" applyFont="1" applyBorder="1" applyAlignment="1">
      <alignment horizontal="left"/>
    </xf>
    <xf numFmtId="0" fontId="14" fillId="2" borderId="35" xfId="4" applyFont="1" applyFill="1" applyBorder="1" applyAlignment="1">
      <alignment horizontal="left"/>
    </xf>
    <xf numFmtId="0" fontId="12" fillId="2" borderId="36" xfId="4" applyFont="1" applyFill="1" applyBorder="1"/>
    <xf numFmtId="0" fontId="12" fillId="0" borderId="51" xfId="4" applyFont="1" applyFill="1" applyBorder="1"/>
    <xf numFmtId="0" fontId="14" fillId="2" borderId="13" xfId="4" applyFont="1" applyFill="1" applyBorder="1" applyAlignment="1">
      <alignment horizontal="left"/>
    </xf>
    <xf numFmtId="0" fontId="14" fillId="0" borderId="59" xfId="4" applyFont="1" applyBorder="1"/>
    <xf numFmtId="0" fontId="14" fillId="0" borderId="24" xfId="4" applyFont="1" applyBorder="1" applyAlignment="1">
      <alignment horizontal="left"/>
    </xf>
    <xf numFmtId="0" fontId="14" fillId="0" borderId="35" xfId="4" applyFont="1" applyBorder="1"/>
    <xf numFmtId="0" fontId="12" fillId="0" borderId="0" xfId="3" applyFont="1" applyBorder="1"/>
    <xf numFmtId="0" fontId="12" fillId="0" borderId="36" xfId="4" applyFont="1" applyFill="1" applyBorder="1"/>
    <xf numFmtId="0" fontId="14" fillId="0" borderId="24" xfId="4" applyFont="1" applyBorder="1"/>
    <xf numFmtId="0" fontId="14" fillId="0" borderId="11" xfId="4" applyFont="1" applyBorder="1"/>
    <xf numFmtId="0" fontId="14" fillId="0" borderId="10" xfId="4" applyFont="1" applyBorder="1"/>
    <xf numFmtId="0" fontId="12" fillId="0" borderId="60" xfId="4" applyFont="1" applyFill="1" applyBorder="1"/>
    <xf numFmtId="0" fontId="12" fillId="0" borderId="10" xfId="4" applyFont="1" applyFill="1" applyBorder="1"/>
    <xf numFmtId="0" fontId="14" fillId="0" borderId="31" xfId="4" applyFont="1" applyFill="1" applyBorder="1"/>
    <xf numFmtId="0" fontId="12" fillId="0" borderId="39" xfId="4" applyFont="1" applyFill="1" applyBorder="1"/>
    <xf numFmtId="0" fontId="12" fillId="0" borderId="9" xfId="4" applyFont="1" applyFill="1" applyBorder="1"/>
    <xf numFmtId="0" fontId="12" fillId="0" borderId="13" xfId="3" applyFont="1" applyBorder="1"/>
    <xf numFmtId="0" fontId="12" fillId="0" borderId="61" xfId="4" applyFont="1" applyFill="1" applyBorder="1"/>
    <xf numFmtId="0" fontId="14" fillId="0" borderId="36" xfId="4" applyFont="1" applyBorder="1" applyAlignment="1">
      <alignment horizontal="center"/>
    </xf>
    <xf numFmtId="0" fontId="12" fillId="0" borderId="42" xfId="4" applyFont="1" applyFill="1" applyBorder="1" applyAlignment="1">
      <alignment horizontal="center"/>
    </xf>
    <xf numFmtId="0" fontId="12" fillId="0" borderId="2" xfId="4" applyFont="1" applyFill="1" applyBorder="1" applyAlignment="1">
      <alignment horizontal="center"/>
    </xf>
    <xf numFmtId="0" fontId="12" fillId="0" borderId="56" xfId="4" applyFont="1" applyBorder="1" applyAlignment="1"/>
    <xf numFmtId="0" fontId="14" fillId="0" borderId="43" xfId="4" applyFont="1" applyBorder="1" applyAlignment="1"/>
    <xf numFmtId="0" fontId="12" fillId="0" borderId="52" xfId="4" applyFont="1" applyBorder="1" applyAlignment="1">
      <alignment vertical="center"/>
    </xf>
    <xf numFmtId="0" fontId="12" fillId="0" borderId="54" xfId="4" applyFont="1" applyBorder="1" applyAlignment="1">
      <alignment vertical="center"/>
    </xf>
    <xf numFmtId="0" fontId="14" fillId="0" borderId="57" xfId="4" applyFont="1" applyBorder="1" applyAlignment="1"/>
    <xf numFmtId="0" fontId="12" fillId="0" borderId="57" xfId="4" applyFont="1" applyBorder="1" applyAlignment="1"/>
    <xf numFmtId="0" fontId="14" fillId="0" borderId="37" xfId="4" applyFont="1" applyBorder="1" applyAlignment="1"/>
    <xf numFmtId="0" fontId="14" fillId="0" borderId="32" xfId="4" applyFont="1" applyBorder="1" applyAlignment="1"/>
    <xf numFmtId="0" fontId="14" fillId="0" borderId="30" xfId="4" applyFont="1" applyFill="1" applyBorder="1" applyAlignment="1"/>
    <xf numFmtId="0" fontId="14" fillId="0" borderId="49" xfId="4" applyFont="1" applyFill="1" applyBorder="1" applyAlignment="1">
      <alignment horizontal="center"/>
    </xf>
    <xf numFmtId="0" fontId="14" fillId="0" borderId="3" xfId="4" applyFont="1" applyBorder="1" applyAlignment="1">
      <alignment horizontal="center"/>
    </xf>
    <xf numFmtId="0" fontId="14" fillId="0" borderId="1" xfId="4" applyFont="1" applyBorder="1" applyAlignment="1">
      <alignment horizontal="center"/>
    </xf>
    <xf numFmtId="0" fontId="12" fillId="0" borderId="3" xfId="4" applyFont="1" applyFill="1" applyBorder="1"/>
    <xf numFmtId="0" fontId="12" fillId="0" borderId="1" xfId="4" applyFont="1" applyFill="1" applyBorder="1"/>
    <xf numFmtId="0" fontId="14" fillId="0" borderId="51" xfId="4" applyFont="1" applyBorder="1" applyAlignment="1">
      <alignment horizontal="center"/>
    </xf>
    <xf numFmtId="0" fontId="14" fillId="0" borderId="76" xfId="4" applyFont="1" applyBorder="1" applyAlignment="1">
      <alignment horizontal="center"/>
    </xf>
    <xf numFmtId="0" fontId="14" fillId="0" borderId="77" xfId="4" applyFont="1" applyBorder="1" applyAlignment="1">
      <alignment horizontal="center"/>
    </xf>
    <xf numFmtId="0" fontId="14" fillId="0" borderId="78" xfId="4" applyFont="1" applyBorder="1" applyAlignment="1">
      <alignment horizontal="center"/>
    </xf>
    <xf numFmtId="0" fontId="14" fillId="0" borderId="80" xfId="4" applyFont="1" applyBorder="1" applyAlignment="1">
      <alignment horizontal="center"/>
    </xf>
    <xf numFmtId="9" fontId="12" fillId="0" borderId="79" xfId="4" applyNumberFormat="1" applyFont="1" applyBorder="1" applyAlignment="1">
      <alignment horizontal="center"/>
    </xf>
    <xf numFmtId="0" fontId="12" fillId="0" borderId="55" xfId="4" applyFont="1" applyBorder="1" applyAlignment="1">
      <alignment horizontal="left" vertical="center"/>
    </xf>
    <xf numFmtId="0" fontId="12" fillId="0" borderId="56" xfId="4" applyFont="1" applyBorder="1" applyAlignment="1">
      <alignment horizontal="left"/>
    </xf>
    <xf numFmtId="0" fontId="12" fillId="0" borderId="52" xfId="4" applyFont="1" applyBorder="1" applyAlignment="1">
      <alignment horizontal="left" vertical="center"/>
    </xf>
    <xf numFmtId="0" fontId="12" fillId="0" borderId="54" xfId="4" applyFont="1" applyBorder="1" applyAlignment="1">
      <alignment horizontal="left" vertical="center"/>
    </xf>
    <xf numFmtId="0" fontId="12" fillId="0" borderId="58" xfId="4" applyFont="1" applyBorder="1" applyAlignment="1">
      <alignment horizontal="left"/>
    </xf>
    <xf numFmtId="0" fontId="14" fillId="0" borderId="22" xfId="4" applyFont="1" applyBorder="1" applyAlignment="1">
      <alignment horizontal="center" wrapText="1"/>
    </xf>
    <xf numFmtId="0" fontId="12" fillId="0" borderId="13" xfId="0" applyFont="1" applyBorder="1"/>
    <xf numFmtId="166" fontId="12" fillId="0" borderId="0" xfId="1" applyNumberFormat="1" applyFont="1" applyBorder="1" applyAlignment="1">
      <alignment horizontal="right"/>
    </xf>
    <xf numFmtId="164" fontId="12" fillId="0" borderId="0" xfId="1" applyNumberFormat="1" applyFont="1" applyBorder="1" applyAlignment="1">
      <alignment horizontal="right"/>
    </xf>
    <xf numFmtId="166" fontId="12" fillId="0" borderId="12" xfId="1" applyNumberFormat="1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2" xfId="0" applyFont="1" applyBorder="1" applyAlignment="1">
      <alignment horizontal="right"/>
    </xf>
    <xf numFmtId="0" fontId="14" fillId="0" borderId="13" xfId="0" applyFont="1" applyBorder="1"/>
    <xf numFmtId="0" fontId="22" fillId="0" borderId="13" xfId="0" applyFont="1" applyBorder="1"/>
    <xf numFmtId="0" fontId="22" fillId="0" borderId="0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12" fillId="0" borderId="0" xfId="0" applyFont="1" applyBorder="1"/>
    <xf numFmtId="0" fontId="12" fillId="0" borderId="12" xfId="0" applyFont="1" applyBorder="1"/>
    <xf numFmtId="0" fontId="12" fillId="0" borderId="11" xfId="0" applyFont="1" applyBorder="1"/>
    <xf numFmtId="167" fontId="12" fillId="0" borderId="0" xfId="1" applyNumberFormat="1" applyFont="1" applyBorder="1" applyAlignment="1">
      <alignment horizontal="right"/>
    </xf>
    <xf numFmtId="164" fontId="12" fillId="0" borderId="10" xfId="1" applyNumberFormat="1" applyFont="1" applyBorder="1" applyAlignment="1">
      <alignment horizontal="right"/>
    </xf>
    <xf numFmtId="167" fontId="12" fillId="0" borderId="10" xfId="1" applyNumberFormat="1" applyFont="1" applyBorder="1" applyAlignment="1">
      <alignment horizontal="right"/>
    </xf>
    <xf numFmtId="168" fontId="12" fillId="0" borderId="12" xfId="1" applyNumberFormat="1" applyFont="1" applyBorder="1" applyAlignment="1">
      <alignment horizontal="right"/>
    </xf>
    <xf numFmtId="168" fontId="12" fillId="0" borderId="9" xfId="1" applyNumberFormat="1" applyFont="1" applyBorder="1" applyAlignment="1">
      <alignment horizontal="right"/>
    </xf>
    <xf numFmtId="167" fontId="12" fillId="0" borderId="5" xfId="1" applyNumberFormat="1" applyFont="1" applyBorder="1" applyAlignment="1">
      <alignment horizontal="center"/>
    </xf>
    <xf numFmtId="168" fontId="12" fillId="0" borderId="12" xfId="1" applyNumberFormat="1" applyFont="1" applyBorder="1" applyAlignment="1">
      <alignment horizontal="center"/>
    </xf>
    <xf numFmtId="168" fontId="12" fillId="0" borderId="22" xfId="1" applyNumberFormat="1" applyFont="1" applyBorder="1" applyAlignment="1">
      <alignment horizontal="center"/>
    </xf>
    <xf numFmtId="168" fontId="12" fillId="0" borderId="9" xfId="1" applyNumberFormat="1" applyFont="1" applyBorder="1" applyAlignment="1">
      <alignment horizontal="center"/>
    </xf>
    <xf numFmtId="169" fontId="12" fillId="0" borderId="0" xfId="2" applyNumberFormat="1" applyFont="1" applyBorder="1" applyAlignment="1">
      <alignment horizontal="right"/>
    </xf>
    <xf numFmtId="167" fontId="12" fillId="0" borderId="12" xfId="1" applyNumberFormat="1" applyFont="1" applyBorder="1" applyAlignment="1">
      <alignment horizontal="right"/>
    </xf>
    <xf numFmtId="169" fontId="12" fillId="0" borderId="10" xfId="2" applyNumberFormat="1" applyFont="1" applyBorder="1" applyAlignment="1">
      <alignment horizontal="right"/>
    </xf>
    <xf numFmtId="167" fontId="12" fillId="0" borderId="9" xfId="1" applyNumberFormat="1" applyFont="1" applyBorder="1" applyAlignment="1">
      <alignment horizontal="right"/>
    </xf>
    <xf numFmtId="168" fontId="12" fillId="0" borderId="53" xfId="4" applyNumberFormat="1" applyFont="1" applyFill="1" applyBorder="1"/>
    <xf numFmtId="168" fontId="12" fillId="0" borderId="22" xfId="4" applyNumberFormat="1" applyFont="1" applyFill="1" applyBorder="1" applyAlignment="1">
      <alignment horizontal="right"/>
    </xf>
    <xf numFmtId="168" fontId="14" fillId="0" borderId="22" xfId="4" applyNumberFormat="1" applyFont="1" applyFill="1" applyBorder="1" applyAlignment="1">
      <alignment horizontal="right"/>
    </xf>
    <xf numFmtId="168" fontId="12" fillId="0" borderId="79" xfId="4" applyNumberFormat="1" applyFont="1" applyBorder="1" applyAlignment="1">
      <alignment horizontal="right"/>
    </xf>
    <xf numFmtId="168" fontId="14" fillId="0" borderId="77" xfId="4" applyNumberFormat="1" applyFont="1" applyBorder="1" applyAlignment="1">
      <alignment horizontal="right"/>
    </xf>
    <xf numFmtId="168" fontId="12" fillId="0" borderId="12" xfId="4" applyNumberFormat="1" applyFont="1" applyFill="1" applyBorder="1" applyAlignment="1">
      <alignment horizontal="right"/>
    </xf>
    <xf numFmtId="168" fontId="12" fillId="0" borderId="53" xfId="4" applyNumberFormat="1" applyFont="1" applyFill="1" applyBorder="1" applyAlignment="1">
      <alignment horizontal="right"/>
    </xf>
    <xf numFmtId="10" fontId="14" fillId="0" borderId="77" xfId="4" applyNumberFormat="1" applyFont="1" applyBorder="1" applyAlignment="1">
      <alignment horizontal="right"/>
    </xf>
    <xf numFmtId="10" fontId="14" fillId="0" borderId="83" xfId="4" applyNumberFormat="1" applyFont="1" applyBorder="1" applyAlignment="1">
      <alignment horizontal="right"/>
    </xf>
    <xf numFmtId="168" fontId="14" fillId="0" borderId="2" xfId="4" applyNumberFormat="1" applyFont="1" applyFill="1" applyBorder="1"/>
    <xf numFmtId="168" fontId="14" fillId="0" borderId="10" xfId="4" applyNumberFormat="1" applyFont="1" applyFill="1" applyBorder="1"/>
    <xf numFmtId="164" fontId="12" fillId="0" borderId="53" xfId="1" applyNumberFormat="1" applyFont="1" applyFill="1" applyBorder="1"/>
    <xf numFmtId="164" fontId="14" fillId="0" borderId="63" xfId="1" applyNumberFormat="1" applyFont="1" applyFill="1" applyBorder="1"/>
    <xf numFmtId="0" fontId="14" fillId="0" borderId="10" xfId="4" applyFont="1" applyBorder="1" applyAlignment="1">
      <alignment horizontal="center"/>
    </xf>
    <xf numFmtId="168" fontId="12" fillId="0" borderId="53" xfId="4" applyNumberFormat="1" applyFont="1" applyFill="1" applyBorder="1" applyAlignment="1">
      <alignment horizontal="right" indent="1"/>
    </xf>
    <xf numFmtId="168" fontId="12" fillId="0" borderId="61" xfId="4" applyNumberFormat="1" applyFont="1" applyFill="1" applyBorder="1" applyAlignment="1">
      <alignment horizontal="right" indent="1"/>
    </xf>
    <xf numFmtId="167" fontId="12" fillId="0" borderId="40" xfId="4" applyNumberFormat="1" applyFont="1" applyFill="1" applyBorder="1" applyAlignment="1">
      <alignment horizontal="left" indent="1"/>
    </xf>
    <xf numFmtId="167" fontId="12" fillId="0" borderId="41" xfId="4" applyNumberFormat="1" applyFont="1" applyFill="1" applyBorder="1" applyAlignment="1">
      <alignment horizontal="left" indent="1"/>
    </xf>
    <xf numFmtId="167" fontId="12" fillId="0" borderId="0" xfId="4" applyNumberFormat="1" applyFont="1" applyFill="1" applyBorder="1" applyAlignment="1">
      <alignment horizontal="left" indent="1"/>
    </xf>
    <xf numFmtId="167" fontId="18" fillId="0" borderId="32" xfId="4" applyNumberFormat="1" applyFont="1" applyFill="1" applyBorder="1" applyAlignment="1">
      <alignment horizontal="left" indent="1"/>
    </xf>
    <xf numFmtId="167" fontId="12" fillId="0" borderId="32" xfId="4" applyNumberFormat="1" applyFont="1" applyFill="1" applyBorder="1" applyAlignment="1">
      <alignment horizontal="left" indent="1"/>
    </xf>
    <xf numFmtId="168" fontId="12" fillId="0" borderId="40" xfId="4" applyNumberFormat="1" applyFont="1" applyFill="1" applyBorder="1" applyAlignment="1">
      <alignment horizontal="right" indent="1"/>
    </xf>
    <xf numFmtId="168" fontId="12" fillId="0" borderId="41" xfId="4" applyNumberFormat="1" applyFont="1" applyFill="1" applyBorder="1" applyAlignment="1">
      <alignment horizontal="right" indent="1"/>
    </xf>
    <xf numFmtId="168" fontId="12" fillId="0" borderId="51" xfId="4" applyNumberFormat="1" applyFont="1" applyBorder="1" applyAlignment="1">
      <alignment horizontal="right" indent="1"/>
    </xf>
    <xf numFmtId="168" fontId="12" fillId="0" borderId="53" xfId="4" applyNumberFormat="1" applyFont="1" applyBorder="1" applyAlignment="1">
      <alignment horizontal="right" indent="1"/>
    </xf>
    <xf numFmtId="168" fontId="14" fillId="0" borderId="12" xfId="4" applyNumberFormat="1" applyFont="1" applyBorder="1" applyAlignment="1">
      <alignment horizontal="right" indent="1"/>
    </xf>
    <xf numFmtId="168" fontId="14" fillId="0" borderId="34" xfId="4" applyNumberFormat="1" applyFont="1" applyBorder="1" applyAlignment="1">
      <alignment horizontal="right" indent="1"/>
    </xf>
    <xf numFmtId="2" fontId="12" fillId="0" borderId="0" xfId="0" applyNumberFormat="1" applyFont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67" fontId="11" fillId="0" borderId="2" xfId="0" applyNumberFormat="1" applyFont="1" applyFill="1" applyBorder="1" applyAlignment="1">
      <alignment horizontal="center"/>
    </xf>
    <xf numFmtId="164" fontId="4" fillId="0" borderId="34" xfId="0" applyNumberFormat="1" applyFont="1" applyFill="1" applyBorder="1" applyAlignment="1">
      <alignment horizontal="right"/>
    </xf>
    <xf numFmtId="0" fontId="2" fillId="5" borderId="13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5" borderId="13" xfId="0" applyFont="1" applyFill="1" applyBorder="1"/>
    <xf numFmtId="167" fontId="11" fillId="5" borderId="5" xfId="1" applyNumberFormat="1" applyFont="1" applyFill="1" applyBorder="1" applyAlignment="1">
      <alignment horizontal="right"/>
    </xf>
    <xf numFmtId="167" fontId="11" fillId="5" borderId="4" xfId="1" applyNumberFormat="1" applyFont="1" applyFill="1" applyBorder="1" applyAlignment="1">
      <alignment horizontal="right"/>
    </xf>
    <xf numFmtId="167" fontId="11" fillId="5" borderId="28" xfId="1" applyNumberFormat="1" applyFont="1" applyFill="1" applyBorder="1" applyAlignment="1">
      <alignment horizontal="right"/>
    </xf>
    <xf numFmtId="0" fontId="9" fillId="5" borderId="13" xfId="0" applyFont="1" applyFill="1" applyBorder="1"/>
    <xf numFmtId="0" fontId="2" fillId="5" borderId="8" xfId="0" applyFont="1" applyFill="1" applyBorder="1" applyAlignment="1"/>
    <xf numFmtId="0" fontId="2" fillId="5" borderId="6" xfId="0" applyFont="1" applyFill="1" applyBorder="1"/>
    <xf numFmtId="0" fontId="2" fillId="5" borderId="29" xfId="0" applyFont="1" applyFill="1" applyBorder="1"/>
    <xf numFmtId="0" fontId="10" fillId="5" borderId="13" xfId="0" applyFont="1" applyFill="1" applyBorder="1"/>
    <xf numFmtId="0" fontId="10" fillId="5" borderId="5" xfId="0" applyFont="1" applyFill="1" applyBorder="1" applyAlignment="1">
      <alignment horizontal="right"/>
    </xf>
    <xf numFmtId="0" fontId="10" fillId="5" borderId="4" xfId="0" applyFont="1" applyFill="1" applyBorder="1" applyAlignment="1">
      <alignment horizontal="right"/>
    </xf>
    <xf numFmtId="0" fontId="10" fillId="5" borderId="28" xfId="0" applyFont="1" applyFill="1" applyBorder="1" applyAlignment="1">
      <alignment horizontal="right"/>
    </xf>
    <xf numFmtId="167" fontId="2" fillId="5" borderId="5" xfId="0" applyNumberFormat="1" applyFont="1" applyFill="1" applyBorder="1" applyAlignment="1">
      <alignment horizontal="right"/>
    </xf>
    <xf numFmtId="167" fontId="2" fillId="5" borderId="4" xfId="0" applyNumberFormat="1" applyFont="1" applyFill="1" applyBorder="1" applyAlignment="1">
      <alignment horizontal="right"/>
    </xf>
    <xf numFmtId="167" fontId="2" fillId="5" borderId="28" xfId="0" applyNumberFormat="1" applyFont="1" applyFill="1" applyBorder="1" applyAlignment="1">
      <alignment horizontal="right"/>
    </xf>
    <xf numFmtId="0" fontId="12" fillId="0" borderId="0" xfId="0" applyFont="1" applyFill="1" applyBorder="1" applyAlignment="1"/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4" fontId="2" fillId="0" borderId="7" xfId="1" applyNumberFormat="1" applyFont="1" applyFill="1" applyBorder="1" applyAlignment="1">
      <alignment horizontal="right"/>
    </xf>
    <xf numFmtId="169" fontId="2" fillId="0" borderId="2" xfId="2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/>
    <xf numFmtId="9" fontId="2" fillId="0" borderId="0" xfId="2" applyFont="1" applyFill="1" applyAlignment="1">
      <alignment horizontal="right"/>
    </xf>
    <xf numFmtId="164" fontId="4" fillId="0" borderId="10" xfId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5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164" fontId="2" fillId="0" borderId="5" xfId="1" applyNumberFormat="1" applyFont="1" applyFill="1" applyBorder="1" applyAlignment="1">
      <alignment horizontal="right"/>
    </xf>
    <xf numFmtId="164" fontId="2" fillId="0" borderId="12" xfId="1" applyNumberFormat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2" fillId="0" borderId="3" xfId="1" applyNumberFormat="1" applyFont="1" applyFill="1" applyBorder="1" applyAlignment="1">
      <alignment horizontal="right"/>
    </xf>
    <xf numFmtId="164" fontId="2" fillId="0" borderId="22" xfId="1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164" fontId="2" fillId="0" borderId="10" xfId="1" applyNumberFormat="1" applyFont="1" applyFill="1" applyBorder="1" applyAlignment="1">
      <alignment horizontal="right"/>
    </xf>
    <xf numFmtId="164" fontId="2" fillId="0" borderId="21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2" fillId="0" borderId="0" xfId="0" applyFont="1" applyAlignment="1"/>
    <xf numFmtId="0" fontId="2" fillId="0" borderId="13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6" fillId="0" borderId="15" xfId="0" applyFont="1" applyFill="1" applyBorder="1" applyAlignment="1">
      <alignment horizontal="left"/>
    </xf>
    <xf numFmtId="169" fontId="4" fillId="0" borderId="3" xfId="2" applyNumberFormat="1" applyFont="1" applyFill="1" applyBorder="1"/>
    <xf numFmtId="169" fontId="4" fillId="0" borderId="2" xfId="2" applyNumberFormat="1" applyFont="1" applyFill="1" applyBorder="1"/>
    <xf numFmtId="169" fontId="4" fillId="0" borderId="1" xfId="2" applyNumberFormat="1" applyFont="1" applyFill="1" applyBorder="1"/>
    <xf numFmtId="169" fontId="4" fillId="0" borderId="22" xfId="2" applyNumberFormat="1" applyFont="1" applyFill="1" applyBorder="1"/>
    <xf numFmtId="0" fontId="6" fillId="0" borderId="13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9" fontId="2" fillId="0" borderId="0" xfId="2" applyNumberFormat="1" applyFont="1" applyFill="1" applyAlignment="1">
      <alignment horizontal="right"/>
    </xf>
    <xf numFmtId="9" fontId="30" fillId="0" borderId="0" xfId="2" applyFont="1" applyBorder="1" applyAlignment="1">
      <alignment horizontal="right"/>
    </xf>
    <xf numFmtId="0" fontId="2" fillId="0" borderId="9" xfId="0" applyFont="1" applyFill="1" applyBorder="1" applyAlignment="1"/>
    <xf numFmtId="0" fontId="9" fillId="0" borderId="13" xfId="0" applyFont="1" applyFill="1" applyBorder="1"/>
    <xf numFmtId="0" fontId="2" fillId="0" borderId="12" xfId="0" applyFont="1" applyFill="1" applyBorder="1" applyAlignment="1">
      <alignment horizontal="center"/>
    </xf>
    <xf numFmtId="0" fontId="10" fillId="0" borderId="13" xfId="0" applyFont="1" applyFill="1" applyBorder="1"/>
    <xf numFmtId="9" fontId="11" fillId="0" borderId="12" xfId="2" applyFont="1" applyFill="1" applyBorder="1" applyAlignment="1">
      <alignment horizontal="right"/>
    </xf>
    <xf numFmtId="0" fontId="10" fillId="0" borderId="5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9" fontId="11" fillId="0" borderId="9" xfId="2" applyFont="1" applyFill="1" applyBorder="1" applyAlignment="1">
      <alignment horizontal="right"/>
    </xf>
    <xf numFmtId="167" fontId="11" fillId="0" borderId="5" xfId="1" applyNumberFormat="1" applyFont="1" applyFill="1" applyBorder="1" applyAlignment="1">
      <alignment horizontal="center"/>
    </xf>
    <xf numFmtId="167" fontId="12" fillId="0" borderId="4" xfId="1" applyNumberFormat="1" applyFont="1" applyFill="1" applyBorder="1" applyAlignment="1">
      <alignment horizontal="center"/>
    </xf>
    <xf numFmtId="168" fontId="2" fillId="0" borderId="12" xfId="1" applyNumberFormat="1" applyFont="1" applyFill="1" applyBorder="1" applyAlignment="1">
      <alignment horizontal="center"/>
    </xf>
    <xf numFmtId="167" fontId="11" fillId="0" borderId="3" xfId="1" applyNumberFormat="1" applyFont="1" applyFill="1" applyBorder="1" applyAlignment="1">
      <alignment horizontal="center"/>
    </xf>
    <xf numFmtId="167" fontId="12" fillId="0" borderId="1" xfId="1" applyNumberFormat="1" applyFont="1" applyFill="1" applyBorder="1" applyAlignment="1">
      <alignment horizontal="center"/>
    </xf>
    <xf numFmtId="168" fontId="2" fillId="0" borderId="22" xfId="1" applyNumberFormat="1" applyFont="1" applyFill="1" applyBorder="1" applyAlignment="1">
      <alignment horizontal="center"/>
    </xf>
    <xf numFmtId="167" fontId="12" fillId="0" borderId="21" xfId="1" applyNumberFormat="1" applyFont="1" applyFill="1" applyBorder="1" applyAlignment="1">
      <alignment horizontal="center"/>
    </xf>
    <xf numFmtId="167" fontId="12" fillId="0" borderId="39" xfId="1" applyNumberFormat="1" applyFont="1" applyFill="1" applyBorder="1" applyAlignment="1">
      <alignment horizontal="center"/>
    </xf>
    <xf numFmtId="168" fontId="2" fillId="0" borderId="9" xfId="1" applyNumberFormat="1" applyFont="1" applyFill="1" applyBorder="1" applyAlignment="1">
      <alignment horizontal="center"/>
    </xf>
    <xf numFmtId="167" fontId="2" fillId="0" borderId="0" xfId="0" applyNumberFormat="1" applyFont="1" applyFill="1"/>
    <xf numFmtId="0" fontId="23" fillId="0" borderId="0" xfId="0" applyFont="1" applyFill="1" applyAlignment="1">
      <alignment wrapText="1"/>
    </xf>
    <xf numFmtId="0" fontId="32" fillId="0" borderId="0" xfId="0" applyFont="1"/>
    <xf numFmtId="10" fontId="11" fillId="0" borderId="12" xfId="2" applyNumberFormat="1" applyFont="1" applyFill="1" applyBorder="1" applyAlignment="1">
      <alignment horizontal="right"/>
    </xf>
    <xf numFmtId="44" fontId="12" fillId="0" borderId="4" xfId="6" applyFont="1" applyFill="1" applyBorder="1" applyAlignment="1">
      <alignment horizontal="center"/>
    </xf>
    <xf numFmtId="0" fontId="32" fillId="0" borderId="0" xfId="0" applyFont="1" applyFill="1" applyAlignment="1"/>
    <xf numFmtId="164" fontId="32" fillId="0" borderId="0" xfId="0" applyNumberFormat="1" applyFont="1" applyFill="1" applyAlignment="1"/>
    <xf numFmtId="0" fontId="32" fillId="0" borderId="0" xfId="0" applyFont="1" applyFill="1"/>
    <xf numFmtId="167" fontId="32" fillId="0" borderId="0" xfId="0" applyNumberFormat="1" applyFont="1" applyFill="1"/>
    <xf numFmtId="167" fontId="11" fillId="0" borderId="9" xfId="2" applyNumberFormat="1" applyFont="1" applyFill="1" applyBorder="1" applyAlignment="1">
      <alignment horizontal="right"/>
    </xf>
    <xf numFmtId="0" fontId="32" fillId="0" borderId="0" xfId="0" applyFont="1" applyFill="1" applyAlignment="1">
      <alignment vertical="center"/>
    </xf>
    <xf numFmtId="0" fontId="31" fillId="0" borderId="0" xfId="0" applyFont="1" applyFill="1" applyAlignment="1"/>
    <xf numFmtId="0" fontId="10" fillId="0" borderId="7" xfId="0" applyFont="1" applyFill="1" applyBorder="1" applyAlignment="1">
      <alignment horizontal="right"/>
    </xf>
    <xf numFmtId="167" fontId="11" fillId="0" borderId="0" xfId="1" applyNumberFormat="1" applyFont="1" applyFill="1" applyBorder="1" applyAlignment="1">
      <alignment horizontal="right"/>
    </xf>
    <xf numFmtId="169" fontId="11" fillId="0" borderId="0" xfId="2" applyNumberFormat="1" applyFont="1" applyFill="1" applyBorder="1" applyAlignment="1">
      <alignment horizontal="right"/>
    </xf>
    <xf numFmtId="167" fontId="2" fillId="0" borderId="12" xfId="1" applyNumberFormat="1" applyFont="1" applyFill="1" applyBorder="1" applyAlignment="1">
      <alignment horizontal="right"/>
    </xf>
    <xf numFmtId="167" fontId="11" fillId="0" borderId="10" xfId="1" applyNumberFormat="1" applyFont="1" applyFill="1" applyBorder="1" applyAlignment="1">
      <alignment horizontal="right"/>
    </xf>
    <xf numFmtId="169" fontId="11" fillId="0" borderId="10" xfId="2" applyNumberFormat="1" applyFont="1" applyFill="1" applyBorder="1" applyAlignment="1">
      <alignment horizontal="right"/>
    </xf>
    <xf numFmtId="167" fontId="2" fillId="0" borderId="9" xfId="1" applyNumberFormat="1" applyFont="1" applyFill="1" applyBorder="1" applyAlignment="1">
      <alignment horizontal="right"/>
    </xf>
    <xf numFmtId="0" fontId="2" fillId="0" borderId="0" xfId="0" applyFont="1" applyFill="1" applyAlignment="1"/>
    <xf numFmtId="168" fontId="11" fillId="0" borderId="12" xfId="2" applyNumberFormat="1" applyFont="1" applyFill="1" applyBorder="1" applyAlignment="1">
      <alignment horizontal="right"/>
    </xf>
    <xf numFmtId="168" fontId="11" fillId="0" borderId="9" xfId="2" applyNumberFormat="1" applyFont="1" applyFill="1" applyBorder="1" applyAlignment="1">
      <alignment horizontal="right"/>
    </xf>
    <xf numFmtId="168" fontId="2" fillId="0" borderId="0" xfId="0" applyNumberFormat="1" applyFont="1" applyFill="1" applyBorder="1"/>
    <xf numFmtId="167" fontId="2" fillId="0" borderId="0" xfId="0" applyNumberFormat="1" applyFont="1"/>
    <xf numFmtId="0" fontId="12" fillId="0" borderId="13" xfId="0" applyFont="1" applyFill="1" applyBorder="1" applyAlignment="1">
      <alignment horizontal="left" indent="2"/>
    </xf>
    <xf numFmtId="0" fontId="12" fillId="0" borderId="13" xfId="0" applyFont="1" applyFill="1" applyBorder="1"/>
    <xf numFmtId="168" fontId="2" fillId="0" borderId="12" xfId="0" applyNumberFormat="1" applyFont="1" applyFill="1" applyBorder="1"/>
    <xf numFmtId="9" fontId="2" fillId="0" borderId="0" xfId="0" applyNumberFormat="1" applyFont="1"/>
    <xf numFmtId="0" fontId="3" fillId="0" borderId="0" xfId="0" applyFont="1" applyFill="1" applyBorder="1" applyAlignment="1"/>
    <xf numFmtId="164" fontId="2" fillId="0" borderId="0" xfId="0" applyNumberFormat="1" applyFont="1" applyFill="1" applyAlignment="1">
      <alignment horizontal="right"/>
    </xf>
    <xf numFmtId="0" fontId="29" fillId="0" borderId="0" xfId="0" applyFont="1" applyFill="1" applyBorder="1" applyAlignment="1">
      <alignment horizontal="center"/>
    </xf>
    <xf numFmtId="0" fontId="24" fillId="0" borderId="0" xfId="5" applyFill="1" applyBorder="1" applyAlignment="1">
      <alignment horizontal="center" wrapText="1"/>
    </xf>
    <xf numFmtId="0" fontId="25" fillId="0" borderId="0" xfId="5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12" fontId="2" fillId="0" borderId="0" xfId="0" applyNumberFormat="1" applyFont="1" applyFill="1" applyBorder="1" applyAlignment="1">
      <alignment horizontal="center"/>
    </xf>
    <xf numFmtId="0" fontId="2" fillId="5" borderId="0" xfId="0" applyFont="1" applyFill="1"/>
    <xf numFmtId="9" fontId="11" fillId="0" borderId="12" xfId="0" applyNumberFormat="1" applyFont="1" applyBorder="1"/>
    <xf numFmtId="0" fontId="28" fillId="0" borderId="0" xfId="0" applyFont="1" applyAlignment="1">
      <alignment wrapText="1"/>
    </xf>
    <xf numFmtId="0" fontId="28" fillId="0" borderId="10" xfId="0" applyFont="1" applyBorder="1" applyAlignment="1">
      <alignment wrapText="1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left" indent="1"/>
    </xf>
    <xf numFmtId="168" fontId="2" fillId="0" borderId="2" xfId="0" applyNumberFormat="1" applyFont="1" applyFill="1" applyBorder="1"/>
    <xf numFmtId="168" fontId="2" fillId="0" borderId="22" xfId="0" applyNumberFormat="1" applyFont="1" applyFill="1" applyBorder="1"/>
    <xf numFmtId="0" fontId="2" fillId="0" borderId="5" xfId="1" applyNumberFormat="1" applyFont="1" applyFill="1" applyBorder="1" applyAlignment="1">
      <alignment horizontal="right"/>
    </xf>
    <xf numFmtId="10" fontId="2" fillId="0" borderId="0" xfId="0" applyNumberFormat="1" applyFont="1" applyFill="1"/>
    <xf numFmtId="10" fontId="2" fillId="0" borderId="0" xfId="0" applyNumberFormat="1" applyFont="1" applyFill="1" applyBorder="1"/>
    <xf numFmtId="0" fontId="33" fillId="0" borderId="0" xfId="0" applyFont="1" applyFill="1" applyAlignment="1">
      <alignment vertical="center"/>
    </xf>
    <xf numFmtId="3" fontId="2" fillId="0" borderId="0" xfId="0" applyNumberFormat="1" applyFont="1"/>
    <xf numFmtId="44" fontId="2" fillId="0" borderId="0" xfId="6" applyFont="1"/>
    <xf numFmtId="44" fontId="2" fillId="0" borderId="0" xfId="0" applyNumberFormat="1" applyFont="1"/>
    <xf numFmtId="9" fontId="2" fillId="0" borderId="13" xfId="0" applyNumberFormat="1" applyFont="1" applyFill="1" applyBorder="1"/>
    <xf numFmtId="9" fontId="2" fillId="0" borderId="11" xfId="0" applyNumberFormat="1" applyFont="1" applyFill="1" applyBorder="1"/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6" fillId="0" borderId="0" xfId="0" applyFont="1" applyFill="1" applyAlignment="1">
      <alignment wrapText="1"/>
    </xf>
    <xf numFmtId="0" fontId="2" fillId="0" borderId="0" xfId="0" applyFont="1" applyFill="1" applyBorder="1" applyAlignment="1"/>
    <xf numFmtId="0" fontId="2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10" fillId="0" borderId="4" xfId="0" applyFont="1" applyFill="1" applyBorder="1" applyAlignment="1">
      <alignment horizontal="right"/>
    </xf>
    <xf numFmtId="0" fontId="10" fillId="0" borderId="28" xfId="0" applyFont="1" applyFill="1" applyBorder="1" applyAlignment="1">
      <alignment horizontal="right"/>
    </xf>
    <xf numFmtId="168" fontId="11" fillId="0" borderId="5" xfId="1" applyNumberFormat="1" applyFont="1" applyFill="1" applyBorder="1" applyAlignment="1">
      <alignment horizontal="right"/>
    </xf>
    <xf numFmtId="168" fontId="11" fillId="0" borderId="4" xfId="1" applyNumberFormat="1" applyFont="1" applyFill="1" applyBorder="1" applyAlignment="1">
      <alignment horizontal="right"/>
    </xf>
    <xf numFmtId="168" fontId="11" fillId="0" borderId="28" xfId="1" applyNumberFormat="1" applyFont="1" applyFill="1" applyBorder="1" applyAlignment="1">
      <alignment horizontal="right"/>
    </xf>
    <xf numFmtId="0" fontId="2" fillId="0" borderId="24" xfId="0" applyFont="1" applyFill="1" applyBorder="1"/>
    <xf numFmtId="168" fontId="11" fillId="0" borderId="3" xfId="1" applyNumberFormat="1" applyFont="1" applyFill="1" applyBorder="1" applyAlignment="1">
      <alignment horizontal="right"/>
    </xf>
    <xf numFmtId="168" fontId="11" fillId="0" borderId="1" xfId="1" applyNumberFormat="1" applyFont="1" applyFill="1" applyBorder="1" applyAlignment="1">
      <alignment horizontal="right"/>
    </xf>
    <xf numFmtId="168" fontId="11" fillId="0" borderId="38" xfId="1" applyNumberFormat="1" applyFont="1" applyFill="1" applyBorder="1" applyAlignment="1">
      <alignment horizontal="right"/>
    </xf>
    <xf numFmtId="0" fontId="9" fillId="0" borderId="15" xfId="0" applyFont="1" applyFill="1" applyBorder="1"/>
    <xf numFmtId="167" fontId="2" fillId="0" borderId="7" xfId="0" applyNumberFormat="1" applyFont="1" applyFill="1" applyBorder="1" applyAlignment="1">
      <alignment horizontal="right"/>
    </xf>
    <xf numFmtId="167" fontId="2" fillId="0" borderId="14" xfId="0" applyNumberFormat="1" applyFont="1" applyFill="1" applyBorder="1" applyAlignment="1">
      <alignment horizontal="right"/>
    </xf>
    <xf numFmtId="168" fontId="11" fillId="0" borderId="0" xfId="1" applyNumberFormat="1" applyFont="1" applyFill="1" applyBorder="1" applyAlignment="1">
      <alignment horizontal="right"/>
    </xf>
    <xf numFmtId="168" fontId="11" fillId="0" borderId="12" xfId="1" applyNumberFormat="1" applyFont="1" applyFill="1" applyBorder="1" applyAlignment="1">
      <alignment horizontal="right"/>
    </xf>
    <xf numFmtId="168" fontId="11" fillId="0" borderId="10" xfId="1" applyNumberFormat="1" applyFont="1" applyFill="1" applyBorder="1" applyAlignment="1">
      <alignment horizontal="right"/>
    </xf>
    <xf numFmtId="168" fontId="11" fillId="0" borderId="9" xfId="1" applyNumberFormat="1" applyFont="1" applyFill="1" applyBorder="1" applyAlignment="1">
      <alignment horizontal="right"/>
    </xf>
    <xf numFmtId="169" fontId="12" fillId="0" borderId="0" xfId="2" applyNumberFormat="1" applyFont="1" applyBorder="1" applyAlignment="1">
      <alignment horizontal="center"/>
    </xf>
    <xf numFmtId="10" fontId="12" fillId="0" borderId="0" xfId="2" applyNumberFormat="1" applyFont="1" applyBorder="1" applyAlignment="1">
      <alignment horizontal="center"/>
    </xf>
    <xf numFmtId="0" fontId="9" fillId="0" borderId="20" xfId="0" applyFont="1" applyBorder="1"/>
    <xf numFmtId="0" fontId="2" fillId="0" borderId="23" xfId="0" applyFont="1" applyBorder="1" applyAlignment="1">
      <alignment horizontal="right"/>
    </xf>
    <xf numFmtId="0" fontId="2" fillId="0" borderId="84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164" fontId="2" fillId="0" borderId="28" xfId="1" applyNumberFormat="1" applyFont="1" applyBorder="1" applyAlignment="1">
      <alignment horizontal="right"/>
    </xf>
    <xf numFmtId="164" fontId="2" fillId="0" borderId="85" xfId="1" applyNumberFormat="1" applyFont="1" applyBorder="1" applyAlignment="1">
      <alignment horizontal="right"/>
    </xf>
    <xf numFmtId="9" fontId="12" fillId="0" borderId="10" xfId="2" applyFont="1" applyBorder="1" applyAlignment="1">
      <alignment horizontal="right"/>
    </xf>
    <xf numFmtId="168" fontId="2" fillId="0" borderId="10" xfId="1" applyNumberFormat="1" applyFont="1" applyBorder="1" applyAlignment="1">
      <alignment horizontal="right"/>
    </xf>
    <xf numFmtId="9" fontId="12" fillId="0" borderId="12" xfId="2" applyFont="1" applyFill="1" applyBorder="1" applyAlignment="1">
      <alignment horizontal="right"/>
    </xf>
    <xf numFmtId="0" fontId="12" fillId="0" borderId="11" xfId="0" applyFont="1" applyFill="1" applyBorder="1"/>
    <xf numFmtId="168" fontId="12" fillId="0" borderId="9" xfId="2" applyNumberFormat="1" applyFont="1" applyFill="1" applyBorder="1" applyAlignment="1">
      <alignment horizontal="right"/>
    </xf>
    <xf numFmtId="9" fontId="11" fillId="0" borderId="10" xfId="2" applyFont="1" applyBorder="1" applyAlignment="1">
      <alignment horizontal="right"/>
    </xf>
    <xf numFmtId="168" fontId="12" fillId="0" borderId="0" xfId="1" applyNumberFormat="1" applyFont="1" applyFill="1" applyBorder="1" applyAlignment="1">
      <alignment horizontal="right"/>
    </xf>
    <xf numFmtId="168" fontId="12" fillId="0" borderId="10" xfId="1" applyNumberFormat="1" applyFont="1" applyFill="1" applyBorder="1" applyAlignment="1">
      <alignment horizontal="right"/>
    </xf>
    <xf numFmtId="0" fontId="2" fillId="0" borderId="23" xfId="0" applyFont="1" applyFill="1" applyBorder="1" applyAlignment="1">
      <alignment horizontal="right"/>
    </xf>
    <xf numFmtId="0" fontId="2" fillId="0" borderId="84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14" fillId="0" borderId="20" xfId="0" applyFont="1" applyFill="1" applyBorder="1"/>
    <xf numFmtId="44" fontId="11" fillId="0" borderId="5" xfId="6" applyFont="1" applyFill="1" applyBorder="1" applyAlignment="1">
      <alignment horizontal="right"/>
    </xf>
    <xf numFmtId="44" fontId="11" fillId="0" borderId="12" xfId="6" applyFont="1" applyFill="1" applyBorder="1" applyAlignment="1">
      <alignment horizontal="right"/>
    </xf>
    <xf numFmtId="167" fontId="12" fillId="0" borderId="3" xfId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4" fontId="12" fillId="0" borderId="0" xfId="1" applyNumberFormat="1" applyFont="1" applyFill="1" applyBorder="1" applyAlignment="1">
      <alignment horizontal="center"/>
    </xf>
    <xf numFmtId="43" fontId="11" fillId="0" borderId="0" xfId="1" applyNumberFormat="1" applyFont="1" applyFill="1" applyBorder="1" applyAlignment="1">
      <alignment horizontal="center"/>
    </xf>
    <xf numFmtId="44" fontId="2" fillId="0" borderId="0" xfId="6" applyFont="1" applyBorder="1"/>
    <xf numFmtId="9" fontId="2" fillId="0" borderId="0" xfId="0" applyNumberFormat="1" applyFont="1" applyFill="1" applyBorder="1" applyAlignment="1">
      <alignment horizontal="center"/>
    </xf>
    <xf numFmtId="169" fontId="2" fillId="0" borderId="12" xfId="2" applyNumberFormat="1" applyFont="1" applyFill="1" applyBorder="1"/>
    <xf numFmtId="44" fontId="2" fillId="0" borderId="0" xfId="6" applyFont="1" applyFill="1" applyBorder="1"/>
    <xf numFmtId="44" fontId="2" fillId="0" borderId="2" xfId="6" applyFont="1" applyBorder="1"/>
    <xf numFmtId="44" fontId="10" fillId="0" borderId="0" xfId="6" applyFont="1" applyBorder="1" applyAlignment="1">
      <alignment horizontal="center"/>
    </xf>
    <xf numFmtId="44" fontId="2" fillId="0" borderId="10" xfId="6" applyFont="1" applyBorder="1"/>
    <xf numFmtId="44" fontId="2" fillId="0" borderId="0" xfId="6" applyFont="1" applyBorder="1" applyAlignment="1">
      <alignment horizontal="center"/>
    </xf>
    <xf numFmtId="44" fontId="2" fillId="0" borderId="0" xfId="6" applyFont="1" applyBorder="1" applyAlignment="1">
      <alignment horizontal="right"/>
    </xf>
    <xf numFmtId="168" fontId="2" fillId="0" borderId="2" xfId="6" applyNumberFormat="1" applyFont="1" applyBorder="1"/>
    <xf numFmtId="0" fontId="12" fillId="7" borderId="7" xfId="4" applyFont="1" applyFill="1" applyBorder="1" applyAlignment="1">
      <alignment horizontal="center"/>
    </xf>
    <xf numFmtId="0" fontId="12" fillId="7" borderId="2" xfId="4" applyFont="1" applyFill="1" applyBorder="1" applyAlignment="1">
      <alignment horizontal="center"/>
    </xf>
    <xf numFmtId="0" fontId="14" fillId="7" borderId="40" xfId="4" applyFont="1" applyFill="1" applyBorder="1"/>
    <xf numFmtId="168" fontId="12" fillId="7" borderId="41" xfId="4" applyNumberFormat="1" applyFont="1" applyFill="1" applyBorder="1" applyAlignment="1">
      <alignment horizontal="right"/>
    </xf>
    <xf numFmtId="168" fontId="14" fillId="7" borderId="2" xfId="4" applyNumberFormat="1" applyFont="1" applyFill="1" applyBorder="1" applyAlignment="1">
      <alignment horizontal="right"/>
    </xf>
    <xf numFmtId="168" fontId="14" fillId="7" borderId="0" xfId="4" applyNumberFormat="1" applyFont="1" applyFill="1" applyBorder="1" applyAlignment="1">
      <alignment horizontal="right"/>
    </xf>
    <xf numFmtId="0" fontId="14" fillId="7" borderId="30" xfId="4" applyFont="1" applyFill="1" applyBorder="1" applyAlignment="1">
      <alignment horizontal="left"/>
    </xf>
    <xf numFmtId="0" fontId="14" fillId="7" borderId="0" xfId="4" applyFont="1" applyFill="1" applyBorder="1" applyAlignment="1">
      <alignment horizontal="left"/>
    </xf>
    <xf numFmtId="0" fontId="14" fillId="7" borderId="42" xfId="4" applyFont="1" applyFill="1" applyBorder="1"/>
    <xf numFmtId="0" fontId="12" fillId="7" borderId="41" xfId="4" applyFont="1" applyFill="1" applyBorder="1" applyAlignment="1">
      <alignment horizontal="right"/>
    </xf>
    <xf numFmtId="0" fontId="14" fillId="7" borderId="30" xfId="4" applyFont="1" applyFill="1" applyBorder="1" applyAlignment="1">
      <alignment horizontal="right"/>
    </xf>
    <xf numFmtId="0" fontId="14" fillId="7" borderId="2" xfId="4" applyFont="1" applyFill="1" applyBorder="1" applyAlignment="1">
      <alignment horizontal="right"/>
    </xf>
    <xf numFmtId="0" fontId="14" fillId="7" borderId="2" xfId="4" applyFont="1" applyFill="1" applyBorder="1"/>
    <xf numFmtId="0" fontId="14" fillId="7" borderId="10" xfId="4" applyFont="1" applyFill="1" applyBorder="1"/>
    <xf numFmtId="0" fontId="12" fillId="7" borderId="0" xfId="3" applyFont="1" applyFill="1"/>
    <xf numFmtId="0" fontId="12" fillId="7" borderId="0" xfId="3" applyFont="1" applyFill="1" applyBorder="1"/>
    <xf numFmtId="0" fontId="12" fillId="7" borderId="43" xfId="4" applyFont="1" applyFill="1" applyBorder="1" applyAlignment="1">
      <alignment horizontal="right"/>
    </xf>
    <xf numFmtId="164" fontId="12" fillId="7" borderId="41" xfId="1" applyNumberFormat="1" applyFont="1" applyFill="1" applyBorder="1" applyAlignment="1">
      <alignment horizontal="right"/>
    </xf>
    <xf numFmtId="164" fontId="12" fillId="7" borderId="43" xfId="1" applyNumberFormat="1" applyFont="1" applyFill="1" applyBorder="1" applyAlignment="1">
      <alignment horizontal="right"/>
    </xf>
    <xf numFmtId="164" fontId="14" fillId="7" borderId="10" xfId="1" applyNumberFormat="1" applyFont="1" applyFill="1" applyBorder="1" applyAlignment="1">
      <alignment horizontal="right"/>
    </xf>
    <xf numFmtId="0" fontId="14" fillId="7" borderId="0" xfId="4" applyFont="1" applyFill="1" applyBorder="1" applyAlignment="1">
      <alignment horizontal="left" wrapText="1"/>
    </xf>
    <xf numFmtId="0" fontId="12" fillId="7" borderId="40" xfId="4" applyFont="1" applyFill="1" applyBorder="1" applyAlignment="1">
      <alignment horizontal="right"/>
    </xf>
    <xf numFmtId="0" fontId="14" fillId="7" borderId="7" xfId="4" applyFont="1" applyFill="1" applyBorder="1"/>
    <xf numFmtId="167" fontId="12" fillId="7" borderId="40" xfId="4" applyNumberFormat="1" applyFont="1" applyFill="1" applyBorder="1" applyAlignment="1">
      <alignment horizontal="left" indent="1"/>
    </xf>
    <xf numFmtId="167" fontId="12" fillId="7" borderId="41" xfId="4" applyNumberFormat="1" applyFont="1" applyFill="1" applyBorder="1" applyAlignment="1">
      <alignment horizontal="left" indent="1"/>
    </xf>
    <xf numFmtId="167" fontId="12" fillId="7" borderId="44" xfId="4" applyNumberFormat="1" applyFont="1" applyFill="1" applyBorder="1" applyAlignment="1">
      <alignment horizontal="left" indent="1"/>
    </xf>
    <xf numFmtId="167" fontId="14" fillId="7" borderId="0" xfId="4" applyNumberFormat="1" applyFont="1" applyFill="1" applyBorder="1" applyAlignment="1">
      <alignment horizontal="left" indent="1"/>
    </xf>
    <xf numFmtId="167" fontId="14" fillId="7" borderId="10" xfId="4" applyNumberFormat="1" applyFont="1" applyFill="1" applyBorder="1" applyAlignment="1">
      <alignment horizontal="left" indent="1"/>
    </xf>
    <xf numFmtId="0" fontId="2" fillId="7" borderId="0" xfId="0" applyFont="1" applyFill="1"/>
    <xf numFmtId="171" fontId="11" fillId="0" borderId="0" xfId="0" applyNumberFormat="1" applyFont="1" applyFill="1" applyBorder="1" applyAlignment="1">
      <alignment horizontal="center"/>
    </xf>
    <xf numFmtId="171" fontId="2" fillId="0" borderId="12" xfId="1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center"/>
    </xf>
    <xf numFmtId="171" fontId="2" fillId="0" borderId="0" xfId="0" applyNumberFormat="1" applyFont="1" applyFill="1" applyBorder="1"/>
    <xf numFmtId="171" fontId="2" fillId="0" borderId="12" xfId="0" applyNumberFormat="1" applyFont="1" applyFill="1" applyBorder="1"/>
    <xf numFmtId="0" fontId="2" fillId="0" borderId="2" xfId="0" applyFont="1" applyFill="1" applyBorder="1"/>
    <xf numFmtId="171" fontId="2" fillId="0" borderId="2" xfId="0" applyNumberFormat="1" applyFont="1" applyFill="1" applyBorder="1"/>
    <xf numFmtId="171" fontId="2" fillId="0" borderId="22" xfId="0" applyNumberFormat="1" applyFont="1" applyFill="1" applyBorder="1"/>
    <xf numFmtId="0" fontId="2" fillId="0" borderId="10" xfId="0" applyFont="1" applyFill="1" applyBorder="1"/>
    <xf numFmtId="0" fontId="9" fillId="0" borderId="20" xfId="0" applyFont="1" applyFill="1" applyBorder="1"/>
    <xf numFmtId="0" fontId="9" fillId="0" borderId="23" xfId="0" applyFont="1" applyFill="1" applyBorder="1"/>
    <xf numFmtId="0" fontId="2" fillId="0" borderId="23" xfId="0" applyFont="1" applyFill="1" applyBorder="1"/>
    <xf numFmtId="164" fontId="2" fillId="0" borderId="23" xfId="1" applyNumberFormat="1" applyFont="1" applyFill="1" applyBorder="1" applyAlignment="1">
      <alignment horizontal="right" wrapText="1"/>
    </xf>
    <xf numFmtId="0" fontId="10" fillId="0" borderId="0" xfId="0" applyFont="1" applyFill="1" applyBorder="1"/>
    <xf numFmtId="164" fontId="10" fillId="0" borderId="0" xfId="1" applyNumberFormat="1" applyFont="1" applyFill="1" applyBorder="1" applyAlignment="1">
      <alignment horizontal="right"/>
    </xf>
    <xf numFmtId="43" fontId="2" fillId="0" borderId="12" xfId="1" applyNumberFormat="1" applyFont="1" applyFill="1" applyBorder="1" applyAlignment="1">
      <alignment horizontal="right"/>
    </xf>
    <xf numFmtId="0" fontId="2" fillId="0" borderId="35" xfId="0" applyFont="1" applyFill="1" applyBorder="1"/>
    <xf numFmtId="0" fontId="2" fillId="0" borderId="30" xfId="0" applyFont="1" applyFill="1" applyBorder="1"/>
    <xf numFmtId="164" fontId="2" fillId="0" borderId="30" xfId="1" applyNumberFormat="1" applyFont="1" applyFill="1" applyBorder="1" applyAlignment="1">
      <alignment horizontal="right"/>
    </xf>
    <xf numFmtId="0" fontId="9" fillId="0" borderId="0" xfId="0" applyFont="1" applyFill="1" applyBorder="1"/>
    <xf numFmtId="0" fontId="2" fillId="0" borderId="37" xfId="0" applyFont="1" applyFill="1" applyBorder="1"/>
    <xf numFmtId="0" fontId="2" fillId="0" borderId="32" xfId="0" applyFont="1" applyFill="1" applyBorder="1"/>
    <xf numFmtId="164" fontId="2" fillId="0" borderId="32" xfId="1" applyNumberFormat="1" applyFont="1" applyFill="1" applyBorder="1" applyAlignment="1">
      <alignment horizontal="right"/>
    </xf>
    <xf numFmtId="43" fontId="2" fillId="0" borderId="34" xfId="1" applyNumberFormat="1" applyFont="1" applyFill="1" applyBorder="1" applyAlignment="1">
      <alignment horizontal="right"/>
    </xf>
    <xf numFmtId="0" fontId="10" fillId="0" borderId="20" xfId="0" applyFont="1" applyBorder="1"/>
    <xf numFmtId="0" fontId="10" fillId="0" borderId="23" xfId="0" applyFont="1" applyFill="1" applyBorder="1"/>
    <xf numFmtId="0" fontId="10" fillId="0" borderId="19" xfId="0" applyFont="1" applyBorder="1" applyAlignment="1">
      <alignment horizontal="right"/>
    </xf>
    <xf numFmtId="168" fontId="11" fillId="0" borderId="9" xfId="1" applyNumberFormat="1" applyFont="1" applyBorder="1" applyAlignment="1">
      <alignment horizontal="right"/>
    </xf>
    <xf numFmtId="168" fontId="12" fillId="8" borderId="69" xfId="4" applyNumberFormat="1" applyFont="1" applyFill="1" applyBorder="1"/>
    <xf numFmtId="168" fontId="12" fillId="8" borderId="70" xfId="4" applyNumberFormat="1" applyFont="1" applyFill="1" applyBorder="1"/>
    <xf numFmtId="168" fontId="12" fillId="8" borderId="69" xfId="4" applyNumberFormat="1" applyFont="1" applyFill="1" applyBorder="1" applyAlignment="1">
      <alignment horizontal="right"/>
    </xf>
    <xf numFmtId="168" fontId="12" fillId="8" borderId="70" xfId="4" applyNumberFormat="1" applyFont="1" applyFill="1" applyBorder="1" applyAlignment="1">
      <alignment horizontal="right"/>
    </xf>
    <xf numFmtId="168" fontId="12" fillId="9" borderId="69" xfId="4" applyNumberFormat="1" applyFont="1" applyFill="1" applyBorder="1" applyAlignment="1">
      <alignment horizontal="right"/>
    </xf>
    <xf numFmtId="168" fontId="12" fillId="9" borderId="41" xfId="4" applyNumberFormat="1" applyFont="1" applyFill="1" applyBorder="1" applyAlignment="1">
      <alignment horizontal="right"/>
    </xf>
    <xf numFmtId="0" fontId="14" fillId="10" borderId="3" xfId="4" applyFont="1" applyFill="1" applyBorder="1" applyAlignment="1">
      <alignment horizontal="center"/>
    </xf>
    <xf numFmtId="0" fontId="14" fillId="10" borderId="2" xfId="4" applyFont="1" applyFill="1" applyBorder="1" applyAlignment="1">
      <alignment horizontal="center"/>
    </xf>
    <xf numFmtId="0" fontId="12" fillId="10" borderId="67" xfId="4" applyFont="1" applyFill="1" applyBorder="1"/>
    <xf numFmtId="0" fontId="12" fillId="10" borderId="40" xfId="4" applyFont="1" applyFill="1" applyBorder="1"/>
    <xf numFmtId="168" fontId="12" fillId="10" borderId="69" xfId="4" applyNumberFormat="1" applyFont="1" applyFill="1" applyBorder="1"/>
    <xf numFmtId="168" fontId="12" fillId="10" borderId="41" xfId="4" applyNumberFormat="1" applyFont="1" applyFill="1" applyBorder="1"/>
    <xf numFmtId="168" fontId="14" fillId="10" borderId="3" xfId="4" applyNumberFormat="1" applyFont="1" applyFill="1" applyBorder="1" applyAlignment="1">
      <alignment horizontal="right"/>
    </xf>
    <xf numFmtId="168" fontId="14" fillId="10" borderId="2" xfId="4" applyNumberFormat="1" applyFont="1" applyFill="1" applyBorder="1" applyAlignment="1">
      <alignment horizontal="right"/>
    </xf>
    <xf numFmtId="0" fontId="12" fillId="10" borderId="65" xfId="4" applyFont="1" applyFill="1" applyBorder="1"/>
    <xf numFmtId="0" fontId="12" fillId="10" borderId="42" xfId="4" applyFont="1" applyFill="1" applyBorder="1"/>
    <xf numFmtId="168" fontId="12" fillId="10" borderId="69" xfId="4" applyNumberFormat="1" applyFont="1" applyFill="1" applyBorder="1" applyAlignment="1">
      <alignment horizontal="right"/>
    </xf>
    <xf numFmtId="168" fontId="12" fillId="10" borderId="41" xfId="4" applyNumberFormat="1" applyFont="1" applyFill="1" applyBorder="1" applyAlignment="1">
      <alignment horizontal="right"/>
    </xf>
    <xf numFmtId="168" fontId="12" fillId="10" borderId="70" xfId="4" applyNumberFormat="1" applyFont="1" applyFill="1" applyBorder="1" applyAlignment="1">
      <alignment horizontal="right"/>
    </xf>
    <xf numFmtId="0" fontId="12" fillId="10" borderId="69" xfId="4" applyFont="1" applyFill="1" applyBorder="1"/>
    <xf numFmtId="0" fontId="12" fillId="10" borderId="41" xfId="4" applyFont="1" applyFill="1" applyBorder="1"/>
    <xf numFmtId="0" fontId="12" fillId="10" borderId="72" xfId="4" applyFont="1" applyFill="1" applyBorder="1" applyAlignment="1">
      <alignment horizontal="right"/>
    </xf>
    <xf numFmtId="0" fontId="12" fillId="10" borderId="30" xfId="4" applyFont="1" applyFill="1" applyBorder="1" applyAlignment="1">
      <alignment horizontal="right"/>
    </xf>
    <xf numFmtId="0" fontId="12" fillId="10" borderId="3" xfId="4" applyFont="1" applyFill="1" applyBorder="1" applyAlignment="1">
      <alignment horizontal="right"/>
    </xf>
    <xf numFmtId="0" fontId="12" fillId="10" borderId="2" xfId="4" applyFont="1" applyFill="1" applyBorder="1" applyAlignment="1">
      <alignment horizontal="right"/>
    </xf>
    <xf numFmtId="0" fontId="12" fillId="10" borderId="75" xfId="4" applyFont="1" applyFill="1" applyBorder="1"/>
    <xf numFmtId="0" fontId="12" fillId="10" borderId="43" xfId="4" applyFont="1" applyFill="1" applyBorder="1"/>
    <xf numFmtId="164" fontId="12" fillId="10" borderId="69" xfId="1" applyNumberFormat="1" applyFont="1" applyFill="1" applyBorder="1"/>
    <xf numFmtId="164" fontId="12" fillId="10" borderId="41" xfId="1" applyNumberFormat="1" applyFont="1" applyFill="1" applyBorder="1"/>
    <xf numFmtId="164" fontId="14" fillId="10" borderId="81" xfId="1" applyNumberFormat="1" applyFont="1" applyFill="1" applyBorder="1"/>
    <xf numFmtId="164" fontId="14" fillId="10" borderId="62" xfId="1" applyNumberFormat="1" applyFont="1" applyFill="1" applyBorder="1"/>
    <xf numFmtId="0" fontId="2" fillId="0" borderId="88" xfId="0" applyFont="1" applyFill="1" applyBorder="1"/>
    <xf numFmtId="0" fontId="2" fillId="0" borderId="89" xfId="0" applyFont="1" applyFill="1" applyBorder="1"/>
    <xf numFmtId="164" fontId="2" fillId="0" borderId="90" xfId="1" applyNumberFormat="1" applyFont="1" applyFill="1" applyBorder="1" applyAlignment="1"/>
    <xf numFmtId="0" fontId="2" fillId="5" borderId="23" xfId="0" applyFont="1" applyFill="1" applyBorder="1"/>
    <xf numFmtId="0" fontId="2" fillId="5" borderId="19" xfId="0" applyFont="1" applyFill="1" applyBorder="1"/>
    <xf numFmtId="0" fontId="17" fillId="11" borderId="23" xfId="4" applyFont="1" applyFill="1" applyBorder="1" applyAlignment="1">
      <alignment vertical="center"/>
    </xf>
    <xf numFmtId="0" fontId="18" fillId="11" borderId="23" xfId="4" applyFont="1" applyFill="1" applyBorder="1" applyAlignment="1">
      <alignment vertical="center"/>
    </xf>
    <xf numFmtId="0" fontId="12" fillId="11" borderId="23" xfId="4" applyFont="1" applyFill="1" applyBorder="1" applyAlignment="1">
      <alignment vertical="center"/>
    </xf>
    <xf numFmtId="0" fontId="19" fillId="11" borderId="23" xfId="4" applyFont="1" applyFill="1" applyBorder="1" applyAlignment="1">
      <alignment vertical="center"/>
    </xf>
    <xf numFmtId="0" fontId="20" fillId="11" borderId="23" xfId="4" applyFont="1" applyFill="1" applyBorder="1" applyAlignment="1">
      <alignment vertical="center"/>
    </xf>
    <xf numFmtId="0" fontId="21" fillId="11" borderId="23" xfId="4" applyFont="1" applyFill="1" applyBorder="1" applyAlignment="1">
      <alignment vertical="center"/>
    </xf>
    <xf numFmtId="0" fontId="21" fillId="11" borderId="19" xfId="4" applyFont="1" applyFill="1" applyBorder="1" applyAlignment="1">
      <alignment vertical="center"/>
    </xf>
    <xf numFmtId="0" fontId="3" fillId="11" borderId="17" xfId="0" applyFont="1" applyFill="1" applyBorder="1" applyAlignment="1">
      <alignment horizontal="left"/>
    </xf>
    <xf numFmtId="0" fontId="3" fillId="11" borderId="16" xfId="0" applyFont="1" applyFill="1" applyBorder="1" applyAlignment="1">
      <alignment horizontal="left"/>
    </xf>
    <xf numFmtId="3" fontId="2" fillId="0" borderId="0" xfId="0" applyNumberFormat="1" applyFont="1" applyBorder="1"/>
    <xf numFmtId="0" fontId="10" fillId="0" borderId="20" xfId="0" applyFont="1" applyFill="1" applyBorder="1"/>
    <xf numFmtId="0" fontId="10" fillId="0" borderId="19" xfId="0" applyFont="1" applyFill="1" applyBorder="1" applyAlignment="1">
      <alignment horizontal="right"/>
    </xf>
    <xf numFmtId="0" fontId="2" fillId="0" borderId="0" xfId="0" applyFont="1" applyFill="1" applyAlignment="1">
      <alignment vertical="center" wrapText="1"/>
    </xf>
    <xf numFmtId="0" fontId="10" fillId="0" borderId="20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center"/>
    </xf>
    <xf numFmtId="164" fontId="10" fillId="0" borderId="19" xfId="1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/>
    </xf>
    <xf numFmtId="6" fontId="14" fillId="0" borderId="64" xfId="4" applyNumberFormat="1" applyFont="1" applyBorder="1" applyAlignment="1">
      <alignment horizontal="right"/>
    </xf>
    <xf numFmtId="0" fontId="6" fillId="0" borderId="13" xfId="0" applyFont="1" applyFill="1" applyBorder="1"/>
    <xf numFmtId="164" fontId="2" fillId="0" borderId="0" xfId="1" applyNumberFormat="1" applyFont="1" applyFill="1" applyBorder="1"/>
    <xf numFmtId="164" fontId="2" fillId="0" borderId="12" xfId="1" applyNumberFormat="1" applyFont="1" applyFill="1" applyBorder="1"/>
    <xf numFmtId="44" fontId="2" fillId="0" borderId="13" xfId="0" applyNumberFormat="1" applyFont="1" applyFill="1" applyBorder="1" applyAlignment="1">
      <alignment horizontal="left" indent="1"/>
    </xf>
    <xf numFmtId="168" fontId="2" fillId="0" borderId="30" xfId="0" applyNumberFormat="1" applyFont="1" applyFill="1" applyBorder="1"/>
    <xf numFmtId="168" fontId="2" fillId="0" borderId="14" xfId="0" applyNumberFormat="1" applyFont="1" applyFill="1" applyBorder="1"/>
    <xf numFmtId="0" fontId="2" fillId="0" borderId="9" xfId="0" applyFont="1" applyFill="1" applyBorder="1"/>
    <xf numFmtId="0" fontId="2" fillId="0" borderId="20" xfId="0" applyFont="1" applyFill="1" applyBorder="1"/>
    <xf numFmtId="0" fontId="2" fillId="0" borderId="19" xfId="0" applyFont="1" applyFill="1" applyBorder="1"/>
    <xf numFmtId="168" fontId="2" fillId="0" borderId="0" xfId="0" applyNumberFormat="1" applyFont="1" applyFill="1"/>
    <xf numFmtId="168" fontId="2" fillId="0" borderId="36" xfId="0" applyNumberFormat="1" applyFont="1" applyFill="1" applyBorder="1"/>
    <xf numFmtId="0" fontId="12" fillId="0" borderId="41" xfId="4" applyFont="1" applyFill="1" applyBorder="1" applyAlignment="1">
      <alignment horizontal="center"/>
    </xf>
    <xf numFmtId="0" fontId="26" fillId="0" borderId="13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13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2" fillId="0" borderId="91" xfId="0" applyFont="1" applyFill="1" applyBorder="1"/>
    <xf numFmtId="43" fontId="2" fillId="0" borderId="29" xfId="1" applyFont="1" applyFill="1" applyBorder="1" applyAlignment="1"/>
    <xf numFmtId="0" fontId="9" fillId="0" borderId="11" xfId="0" applyFont="1" applyFill="1" applyBorder="1" applyAlignment="1"/>
    <xf numFmtId="0" fontId="2" fillId="0" borderId="26" xfId="0" applyFont="1" applyFill="1" applyBorder="1"/>
    <xf numFmtId="43" fontId="2" fillId="0" borderId="26" xfId="1" applyFont="1" applyFill="1" applyBorder="1" applyAlignment="1"/>
    <xf numFmtId="0" fontId="2" fillId="0" borderId="26" xfId="0" applyFont="1" applyFill="1" applyBorder="1" applyAlignment="1">
      <alignment horizontal="right"/>
    </xf>
    <xf numFmtId="0" fontId="26" fillId="0" borderId="26" xfId="0" applyFont="1" applyFill="1" applyBorder="1" applyAlignment="1">
      <alignment wrapText="1"/>
    </xf>
    <xf numFmtId="0" fontId="2" fillId="0" borderId="27" xfId="0" applyFont="1" applyFill="1" applyBorder="1"/>
    <xf numFmtId="0" fontId="2" fillId="0" borderId="13" xfId="0" applyFont="1" applyFill="1" applyBorder="1" applyAlignment="1">
      <alignment vertical="center" wrapText="1"/>
    </xf>
    <xf numFmtId="0" fontId="4" fillId="0" borderId="13" xfId="0" applyFont="1" applyFill="1" applyBorder="1"/>
    <xf numFmtId="168" fontId="12" fillId="10" borderId="44" xfId="4" applyNumberFormat="1" applyFont="1" applyFill="1" applyBorder="1"/>
    <xf numFmtId="168" fontId="12" fillId="10" borderId="0" xfId="4" applyNumberFormat="1" applyFont="1" applyFill="1" applyBorder="1"/>
    <xf numFmtId="168" fontId="14" fillId="4" borderId="2" xfId="4" applyNumberFormat="1" applyFont="1" applyFill="1" applyBorder="1" applyAlignment="1">
      <alignment horizontal="right"/>
    </xf>
    <xf numFmtId="1" fontId="12" fillId="10" borderId="41" xfId="4" applyNumberFormat="1" applyFont="1" applyFill="1" applyBorder="1"/>
    <xf numFmtId="1" fontId="12" fillId="0" borderId="53" xfId="4" applyNumberFormat="1" applyFont="1" applyFill="1" applyBorder="1"/>
    <xf numFmtId="0" fontId="17" fillId="11" borderId="84" xfId="4" applyFont="1" applyFill="1" applyBorder="1" applyAlignment="1">
      <alignment horizontal="right" vertical="center"/>
    </xf>
    <xf numFmtId="0" fontId="14" fillId="0" borderId="0" xfId="4" applyFont="1" applyFill="1" applyBorder="1" applyAlignment="1"/>
    <xf numFmtId="0" fontId="14" fillId="0" borderId="0" xfId="4" applyFont="1" applyBorder="1" applyAlignment="1">
      <alignment horizontal="center"/>
    </xf>
    <xf numFmtId="0" fontId="12" fillId="0" borderId="0" xfId="4" applyFont="1" applyFill="1" applyBorder="1"/>
    <xf numFmtId="0" fontId="12" fillId="0" borderId="20" xfId="4" applyFont="1" applyBorder="1"/>
    <xf numFmtId="0" fontId="14" fillId="0" borderId="19" xfId="4" applyFont="1" applyFill="1" applyBorder="1" applyAlignment="1">
      <alignment horizontal="center"/>
    </xf>
    <xf numFmtId="0" fontId="14" fillId="0" borderId="13" xfId="4" applyFont="1" applyBorder="1"/>
    <xf numFmtId="0" fontId="12" fillId="0" borderId="12" xfId="4" applyFont="1" applyBorder="1"/>
    <xf numFmtId="0" fontId="12" fillId="0" borderId="25" xfId="4" applyFont="1" applyBorder="1" applyAlignment="1">
      <alignment horizontal="center"/>
    </xf>
    <xf numFmtId="0" fontId="14" fillId="0" borderId="26" xfId="4" applyFont="1" applyBorder="1" applyAlignment="1">
      <alignment horizontal="center"/>
    </xf>
    <xf numFmtId="0" fontId="14" fillId="10" borderId="26" xfId="4" applyFont="1" applyFill="1" applyBorder="1" applyAlignment="1">
      <alignment horizontal="center"/>
    </xf>
    <xf numFmtId="0" fontId="14" fillId="9" borderId="26" xfId="4" applyFont="1" applyFill="1" applyBorder="1" applyAlignment="1">
      <alignment horizontal="center"/>
    </xf>
    <xf numFmtId="0" fontId="14" fillId="8" borderId="26" xfId="4" applyFont="1" applyFill="1" applyBorder="1" applyAlignment="1">
      <alignment horizontal="center"/>
    </xf>
    <xf numFmtId="0" fontId="14" fillId="0" borderId="27" xfId="4" applyFont="1" applyBorder="1" applyAlignment="1">
      <alignment horizontal="center"/>
    </xf>
    <xf numFmtId="0" fontId="14" fillId="0" borderId="57" xfId="4" applyFont="1" applyFill="1" applyBorder="1" applyAlignment="1"/>
    <xf numFmtId="0" fontId="14" fillId="0" borderId="43" xfId="4" applyFont="1" applyFill="1" applyBorder="1" applyAlignment="1"/>
    <xf numFmtId="168" fontId="14" fillId="0" borderId="77" xfId="4" applyNumberFormat="1" applyFont="1" applyFill="1" applyBorder="1" applyAlignment="1">
      <alignment horizontal="right"/>
    </xf>
    <xf numFmtId="0" fontId="12" fillId="0" borderId="56" xfId="4" applyFont="1" applyFill="1" applyBorder="1" applyAlignment="1"/>
    <xf numFmtId="0" fontId="12" fillId="0" borderId="41" xfId="4" applyFont="1" applyFill="1" applyBorder="1" applyAlignment="1"/>
    <xf numFmtId="171" fontId="12" fillId="0" borderId="41" xfId="6" applyNumberFormat="1" applyFont="1" applyFill="1" applyBorder="1" applyAlignment="1"/>
    <xf numFmtId="0" fontId="12" fillId="0" borderId="53" xfId="4" applyFont="1" applyFill="1" applyBorder="1" applyAlignment="1"/>
    <xf numFmtId="0" fontId="3" fillId="11" borderId="27" xfId="0" applyFont="1" applyFill="1" applyBorder="1" applyAlignment="1"/>
    <xf numFmtId="169" fontId="12" fillId="0" borderId="53" xfId="2" applyNumberFormat="1" applyFont="1" applyFill="1" applyBorder="1" applyAlignment="1"/>
    <xf numFmtId="10" fontId="12" fillId="0" borderId="53" xfId="2" applyNumberFormat="1" applyFont="1" applyFill="1" applyBorder="1" applyAlignment="1"/>
    <xf numFmtId="0" fontId="12" fillId="0" borderId="0" xfId="4" applyFont="1" applyFill="1" applyBorder="1" applyAlignment="1"/>
    <xf numFmtId="0" fontId="12" fillId="0" borderId="57" xfId="4" applyFont="1" applyFill="1" applyBorder="1" applyAlignment="1">
      <alignment horizontal="left"/>
    </xf>
    <xf numFmtId="0" fontId="12" fillId="0" borderId="43" xfId="4" applyFont="1" applyFill="1" applyBorder="1" applyAlignment="1"/>
    <xf numFmtId="0" fontId="12" fillId="0" borderId="2" xfId="4" applyFont="1" applyFill="1" applyBorder="1" applyAlignment="1">
      <alignment horizontal="right"/>
    </xf>
    <xf numFmtId="0" fontId="14" fillId="0" borderId="11" xfId="4" applyFont="1" applyBorder="1" applyAlignment="1"/>
    <xf numFmtId="0" fontId="12" fillId="0" borderId="10" xfId="4" applyFont="1" applyBorder="1" applyAlignment="1"/>
    <xf numFmtId="171" fontId="12" fillId="0" borderId="10" xfId="6" applyNumberFormat="1" applyFont="1" applyBorder="1" applyAlignment="1"/>
    <xf numFmtId="169" fontId="12" fillId="0" borderId="9" xfId="4" applyNumberFormat="1" applyFont="1" applyBorder="1" applyAlignment="1"/>
    <xf numFmtId="0" fontId="2" fillId="7" borderId="0" xfId="0" applyFont="1" applyFill="1" applyBorder="1"/>
    <xf numFmtId="0" fontId="10" fillId="0" borderId="23" xfId="0" applyFont="1" applyBorder="1" applyAlignment="1">
      <alignment horizontal="right"/>
    </xf>
    <xf numFmtId="0" fontId="3" fillId="12" borderId="16" xfId="0" applyFont="1" applyFill="1" applyBorder="1" applyAlignment="1"/>
    <xf numFmtId="0" fontId="3" fillId="12" borderId="26" xfId="0" applyFont="1" applyFill="1" applyBorder="1" applyAlignment="1">
      <alignment horizontal="left"/>
    </xf>
    <xf numFmtId="0" fontId="3" fillId="12" borderId="27" xfId="0" applyFont="1" applyFill="1" applyBorder="1" applyAlignment="1">
      <alignment horizontal="left"/>
    </xf>
    <xf numFmtId="0" fontId="12" fillId="0" borderId="17" xfId="4" applyFont="1" applyFill="1" applyBorder="1" applyAlignment="1">
      <alignment wrapText="1"/>
    </xf>
    <xf numFmtId="0" fontId="14" fillId="0" borderId="17" xfId="4" applyFont="1" applyFill="1" applyBorder="1" applyAlignment="1">
      <alignment horizontal="center" wrapText="1"/>
    </xf>
    <xf numFmtId="0" fontId="14" fillId="0" borderId="16" xfId="4" applyFont="1" applyFill="1" applyBorder="1" applyAlignment="1">
      <alignment horizontal="center" wrapText="1"/>
    </xf>
    <xf numFmtId="0" fontId="14" fillId="0" borderId="59" xfId="4" applyFont="1" applyFill="1" applyBorder="1" applyAlignment="1">
      <alignment vertical="center"/>
    </xf>
    <xf numFmtId="0" fontId="12" fillId="0" borderId="42" xfId="4" applyFont="1" applyFill="1" applyBorder="1" applyAlignment="1"/>
    <xf numFmtId="171" fontId="12" fillId="0" borderId="42" xfId="6" applyNumberFormat="1" applyFont="1" applyFill="1" applyBorder="1"/>
    <xf numFmtId="0" fontId="12" fillId="0" borderId="49" xfId="4" applyFont="1" applyFill="1" applyBorder="1" applyAlignment="1">
      <alignment horizontal="right"/>
    </xf>
    <xf numFmtId="171" fontId="12" fillId="0" borderId="40" xfId="6" applyNumberFormat="1" applyFont="1" applyFill="1" applyBorder="1" applyAlignment="1"/>
    <xf numFmtId="0" fontId="12" fillId="0" borderId="56" xfId="4" applyFont="1" applyFill="1" applyBorder="1" applyAlignment="1">
      <alignment horizontal="left" vertical="center"/>
    </xf>
    <xf numFmtId="171" fontId="12" fillId="0" borderId="40" xfId="6" applyNumberFormat="1" applyFont="1" applyFill="1" applyBorder="1" applyAlignment="1">
      <alignment horizontal="right"/>
    </xf>
    <xf numFmtId="0" fontId="12" fillId="0" borderId="56" xfId="4" applyFont="1" applyFill="1" applyBorder="1" applyAlignment="1">
      <alignment vertical="center"/>
    </xf>
    <xf numFmtId="0" fontId="12" fillId="0" borderId="24" xfId="4" applyFont="1" applyFill="1" applyBorder="1" applyAlignment="1">
      <alignment vertical="center"/>
    </xf>
    <xf numFmtId="0" fontId="12" fillId="0" borderId="2" xfId="4" applyFont="1" applyFill="1" applyBorder="1" applyAlignment="1"/>
    <xf numFmtId="171" fontId="12" fillId="0" borderId="2" xfId="6" applyNumberFormat="1" applyFont="1" applyFill="1" applyBorder="1" applyAlignment="1"/>
    <xf numFmtId="0" fontId="12" fillId="0" borderId="61" xfId="4" applyFont="1" applyFill="1" applyBorder="1" applyAlignment="1"/>
    <xf numFmtId="0" fontId="14" fillId="0" borderId="59" xfId="4" applyFont="1" applyFill="1" applyBorder="1" applyAlignment="1"/>
    <xf numFmtId="171" fontId="12" fillId="0" borderId="42" xfId="6" applyNumberFormat="1" applyFont="1" applyFill="1" applyBorder="1" applyAlignment="1"/>
    <xf numFmtId="0" fontId="12" fillId="0" borderId="51" xfId="4" applyFont="1" applyFill="1" applyBorder="1" applyAlignment="1"/>
    <xf numFmtId="171" fontId="12" fillId="0" borderId="44" xfId="6" applyNumberFormat="1" applyFont="1" applyFill="1" applyBorder="1" applyAlignment="1"/>
    <xf numFmtId="0" fontId="12" fillId="0" borderId="49" xfId="4" applyFont="1" applyFill="1" applyBorder="1" applyAlignment="1"/>
    <xf numFmtId="168" fontId="12" fillId="0" borderId="79" xfId="4" applyNumberFormat="1" applyFont="1" applyFill="1" applyBorder="1"/>
    <xf numFmtId="0" fontId="36" fillId="11" borderId="20" xfId="4" applyFont="1" applyFill="1" applyBorder="1" applyAlignment="1">
      <alignment vertical="center"/>
    </xf>
    <xf numFmtId="0" fontId="36" fillId="11" borderId="23" xfId="4" applyFont="1" applyFill="1" applyBorder="1" applyAlignment="1">
      <alignment vertical="center"/>
    </xf>
    <xf numFmtId="0" fontId="36" fillId="11" borderId="19" xfId="4" applyFont="1" applyFill="1" applyBorder="1" applyAlignment="1">
      <alignment vertical="center"/>
    </xf>
    <xf numFmtId="0" fontId="35" fillId="11" borderId="18" xfId="0" applyFont="1" applyFill="1" applyBorder="1" applyAlignment="1">
      <alignment horizontal="left"/>
    </xf>
    <xf numFmtId="0" fontId="35" fillId="11" borderId="25" xfId="0" applyFont="1" applyFill="1" applyBorder="1" applyAlignment="1"/>
    <xf numFmtId="0" fontId="35" fillId="12" borderId="18" xfId="0" applyFont="1" applyFill="1" applyBorder="1" applyAlignment="1"/>
    <xf numFmtId="0" fontId="35" fillId="12" borderId="25" xfId="0" applyFont="1" applyFill="1" applyBorder="1" applyAlignment="1">
      <alignment horizontal="left"/>
    </xf>
    <xf numFmtId="0" fontId="37" fillId="11" borderId="48" xfId="4" applyFont="1" applyFill="1" applyBorder="1" applyAlignment="1">
      <alignment horizontal="right" vertical="center"/>
    </xf>
    <xf numFmtId="0" fontId="37" fillId="11" borderId="16" xfId="4" applyFont="1" applyFill="1" applyBorder="1" applyAlignment="1">
      <alignment horizontal="left" vertical="center"/>
    </xf>
    <xf numFmtId="164" fontId="2" fillId="0" borderId="38" xfId="1" applyNumberFormat="1" applyFont="1" applyFill="1" applyBorder="1" applyAlignment="1"/>
    <xf numFmtId="0" fontId="35" fillId="11" borderId="18" xfId="0" applyFont="1" applyFill="1" applyBorder="1" applyAlignment="1"/>
    <xf numFmtId="0" fontId="35" fillId="11" borderId="17" xfId="0" applyFont="1" applyFill="1" applyBorder="1" applyAlignment="1"/>
    <xf numFmtId="0" fontId="35" fillId="11" borderId="16" xfId="0" applyFont="1" applyFill="1" applyBorder="1" applyAlignment="1"/>
    <xf numFmtId="0" fontId="17" fillId="0" borderId="23" xfId="4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64" fontId="38" fillId="0" borderId="0" xfId="1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right"/>
    </xf>
    <xf numFmtId="44" fontId="2" fillId="0" borderId="21" xfId="6" applyFont="1" applyFill="1" applyBorder="1" applyAlignment="1">
      <alignment horizontal="right"/>
    </xf>
    <xf numFmtId="171" fontId="2" fillId="0" borderId="12" xfId="6" applyNumberFormat="1" applyFont="1" applyBorder="1"/>
    <xf numFmtId="171" fontId="2" fillId="0" borderId="9" xfId="0" applyNumberFormat="1" applyFont="1" applyBorder="1"/>
    <xf numFmtId="0" fontId="2" fillId="0" borderId="11" xfId="0" applyFont="1" applyBorder="1" applyAlignment="1">
      <alignment horizontal="left" indent="1"/>
    </xf>
    <xf numFmtId="0" fontId="9" fillId="0" borderId="11" xfId="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/>
    <xf numFmtId="171" fontId="9" fillId="0" borderId="10" xfId="0" applyNumberFormat="1" applyFont="1" applyFill="1" applyBorder="1"/>
    <xf numFmtId="171" fontId="9" fillId="0" borderId="9" xfId="0" applyNumberFormat="1" applyFont="1" applyFill="1" applyBorder="1"/>
    <xf numFmtId="0" fontId="9" fillId="0" borderId="11" xfId="0" applyFont="1" applyBorder="1"/>
    <xf numFmtId="0" fontId="9" fillId="0" borderId="10" xfId="0" applyFont="1" applyBorder="1" applyAlignment="1">
      <alignment horizontal="center"/>
    </xf>
    <xf numFmtId="164" fontId="9" fillId="0" borderId="10" xfId="0" applyNumberFormat="1" applyFont="1" applyBorder="1"/>
    <xf numFmtId="0" fontId="9" fillId="0" borderId="10" xfId="0" applyFont="1" applyBorder="1"/>
    <xf numFmtId="168" fontId="9" fillId="0" borderId="9" xfId="0" applyNumberFormat="1" applyFont="1" applyBorder="1"/>
    <xf numFmtId="0" fontId="9" fillId="0" borderId="0" xfId="0" applyFont="1"/>
    <xf numFmtId="168" fontId="9" fillId="0" borderId="0" xfId="0" applyNumberFormat="1" applyFont="1"/>
    <xf numFmtId="10" fontId="9" fillId="0" borderId="0" xfId="0" applyNumberFormat="1" applyFont="1"/>
    <xf numFmtId="10" fontId="9" fillId="0" borderId="0" xfId="0" applyNumberFormat="1" applyFont="1" applyFill="1"/>
    <xf numFmtId="8" fontId="9" fillId="0" borderId="0" xfId="0" applyNumberFormat="1" applyFont="1"/>
    <xf numFmtId="0" fontId="39" fillId="11" borderId="25" xfId="0" applyFont="1" applyFill="1" applyBorder="1" applyAlignment="1">
      <alignment horizontal="center" vertical="center" wrapText="1"/>
    </xf>
    <xf numFmtId="168" fontId="12" fillId="0" borderId="21" xfId="2" applyNumberFormat="1" applyFont="1" applyFill="1" applyBorder="1"/>
    <xf numFmtId="0" fontId="2" fillId="0" borderId="0" xfId="2" applyNumberFormat="1" applyFont="1" applyFill="1" applyAlignment="1">
      <alignment horizontal="right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/>
    <xf numFmtId="164" fontId="2" fillId="0" borderId="0" xfId="2" applyNumberFormat="1" applyFont="1" applyFill="1" applyAlignment="1">
      <alignment horizontal="right"/>
    </xf>
    <xf numFmtId="0" fontId="2" fillId="0" borderId="13" xfId="0" applyFont="1" applyFill="1" applyBorder="1" applyAlignment="1">
      <alignment horizontal="right"/>
    </xf>
    <xf numFmtId="9" fontId="2" fillId="0" borderId="0" xfId="2" applyFont="1" applyFill="1" applyBorder="1" applyAlignment="1">
      <alignment horizontal="right"/>
    </xf>
    <xf numFmtId="164" fontId="2" fillId="0" borderId="0" xfId="2" applyNumberFormat="1" applyFont="1" applyFill="1" applyBorder="1" applyAlignment="1">
      <alignment horizontal="right"/>
    </xf>
    <xf numFmtId="9" fontId="2" fillId="0" borderId="0" xfId="0" applyNumberFormat="1" applyFont="1" applyFill="1" applyBorder="1"/>
    <xf numFmtId="0" fontId="2" fillId="0" borderId="0" xfId="2" applyNumberFormat="1" applyFont="1" applyFill="1" applyBorder="1" applyAlignment="1">
      <alignment horizontal="right"/>
    </xf>
    <xf numFmtId="171" fontId="2" fillId="0" borderId="0" xfId="0" applyNumberFormat="1" applyFont="1" applyBorder="1"/>
    <xf numFmtId="0" fontId="12" fillId="0" borderId="58" xfId="4" applyFont="1" applyFill="1" applyBorder="1" applyAlignment="1"/>
    <xf numFmtId="0" fontId="14" fillId="0" borderId="92" xfId="4" applyFont="1" applyFill="1" applyBorder="1" applyAlignment="1">
      <alignment vertical="center"/>
    </xf>
    <xf numFmtId="171" fontId="12" fillId="0" borderId="42" xfId="4" applyNumberFormat="1" applyFont="1" applyFill="1" applyBorder="1" applyAlignment="1">
      <alignment horizontal="right"/>
    </xf>
    <xf numFmtId="171" fontId="12" fillId="0" borderId="41" xfId="4" applyNumberFormat="1" applyFont="1" applyFill="1" applyBorder="1" applyAlignment="1">
      <alignment horizontal="right"/>
    </xf>
    <xf numFmtId="171" fontId="12" fillId="0" borderId="2" xfId="4" applyNumberFormat="1" applyFont="1" applyFill="1" applyBorder="1" applyAlignment="1">
      <alignment horizontal="right"/>
    </xf>
    <xf numFmtId="0" fontId="14" fillId="0" borderId="23" xfId="4" applyFont="1" applyFill="1" applyBorder="1" applyAlignment="1"/>
    <xf numFmtId="0" fontId="12" fillId="0" borderId="56" xfId="4" applyFont="1" applyBorder="1" applyAlignment="1">
      <alignment horizontal="right"/>
    </xf>
    <xf numFmtId="0" fontId="12" fillId="0" borderId="41" xfId="4" applyFont="1" applyBorder="1" applyAlignment="1">
      <alignment horizontal="right"/>
    </xf>
    <xf numFmtId="0" fontId="14" fillId="10" borderId="1" xfId="4" applyFont="1" applyFill="1" applyBorder="1" applyAlignment="1">
      <alignment horizontal="center"/>
    </xf>
    <xf numFmtId="0" fontId="12" fillId="10" borderId="68" xfId="4" applyFont="1" applyFill="1" applyBorder="1"/>
    <xf numFmtId="168" fontId="12" fillId="10" borderId="70" xfId="4" applyNumberFormat="1" applyFont="1" applyFill="1" applyBorder="1"/>
    <xf numFmtId="168" fontId="12" fillId="10" borderId="74" xfId="4" applyNumberFormat="1" applyFont="1" applyFill="1" applyBorder="1"/>
    <xf numFmtId="168" fontId="12" fillId="10" borderId="4" xfId="4" applyNumberFormat="1" applyFont="1" applyFill="1" applyBorder="1"/>
    <xf numFmtId="168" fontId="14" fillId="10" borderId="1" xfId="4" applyNumberFormat="1" applyFont="1" applyFill="1" applyBorder="1" applyAlignment="1">
      <alignment horizontal="right"/>
    </xf>
    <xf numFmtId="0" fontId="12" fillId="10" borderId="66" xfId="4" applyFont="1" applyFill="1" applyBorder="1"/>
    <xf numFmtId="0" fontId="12" fillId="10" borderId="70" xfId="4" applyFont="1" applyFill="1" applyBorder="1"/>
    <xf numFmtId="0" fontId="12" fillId="10" borderId="45" xfId="4" applyFont="1" applyFill="1" applyBorder="1" applyAlignment="1">
      <alignment horizontal="right"/>
    </xf>
    <xf numFmtId="0" fontId="12" fillId="10" borderId="1" xfId="4" applyFont="1" applyFill="1" applyBorder="1" applyAlignment="1">
      <alignment horizontal="right"/>
    </xf>
    <xf numFmtId="0" fontId="12" fillId="0" borderId="26" xfId="3" applyFont="1" applyBorder="1"/>
    <xf numFmtId="168" fontId="12" fillId="0" borderId="78" xfId="4" applyNumberFormat="1" applyFont="1" applyBorder="1" applyAlignment="1">
      <alignment horizontal="right"/>
    </xf>
    <xf numFmtId="168" fontId="12" fillId="7" borderId="40" xfId="4" applyNumberFormat="1" applyFont="1" applyFill="1" applyBorder="1" applyAlignment="1">
      <alignment horizontal="right"/>
    </xf>
    <xf numFmtId="168" fontId="12" fillId="10" borderId="67" xfId="4" applyNumberFormat="1" applyFont="1" applyFill="1" applyBorder="1" applyAlignment="1">
      <alignment horizontal="right"/>
    </xf>
    <xf numFmtId="168" fontId="12" fillId="10" borderId="40" xfId="4" applyNumberFormat="1" applyFont="1" applyFill="1" applyBorder="1" applyAlignment="1">
      <alignment horizontal="right"/>
    </xf>
    <xf numFmtId="168" fontId="12" fillId="10" borderId="68" xfId="4" applyNumberFormat="1" applyFont="1" applyFill="1" applyBorder="1" applyAlignment="1">
      <alignment horizontal="right"/>
    </xf>
    <xf numFmtId="168" fontId="12" fillId="0" borderId="51" xfId="4" applyNumberFormat="1" applyFont="1" applyFill="1" applyBorder="1" applyAlignment="1">
      <alignment horizontal="right"/>
    </xf>
    <xf numFmtId="0" fontId="14" fillId="0" borderId="75" xfId="4" applyFont="1" applyBorder="1" applyAlignment="1">
      <alignment horizontal="center"/>
    </xf>
    <xf numFmtId="0" fontId="14" fillId="0" borderId="43" xfId="4" applyFont="1" applyBorder="1" applyAlignment="1">
      <alignment horizontal="center"/>
    </xf>
    <xf numFmtId="164" fontId="12" fillId="10" borderId="70" xfId="1" applyNumberFormat="1" applyFont="1" applyFill="1" applyBorder="1"/>
    <xf numFmtId="0" fontId="2" fillId="0" borderId="3" xfId="1" applyNumberFormat="1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2" fillId="0" borderId="12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center"/>
    </xf>
    <xf numFmtId="0" fontId="2" fillId="0" borderId="22" xfId="1" applyNumberFormat="1" applyFont="1" applyBorder="1" applyAlignment="1">
      <alignment horizontal="center"/>
    </xf>
    <xf numFmtId="0" fontId="2" fillId="0" borderId="21" xfId="1" applyNumberFormat="1" applyFont="1" applyBorder="1" applyAlignment="1">
      <alignment horizontal="center"/>
    </xf>
    <xf numFmtId="0" fontId="2" fillId="0" borderId="10" xfId="1" applyNumberFormat="1" applyFont="1" applyBorder="1" applyAlignment="1">
      <alignment horizontal="center"/>
    </xf>
    <xf numFmtId="0" fontId="2" fillId="0" borderId="9" xfId="1" applyNumberFormat="1" applyFont="1" applyBorder="1" applyAlignment="1">
      <alignment horizontal="center"/>
    </xf>
    <xf numFmtId="0" fontId="10" fillId="0" borderId="3" xfId="0" applyNumberFormat="1" applyFont="1" applyBorder="1" applyAlignment="1">
      <alignment horizontal="center"/>
    </xf>
    <xf numFmtId="0" fontId="10" fillId="0" borderId="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9" fillId="0" borderId="91" xfId="0" applyFont="1" applyBorder="1"/>
    <xf numFmtId="0" fontId="10" fillId="0" borderId="93" xfId="0" applyFont="1" applyBorder="1"/>
    <xf numFmtId="0" fontId="2" fillId="0" borderId="93" xfId="0" applyFont="1" applyBorder="1"/>
    <xf numFmtId="0" fontId="9" fillId="0" borderId="93" xfId="0" applyFont="1" applyBorder="1"/>
    <xf numFmtId="0" fontId="2" fillId="0" borderId="94" xfId="0" applyFont="1" applyBorder="1"/>
    <xf numFmtId="0" fontId="14" fillId="13" borderId="2" xfId="4" applyFont="1" applyFill="1" applyBorder="1" applyAlignment="1">
      <alignment horizontal="center"/>
    </xf>
    <xf numFmtId="0" fontId="14" fillId="13" borderId="43" xfId="4" applyFont="1" applyFill="1" applyBorder="1" applyAlignment="1">
      <alignment horizontal="center"/>
    </xf>
    <xf numFmtId="0" fontId="12" fillId="13" borderId="40" xfId="4" applyFont="1" applyFill="1" applyBorder="1"/>
    <xf numFmtId="0" fontId="12" fillId="13" borderId="42" xfId="4" applyFont="1" applyFill="1" applyBorder="1"/>
    <xf numFmtId="168" fontId="12" fillId="13" borderId="41" xfId="4" applyNumberFormat="1" applyFont="1" applyFill="1" applyBorder="1"/>
    <xf numFmtId="0" fontId="14" fillId="14" borderId="3" xfId="4" applyFont="1" applyFill="1" applyBorder="1" applyAlignment="1">
      <alignment horizontal="center"/>
    </xf>
    <xf numFmtId="0" fontId="14" fillId="14" borderId="1" xfId="4" applyFont="1" applyFill="1" applyBorder="1" applyAlignment="1">
      <alignment horizontal="center"/>
    </xf>
    <xf numFmtId="0" fontId="12" fillId="14" borderId="67" xfId="4" applyFont="1" applyFill="1" applyBorder="1"/>
    <xf numFmtId="0" fontId="12" fillId="14" borderId="68" xfId="4" applyFont="1" applyFill="1" applyBorder="1"/>
    <xf numFmtId="168" fontId="12" fillId="14" borderId="69" xfId="4" applyNumberFormat="1" applyFont="1" applyFill="1" applyBorder="1"/>
    <xf numFmtId="168" fontId="12" fillId="14" borderId="70" xfId="4" applyNumberFormat="1" applyFont="1" applyFill="1" applyBorder="1"/>
    <xf numFmtId="168" fontId="12" fillId="14" borderId="74" xfId="4" applyNumberFormat="1" applyFont="1" applyFill="1" applyBorder="1"/>
    <xf numFmtId="168" fontId="14" fillId="14" borderId="1" xfId="4" applyNumberFormat="1" applyFont="1" applyFill="1" applyBorder="1" applyAlignment="1">
      <alignment horizontal="right"/>
    </xf>
    <xf numFmtId="168" fontId="14" fillId="14" borderId="3" xfId="4" applyNumberFormat="1" applyFont="1" applyFill="1" applyBorder="1" applyAlignment="1">
      <alignment horizontal="right"/>
    </xf>
    <xf numFmtId="168" fontId="12" fillId="14" borderId="0" xfId="4" applyNumberFormat="1" applyFont="1" applyFill="1" applyBorder="1"/>
    <xf numFmtId="168" fontId="12" fillId="14" borderId="73" xfId="4" applyNumberFormat="1" applyFont="1" applyFill="1" applyBorder="1"/>
    <xf numFmtId="0" fontId="12" fillId="14" borderId="65" xfId="4" applyFont="1" applyFill="1" applyBorder="1"/>
    <xf numFmtId="0" fontId="12" fillId="14" borderId="66" xfId="4" applyFont="1" applyFill="1" applyBorder="1"/>
    <xf numFmtId="168" fontId="12" fillId="14" borderId="69" xfId="4" applyNumberFormat="1" applyFont="1" applyFill="1" applyBorder="1" applyAlignment="1">
      <alignment horizontal="right"/>
    </xf>
    <xf numFmtId="168" fontId="12" fillId="14" borderId="70" xfId="4" applyNumberFormat="1" applyFont="1" applyFill="1" applyBorder="1" applyAlignment="1">
      <alignment horizontal="right"/>
    </xf>
    <xf numFmtId="168" fontId="12" fillId="14" borderId="67" xfId="4" applyNumberFormat="1" applyFont="1" applyFill="1" applyBorder="1" applyAlignment="1">
      <alignment horizontal="right"/>
    </xf>
    <xf numFmtId="168" fontId="12" fillId="14" borderId="68" xfId="4" applyNumberFormat="1" applyFont="1" applyFill="1" applyBorder="1" applyAlignment="1">
      <alignment horizontal="right"/>
    </xf>
    <xf numFmtId="0" fontId="12" fillId="14" borderId="69" xfId="4" applyFont="1" applyFill="1" applyBorder="1"/>
    <xf numFmtId="0" fontId="12" fillId="14" borderId="70" xfId="4" applyFont="1" applyFill="1" applyBorder="1"/>
    <xf numFmtId="0" fontId="12" fillId="14" borderId="72" xfId="4" applyFont="1" applyFill="1" applyBorder="1" applyAlignment="1">
      <alignment horizontal="right"/>
    </xf>
    <xf numFmtId="0" fontId="12" fillId="14" borderId="45" xfId="4" applyFont="1" applyFill="1" applyBorder="1" applyAlignment="1">
      <alignment horizontal="right"/>
    </xf>
    <xf numFmtId="0" fontId="12" fillId="14" borderId="3" xfId="4" applyFont="1" applyFill="1" applyBorder="1" applyAlignment="1">
      <alignment horizontal="right"/>
    </xf>
    <xf numFmtId="0" fontId="12" fillId="14" borderId="1" xfId="4" applyFont="1" applyFill="1" applyBorder="1" applyAlignment="1">
      <alignment horizontal="right"/>
    </xf>
    <xf numFmtId="1" fontId="12" fillId="14" borderId="69" xfId="4" applyNumberFormat="1" applyFont="1" applyFill="1" applyBorder="1"/>
    <xf numFmtId="1" fontId="12" fillId="14" borderId="70" xfId="4" applyNumberFormat="1" applyFont="1" applyFill="1" applyBorder="1"/>
    <xf numFmtId="0" fontId="12" fillId="14" borderId="75" xfId="4" applyFont="1" applyFill="1" applyBorder="1"/>
    <xf numFmtId="0" fontId="12" fillId="14" borderId="71" xfId="4" applyFont="1" applyFill="1" applyBorder="1"/>
    <xf numFmtId="164" fontId="12" fillId="14" borderId="69" xfId="1" applyNumberFormat="1" applyFont="1" applyFill="1" applyBorder="1"/>
    <xf numFmtId="164" fontId="12" fillId="14" borderId="70" xfId="1" applyNumberFormat="1" applyFont="1" applyFill="1" applyBorder="1"/>
    <xf numFmtId="164" fontId="12" fillId="14" borderId="41" xfId="1" applyNumberFormat="1" applyFont="1" applyFill="1" applyBorder="1"/>
    <xf numFmtId="164" fontId="14" fillId="14" borderId="81" xfId="1" applyNumberFormat="1" applyFont="1" applyFill="1" applyBorder="1"/>
    <xf numFmtId="164" fontId="14" fillId="14" borderId="82" xfId="1" applyNumberFormat="1" applyFont="1" applyFill="1" applyBorder="1"/>
    <xf numFmtId="168" fontId="12" fillId="13" borderId="69" xfId="4" applyNumberFormat="1" applyFont="1" applyFill="1" applyBorder="1"/>
    <xf numFmtId="168" fontId="12" fillId="13" borderId="44" xfId="4" applyNumberFormat="1" applyFont="1" applyFill="1" applyBorder="1"/>
    <xf numFmtId="168" fontId="12" fillId="13" borderId="67" xfId="4" applyNumberFormat="1" applyFont="1" applyFill="1" applyBorder="1"/>
    <xf numFmtId="168" fontId="14" fillId="13" borderId="43" xfId="4" applyNumberFormat="1" applyFont="1" applyFill="1" applyBorder="1" applyAlignment="1">
      <alignment horizontal="right"/>
    </xf>
    <xf numFmtId="168" fontId="14" fillId="13" borderId="2" xfId="4" applyNumberFormat="1" applyFont="1" applyFill="1" applyBorder="1" applyAlignment="1">
      <alignment horizontal="right"/>
    </xf>
    <xf numFmtId="168" fontId="14" fillId="13" borderId="30" xfId="4" applyNumberFormat="1" applyFont="1" applyFill="1" applyBorder="1" applyAlignment="1">
      <alignment horizontal="right"/>
    </xf>
    <xf numFmtId="168" fontId="12" fillId="13" borderId="0" xfId="4" applyNumberFormat="1" applyFont="1" applyFill="1" applyBorder="1"/>
    <xf numFmtId="168" fontId="12" fillId="13" borderId="4" xfId="4" applyNumberFormat="1" applyFont="1" applyFill="1" applyBorder="1"/>
    <xf numFmtId="168" fontId="12" fillId="13" borderId="41" xfId="4" applyNumberFormat="1" applyFont="1" applyFill="1" applyBorder="1" applyAlignment="1">
      <alignment horizontal="right"/>
    </xf>
    <xf numFmtId="168" fontId="12" fillId="13" borderId="40" xfId="4" applyNumberFormat="1" applyFont="1" applyFill="1" applyBorder="1" applyAlignment="1">
      <alignment horizontal="right"/>
    </xf>
    <xf numFmtId="168" fontId="12" fillId="13" borderId="69" xfId="4" applyNumberFormat="1" applyFont="1" applyFill="1" applyBorder="1" applyAlignment="1">
      <alignment horizontal="right"/>
    </xf>
    <xf numFmtId="168" fontId="12" fillId="13" borderId="44" xfId="4" applyNumberFormat="1" applyFont="1" applyFill="1" applyBorder="1" applyAlignment="1">
      <alignment horizontal="right"/>
    </xf>
    <xf numFmtId="168" fontId="12" fillId="13" borderId="70" xfId="4" applyNumberFormat="1" applyFont="1" applyFill="1" applyBorder="1" applyAlignment="1">
      <alignment horizontal="right"/>
    </xf>
    <xf numFmtId="168" fontId="14" fillId="13" borderId="75" xfId="4" applyNumberFormat="1" applyFont="1" applyFill="1" applyBorder="1" applyAlignment="1">
      <alignment horizontal="right"/>
    </xf>
    <xf numFmtId="0" fontId="12" fillId="13" borderId="41" xfId="4" applyFont="1" applyFill="1" applyBorder="1"/>
    <xf numFmtId="0" fontId="12" fillId="13" borderId="0" xfId="3" applyFont="1" applyFill="1" applyBorder="1" applyAlignment="1">
      <alignment horizontal="right"/>
    </xf>
    <xf numFmtId="0" fontId="12" fillId="13" borderId="30" xfId="4" applyFont="1" applyFill="1" applyBorder="1" applyAlignment="1">
      <alignment horizontal="right"/>
    </xf>
    <xf numFmtId="0" fontId="14" fillId="13" borderId="30" xfId="4" applyFont="1" applyFill="1" applyBorder="1" applyAlignment="1">
      <alignment horizontal="right"/>
    </xf>
    <xf numFmtId="0" fontId="12" fillId="13" borderId="2" xfId="4" applyFont="1" applyFill="1" applyBorder="1" applyAlignment="1">
      <alignment horizontal="right"/>
    </xf>
    <xf numFmtId="0" fontId="14" fillId="13" borderId="65" xfId="4" applyFont="1" applyFill="1" applyBorder="1" applyAlignment="1"/>
    <xf numFmtId="1" fontId="12" fillId="13" borderId="70" xfId="4" applyNumberFormat="1" applyFont="1" applyFill="1" applyBorder="1"/>
    <xf numFmtId="0" fontId="12" fillId="13" borderId="71" xfId="4" applyFont="1" applyFill="1" applyBorder="1"/>
    <xf numFmtId="0" fontId="12" fillId="13" borderId="68" xfId="4" applyFont="1" applyFill="1" applyBorder="1"/>
    <xf numFmtId="164" fontId="12" fillId="13" borderId="70" xfId="1" applyNumberFormat="1" applyFont="1" applyFill="1" applyBorder="1"/>
    <xf numFmtId="1" fontId="12" fillId="13" borderId="41" xfId="4" applyNumberFormat="1" applyFont="1" applyFill="1" applyBorder="1"/>
    <xf numFmtId="0" fontId="12" fillId="13" borderId="43" xfId="4" applyFont="1" applyFill="1" applyBorder="1"/>
    <xf numFmtId="164" fontId="12" fillId="13" borderId="41" xfId="1" applyNumberFormat="1" applyFont="1" applyFill="1" applyBorder="1"/>
    <xf numFmtId="1" fontId="12" fillId="13" borderId="69" xfId="4" applyNumberFormat="1" applyFont="1" applyFill="1" applyBorder="1"/>
    <xf numFmtId="0" fontId="12" fillId="13" borderId="75" xfId="4" applyFont="1" applyFill="1" applyBorder="1"/>
    <xf numFmtId="0" fontId="12" fillId="13" borderId="66" xfId="4" applyFont="1" applyFill="1" applyBorder="1"/>
    <xf numFmtId="0" fontId="12" fillId="13" borderId="70" xfId="4" applyFont="1" applyFill="1" applyBorder="1"/>
    <xf numFmtId="164" fontId="14" fillId="13" borderId="82" xfId="1" applyNumberFormat="1" applyFont="1" applyFill="1" applyBorder="1"/>
    <xf numFmtId="164" fontId="14" fillId="13" borderId="62" xfId="1" applyNumberFormat="1" applyFont="1" applyFill="1" applyBorder="1"/>
    <xf numFmtId="164" fontId="12" fillId="13" borderId="69" xfId="1" applyNumberFormat="1" applyFont="1" applyFill="1" applyBorder="1"/>
    <xf numFmtId="164" fontId="14" fillId="13" borderId="81" xfId="1" applyNumberFormat="1" applyFont="1" applyFill="1" applyBorder="1"/>
    <xf numFmtId="0" fontId="6" fillId="13" borderId="13" xfId="0" applyFont="1" applyFill="1" applyBorder="1"/>
    <xf numFmtId="0" fontId="2" fillId="13" borderId="0" xfId="0" applyFont="1" applyFill="1" applyBorder="1"/>
    <xf numFmtId="0" fontId="2" fillId="13" borderId="12" xfId="0" applyFont="1" applyFill="1" applyBorder="1"/>
    <xf numFmtId="0" fontId="6" fillId="13" borderId="0" xfId="0" applyFont="1" applyFill="1" applyBorder="1"/>
    <xf numFmtId="0" fontId="6" fillId="10" borderId="13" xfId="0" applyFont="1" applyFill="1" applyBorder="1"/>
    <xf numFmtId="0" fontId="2" fillId="10" borderId="0" xfId="0" applyFont="1" applyFill="1" applyBorder="1"/>
    <xf numFmtId="0" fontId="2" fillId="10" borderId="12" xfId="0" applyFont="1" applyFill="1" applyBorder="1"/>
    <xf numFmtId="0" fontId="6" fillId="10" borderId="0" xfId="0" applyFont="1" applyFill="1" applyBorder="1"/>
    <xf numFmtId="0" fontId="6" fillId="14" borderId="13" xfId="0" applyFont="1" applyFill="1" applyBorder="1"/>
    <xf numFmtId="0" fontId="2" fillId="14" borderId="0" xfId="0" applyFont="1" applyFill="1" applyBorder="1"/>
    <xf numFmtId="0" fontId="6" fillId="14" borderId="0" xfId="0" applyFont="1" applyFill="1" applyBorder="1"/>
    <xf numFmtId="0" fontId="2" fillId="14" borderId="12" xfId="0" applyFont="1" applyFill="1" applyBorder="1"/>
    <xf numFmtId="0" fontId="14" fillId="0" borderId="45" xfId="4" applyFont="1" applyBorder="1" applyAlignment="1">
      <alignment horizontal="right"/>
    </xf>
    <xf numFmtId="0" fontId="14" fillId="0" borderId="1" xfId="4" applyFont="1" applyBorder="1" applyAlignment="1">
      <alignment horizontal="right"/>
    </xf>
    <xf numFmtId="0" fontId="14" fillId="0" borderId="39" xfId="4" applyFont="1" applyBorder="1" applyAlignment="1">
      <alignment horizontal="right"/>
    </xf>
    <xf numFmtId="168" fontId="12" fillId="0" borderId="69" xfId="4" applyNumberFormat="1" applyFont="1" applyFill="1" applyBorder="1" applyAlignment="1">
      <alignment horizontal="right" indent="1"/>
    </xf>
    <xf numFmtId="0" fontId="12" fillId="0" borderId="41" xfId="4" applyFont="1" applyFill="1" applyBorder="1" applyAlignment="1">
      <alignment wrapText="1"/>
    </xf>
    <xf numFmtId="164" fontId="12" fillId="0" borderId="95" xfId="1" applyNumberFormat="1" applyFont="1" applyFill="1" applyBorder="1"/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2" fillId="0" borderId="57" xfId="4" applyFont="1" applyBorder="1" applyAlignment="1">
      <alignment horizontal="right"/>
    </xf>
    <xf numFmtId="0" fontId="12" fillId="0" borderId="43" xfId="4" applyFont="1" applyBorder="1" applyAlignment="1">
      <alignment horizontal="right"/>
    </xf>
    <xf numFmtId="0" fontId="12" fillId="0" borderId="59" xfId="4" applyFont="1" applyBorder="1" applyAlignment="1">
      <alignment horizontal="right"/>
    </xf>
    <xf numFmtId="0" fontId="12" fillId="0" borderId="66" xfId="4" applyFont="1" applyBorder="1" applyAlignment="1">
      <alignment horizontal="right"/>
    </xf>
    <xf numFmtId="0" fontId="12" fillId="0" borderId="56" xfId="4" applyFont="1" applyBorder="1" applyAlignment="1">
      <alignment horizontal="right"/>
    </xf>
    <xf numFmtId="0" fontId="12" fillId="0" borderId="70" xfId="4" applyFont="1" applyBorder="1" applyAlignment="1">
      <alignment horizontal="right"/>
    </xf>
    <xf numFmtId="0" fontId="12" fillId="0" borderId="41" xfId="4" applyFont="1" applyBorder="1" applyAlignment="1">
      <alignment horizontal="right"/>
    </xf>
    <xf numFmtId="0" fontId="12" fillId="0" borderId="20" xfId="3" applyFont="1" applyBorder="1" applyAlignment="1">
      <alignment horizontal="center"/>
    </xf>
    <xf numFmtId="0" fontId="12" fillId="0" borderId="23" xfId="3" applyFont="1" applyBorder="1" applyAlignment="1">
      <alignment horizontal="center"/>
    </xf>
    <xf numFmtId="0" fontId="12" fillId="0" borderId="19" xfId="3" applyFont="1" applyBorder="1" applyAlignment="1">
      <alignment horizontal="center"/>
    </xf>
    <xf numFmtId="0" fontId="12" fillId="0" borderId="56" xfId="4" applyFont="1" applyFill="1" applyBorder="1" applyAlignment="1">
      <alignment horizontal="left" vertical="center" wrapText="1"/>
    </xf>
    <xf numFmtId="0" fontId="12" fillId="0" borderId="41" xfId="4" applyFont="1" applyFill="1" applyBorder="1" applyAlignment="1">
      <alignment horizontal="left" vertical="center" wrapText="1"/>
    </xf>
    <xf numFmtId="0" fontId="14" fillId="0" borderId="24" xfId="4" applyFont="1" applyBorder="1" applyAlignment="1">
      <alignment horizontal="left" wrapText="1"/>
    </xf>
    <xf numFmtId="0" fontId="14" fillId="0" borderId="2" xfId="4" applyFont="1" applyBorder="1" applyAlignment="1">
      <alignment horizontal="left" wrapText="1"/>
    </xf>
    <xf numFmtId="0" fontId="14" fillId="13" borderId="42" xfId="4" applyFont="1" applyFill="1" applyBorder="1" applyAlignment="1">
      <alignment horizontal="center"/>
    </xf>
    <xf numFmtId="0" fontId="14" fillId="13" borderId="66" xfId="4" applyFont="1" applyFill="1" applyBorder="1" applyAlignment="1">
      <alignment horizontal="center"/>
    </xf>
    <xf numFmtId="0" fontId="12" fillId="0" borderId="41" xfId="4" applyFont="1" applyFill="1" applyBorder="1" applyAlignment="1">
      <alignment horizontal="center"/>
    </xf>
    <xf numFmtId="0" fontId="12" fillId="0" borderId="53" xfId="4" applyFont="1" applyFill="1" applyBorder="1" applyAlignment="1">
      <alignment horizontal="center"/>
    </xf>
    <xf numFmtId="0" fontId="14" fillId="14" borderId="65" xfId="4" applyFont="1" applyFill="1" applyBorder="1" applyAlignment="1">
      <alignment horizontal="center"/>
    </xf>
    <xf numFmtId="0" fontId="14" fillId="14" borderId="66" xfId="4" applyFont="1" applyFill="1" applyBorder="1" applyAlignment="1">
      <alignment horizontal="center"/>
    </xf>
    <xf numFmtId="0" fontId="14" fillId="8" borderId="10" xfId="4" applyFont="1" applyFill="1" applyBorder="1" applyAlignment="1">
      <alignment horizontal="center"/>
    </xf>
    <xf numFmtId="0" fontId="14" fillId="10" borderId="23" xfId="4" applyFont="1" applyFill="1" applyBorder="1" applyAlignment="1">
      <alignment horizontal="center"/>
    </xf>
    <xf numFmtId="0" fontId="14" fillId="10" borderId="65" xfId="4" applyFont="1" applyFill="1" applyBorder="1" applyAlignment="1">
      <alignment horizontal="center"/>
    </xf>
    <xf numFmtId="0" fontId="14" fillId="10" borderId="42" xfId="4" applyFont="1" applyFill="1" applyBorder="1" applyAlignment="1">
      <alignment horizontal="center"/>
    </xf>
    <xf numFmtId="0" fontId="14" fillId="10" borderId="66" xfId="4" applyFont="1" applyFill="1" applyBorder="1" applyAlignment="1">
      <alignment horizontal="center"/>
    </xf>
    <xf numFmtId="168" fontId="12" fillId="0" borderId="69" xfId="4" applyNumberFormat="1" applyFont="1" applyBorder="1" applyAlignment="1">
      <alignment horizontal="center"/>
    </xf>
    <xf numFmtId="168" fontId="12" fillId="0" borderId="41" xfId="4" applyNumberFormat="1" applyFont="1" applyBorder="1" applyAlignment="1">
      <alignment horizontal="center"/>
    </xf>
    <xf numFmtId="168" fontId="12" fillId="0" borderId="40" xfId="4" applyNumberFormat="1" applyFont="1" applyBorder="1" applyAlignment="1">
      <alignment horizontal="center"/>
    </xf>
    <xf numFmtId="168" fontId="12" fillId="0" borderId="53" xfId="4" applyNumberFormat="1" applyFont="1" applyBorder="1" applyAlignment="1">
      <alignment horizontal="center"/>
    </xf>
    <xf numFmtId="168" fontId="12" fillId="0" borderId="75" xfId="4" applyNumberFormat="1" applyFont="1" applyBorder="1" applyAlignment="1">
      <alignment horizontal="center"/>
    </xf>
    <xf numFmtId="168" fontId="12" fillId="0" borderId="43" xfId="4" applyNumberFormat="1" applyFont="1" applyBorder="1" applyAlignment="1">
      <alignment horizontal="center"/>
    </xf>
    <xf numFmtId="168" fontId="12" fillId="0" borderId="61" xfId="4" applyNumberFormat="1" applyFont="1" applyBorder="1" applyAlignment="1">
      <alignment horizontal="center"/>
    </xf>
    <xf numFmtId="0" fontId="14" fillId="0" borderId="23" xfId="4" applyFont="1" applyFill="1" applyBorder="1" applyAlignment="1">
      <alignment horizontal="center"/>
    </xf>
    <xf numFmtId="0" fontId="14" fillId="9" borderId="0" xfId="4" applyFont="1" applyFill="1" applyBorder="1" applyAlignment="1">
      <alignment horizontal="center"/>
    </xf>
    <xf numFmtId="0" fontId="35" fillId="11" borderId="18" xfId="0" applyFont="1" applyFill="1" applyBorder="1" applyAlignment="1">
      <alignment horizontal="left"/>
    </xf>
    <xf numFmtId="0" fontId="35" fillId="11" borderId="17" xfId="0" applyFont="1" applyFill="1" applyBorder="1" applyAlignment="1">
      <alignment horizontal="left"/>
    </xf>
    <xf numFmtId="0" fontId="35" fillId="11" borderId="16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5" fillId="11" borderId="20" xfId="0" applyFont="1" applyFill="1" applyBorder="1" applyAlignment="1"/>
    <xf numFmtId="0" fontId="35" fillId="11" borderId="19" xfId="0" applyFont="1" applyFill="1" applyBorder="1" applyAlignment="1"/>
    <xf numFmtId="0" fontId="34" fillId="11" borderId="86" xfId="0" applyFont="1" applyFill="1" applyBorder="1" applyAlignment="1">
      <alignment horizontal="center"/>
    </xf>
    <xf numFmtId="0" fontId="34" fillId="11" borderId="87" xfId="0" applyFont="1" applyFill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0" xfId="0" applyFont="1" applyFill="1" applyBorder="1" applyAlignment="1">
      <alignment horizontal="left" wrapText="1"/>
    </xf>
    <xf numFmtId="0" fontId="2" fillId="0" borderId="23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35" fillId="12" borderId="18" xfId="0" applyFont="1" applyFill="1" applyBorder="1" applyAlignment="1">
      <alignment horizontal="left"/>
    </xf>
    <xf numFmtId="0" fontId="35" fillId="12" borderId="17" xfId="0" applyFont="1" applyFill="1" applyBorder="1" applyAlignment="1">
      <alignment horizontal="left"/>
    </xf>
    <xf numFmtId="0" fontId="35" fillId="12" borderId="16" xfId="0" applyFont="1" applyFill="1" applyBorder="1" applyAlignment="1">
      <alignment horizontal="left"/>
    </xf>
    <xf numFmtId="0" fontId="35" fillId="12" borderId="20" xfId="0" applyFont="1" applyFill="1" applyBorder="1" applyAlignment="1"/>
    <xf numFmtId="0" fontId="35" fillId="12" borderId="19" xfId="0" applyFont="1" applyFill="1" applyBorder="1" applyAlignment="1"/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35" fillId="12" borderId="20" xfId="0" applyFont="1" applyFill="1" applyBorder="1" applyAlignment="1">
      <alignment horizontal="left"/>
    </xf>
    <xf numFmtId="0" fontId="35" fillId="12" borderId="23" xfId="0" applyFont="1" applyFill="1" applyBorder="1" applyAlignment="1">
      <alignment horizontal="left"/>
    </xf>
    <xf numFmtId="0" fontId="35" fillId="12" borderId="19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35" fillId="12" borderId="25" xfId="0" applyFont="1" applyFill="1" applyBorder="1" applyAlignment="1">
      <alignment horizontal="left"/>
    </xf>
    <xf numFmtId="0" fontId="35" fillId="12" borderId="26" xfId="0" applyFont="1" applyFill="1" applyBorder="1" applyAlignment="1">
      <alignment horizontal="left"/>
    </xf>
    <xf numFmtId="0" fontId="35" fillId="12" borderId="27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35" fillId="12" borderId="23" xfId="0" applyFont="1" applyFill="1" applyBorder="1" applyAlignment="1"/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6" borderId="18" xfId="0" applyFont="1" applyFill="1" applyBorder="1" applyAlignment="1">
      <alignment horizontal="left"/>
    </xf>
    <xf numFmtId="0" fontId="3" fillId="6" borderId="17" xfId="0" applyFont="1" applyFill="1" applyBorder="1" applyAlignment="1">
      <alignment horizontal="left"/>
    </xf>
    <xf numFmtId="0" fontId="3" fillId="6" borderId="16" xfId="0" applyFont="1" applyFill="1" applyBorder="1" applyAlignment="1">
      <alignment horizontal="left"/>
    </xf>
    <xf numFmtId="0" fontId="2" fillId="0" borderId="23" xfId="0" applyFont="1" applyFill="1" applyBorder="1" applyAlignment="1">
      <alignment horizontal="center"/>
    </xf>
    <xf numFmtId="0" fontId="3" fillId="3" borderId="20" xfId="0" applyFont="1" applyFill="1" applyBorder="1" applyAlignment="1"/>
    <xf numFmtId="0" fontId="3" fillId="3" borderId="19" xfId="0" applyFont="1" applyFill="1" applyBorder="1" applyAlignment="1"/>
  </cellXfs>
  <cellStyles count="7">
    <cellStyle name="Comma" xfId="1" builtinId="3"/>
    <cellStyle name="Currency" xfId="6" builtinId="4"/>
    <cellStyle name="Hyperlink" xfId="5" builtinId="8"/>
    <cellStyle name="Normal" xfId="0" builtinId="0"/>
    <cellStyle name="Normal 2" xfId="4" xr:uid="{00000000-0005-0000-0000-000030000000}"/>
    <cellStyle name="Normal 3" xfId="3" xr:uid="{00000000-0005-0000-0000-00002F000000}"/>
    <cellStyle name="Percent" xfId="2" builtinId="5"/>
  </cellStyles>
  <dxfs count="2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3DFC3"/>
      <color rgb="FFB2CAE8"/>
      <color rgb="FFFFF1AB"/>
      <color rgb="FFA2C0E4"/>
      <color rgb="FFA6D0A6"/>
      <color rgb="FFFFE45B"/>
      <color rgb="FFC1F5FB"/>
      <color rgb="FFF0C2DC"/>
      <color rgb="FF404040"/>
      <color rgb="FFFFD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211666</xdr:colOff>
      <xdr:row>9</xdr:row>
      <xdr:rowOff>0</xdr:rowOff>
    </xdr:from>
    <xdr:to>
      <xdr:col>2</xdr:col>
      <xdr:colOff>838199</xdr:colOff>
      <xdr:row>9</xdr:row>
      <xdr:rowOff>720266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2B5C87E-CC3D-45F4-92F8-F62BB0D61B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4466" y="1464733"/>
          <a:ext cx="626533" cy="720266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556209</xdr:colOff>
      <xdr:row>9</xdr:row>
      <xdr:rowOff>626534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627C570-372E-47AB-80B1-6AFD1BC34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4133" y="1464733"/>
          <a:ext cx="556209" cy="626534"/>
        </a:xfrm>
        <a:prstGeom prst="rect">
          <a:avLst/>
        </a:prstGeom>
      </xdr:spPr>
    </xdr:pic>
    <xdr:clientData/>
  </xdr:twoCellAnchor>
  <xdr:twoCellAnchor editAs="oneCell">
    <xdr:from>
      <xdr:col>4</xdr:col>
      <xdr:colOff>143934</xdr:colOff>
      <xdr:row>9</xdr:row>
      <xdr:rowOff>0</xdr:rowOff>
    </xdr:from>
    <xdr:to>
      <xdr:col>4</xdr:col>
      <xdr:colOff>508001</xdr:colOff>
      <xdr:row>9</xdr:row>
      <xdr:rowOff>715273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838D669-1F53-42D3-9DA3-AA69C132F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5334" y="1464733"/>
          <a:ext cx="364067" cy="715273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9</xdr:row>
      <xdr:rowOff>1</xdr:rowOff>
    </xdr:from>
    <xdr:to>
      <xdr:col>6</xdr:col>
      <xdr:colOff>16933</xdr:colOff>
      <xdr:row>9</xdr:row>
      <xdr:rowOff>534631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329699D-35D7-43EA-84B4-EB59F5598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6400" y="1464734"/>
          <a:ext cx="651933" cy="53463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571241</xdr:colOff>
      <xdr:row>9</xdr:row>
      <xdr:rowOff>643467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551B823D-A6D4-4853-8994-B6AA935E28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400" y="1464733"/>
          <a:ext cx="571241" cy="643467"/>
        </a:xfrm>
        <a:prstGeom prst="rect">
          <a:avLst/>
        </a:prstGeom>
      </xdr:spPr>
    </xdr:pic>
    <xdr:clientData/>
  </xdr:twoCellAnchor>
  <xdr:twoCellAnchor editAs="oneCell">
    <xdr:from>
      <xdr:col>7</xdr:col>
      <xdr:colOff>25400</xdr:colOff>
      <xdr:row>9</xdr:row>
      <xdr:rowOff>1</xdr:rowOff>
    </xdr:from>
    <xdr:to>
      <xdr:col>7</xdr:col>
      <xdr:colOff>609601</xdr:colOff>
      <xdr:row>9</xdr:row>
      <xdr:rowOff>558800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6AF80D27-9A5E-48B2-902C-341463871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5461000" y="1464734"/>
          <a:ext cx="584201" cy="558799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9</xdr:row>
      <xdr:rowOff>50801</xdr:rowOff>
    </xdr:from>
    <xdr:to>
      <xdr:col>9</xdr:col>
      <xdr:colOff>60327</xdr:colOff>
      <xdr:row>9</xdr:row>
      <xdr:rowOff>524934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E491A2F9-F8FC-445A-87CB-2C317ABD4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4467" y="1515534"/>
          <a:ext cx="627593" cy="474133"/>
        </a:xfrm>
        <a:prstGeom prst="rect">
          <a:avLst/>
        </a:prstGeom>
      </xdr:spPr>
    </xdr:pic>
    <xdr:clientData/>
  </xdr:twoCellAnchor>
  <xdr:twoCellAnchor editAs="oneCell">
    <xdr:from>
      <xdr:col>9</xdr:col>
      <xdr:colOff>67733</xdr:colOff>
      <xdr:row>9</xdr:row>
      <xdr:rowOff>76200</xdr:rowOff>
    </xdr:from>
    <xdr:to>
      <xdr:col>9</xdr:col>
      <xdr:colOff>584200</xdr:colOff>
      <xdr:row>9</xdr:row>
      <xdr:rowOff>644990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D8A2EEC0-D4CB-41AD-8E0F-F23860803B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493" t="52076" r="34597"/>
        <a:stretch/>
      </xdr:blipFill>
      <xdr:spPr>
        <a:xfrm>
          <a:off x="6739466" y="1540933"/>
          <a:ext cx="516467" cy="568790"/>
        </a:xfrm>
        <a:prstGeom prst="rect">
          <a:avLst/>
        </a:prstGeom>
      </xdr:spPr>
    </xdr:pic>
    <xdr:clientData/>
  </xdr:twoCellAnchor>
  <xdr:twoCellAnchor editAs="oneCell">
    <xdr:from>
      <xdr:col>10</xdr:col>
      <xdr:colOff>59268</xdr:colOff>
      <xdr:row>9</xdr:row>
      <xdr:rowOff>93133</xdr:rowOff>
    </xdr:from>
    <xdr:to>
      <xdr:col>10</xdr:col>
      <xdr:colOff>592668</xdr:colOff>
      <xdr:row>9</xdr:row>
      <xdr:rowOff>651934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A815CA1B-8A4A-4DD6-96DA-29ADAAEF5C9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240" t="45000" r="27457"/>
        <a:stretch/>
      </xdr:blipFill>
      <xdr:spPr>
        <a:xfrm>
          <a:off x="7366001" y="1557866"/>
          <a:ext cx="533400" cy="558801"/>
        </a:xfrm>
        <a:prstGeom prst="rect">
          <a:avLst/>
        </a:prstGeom>
      </xdr:spPr>
    </xdr:pic>
    <xdr:clientData/>
  </xdr:twoCellAnchor>
  <xdr:twoCellAnchor editAs="oneCell">
    <xdr:from>
      <xdr:col>13</xdr:col>
      <xdr:colOff>59267</xdr:colOff>
      <xdr:row>9</xdr:row>
      <xdr:rowOff>1</xdr:rowOff>
    </xdr:from>
    <xdr:to>
      <xdr:col>13</xdr:col>
      <xdr:colOff>651934</xdr:colOff>
      <xdr:row>9</xdr:row>
      <xdr:rowOff>729682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A3BF77FF-810C-49A9-B709-E821EA993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4867" y="1464734"/>
          <a:ext cx="592667" cy="729681"/>
        </a:xfrm>
        <a:prstGeom prst="rect">
          <a:avLst/>
        </a:prstGeom>
      </xdr:spPr>
    </xdr:pic>
    <xdr:clientData/>
  </xdr:twoCellAnchor>
  <xdr:twoCellAnchor editAs="oneCell">
    <xdr:from>
      <xdr:col>14</xdr:col>
      <xdr:colOff>42334</xdr:colOff>
      <xdr:row>9</xdr:row>
      <xdr:rowOff>59268</xdr:rowOff>
    </xdr:from>
    <xdr:to>
      <xdr:col>14</xdr:col>
      <xdr:colOff>673492</xdr:colOff>
      <xdr:row>9</xdr:row>
      <xdr:rowOff>711201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0CACEE1E-1C79-4F68-8854-B67EFD3D26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1467" y="1524001"/>
          <a:ext cx="631158" cy="65193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42334</xdr:colOff>
      <xdr:row>9</xdr:row>
      <xdr:rowOff>50800</xdr:rowOff>
    </xdr:from>
    <xdr:to>
      <xdr:col>15</xdr:col>
      <xdr:colOff>812937</xdr:colOff>
      <xdr:row>9</xdr:row>
      <xdr:rowOff>660400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336C2253-CFFD-4B15-BD3F-E0FF899D9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27267" y="1515533"/>
          <a:ext cx="770603" cy="609600"/>
        </a:xfrm>
        <a:prstGeom prst="rect">
          <a:avLst/>
        </a:prstGeom>
      </xdr:spPr>
    </xdr:pic>
    <xdr:clientData/>
  </xdr:twoCellAnchor>
  <xdr:twoCellAnchor editAs="oneCell">
    <xdr:from>
      <xdr:col>16</xdr:col>
      <xdr:colOff>50800</xdr:colOff>
      <xdr:row>9</xdr:row>
      <xdr:rowOff>101601</xdr:rowOff>
    </xdr:from>
    <xdr:to>
      <xdr:col>16</xdr:col>
      <xdr:colOff>722707</xdr:colOff>
      <xdr:row>9</xdr:row>
      <xdr:rowOff>651934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B5535A6D-213B-4D78-A1E6-77845CCC97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3933" y="1566334"/>
          <a:ext cx="671907" cy="550333"/>
        </a:xfrm>
        <a:prstGeom prst="rect">
          <a:avLst/>
        </a:prstGeom>
      </xdr:spPr>
    </xdr:pic>
    <xdr:clientData/>
  </xdr:twoCellAnchor>
  <xdr:twoCellAnchor editAs="oneCell">
    <xdr:from>
      <xdr:col>16</xdr:col>
      <xdr:colOff>736601</xdr:colOff>
      <xdr:row>9</xdr:row>
      <xdr:rowOff>0</xdr:rowOff>
    </xdr:from>
    <xdr:to>
      <xdr:col>18</xdr:col>
      <xdr:colOff>11146</xdr:colOff>
      <xdr:row>10</xdr:row>
      <xdr:rowOff>0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3CA8188A-76C6-4980-B0B2-C67EBC82D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59734" y="1464733"/>
          <a:ext cx="823945" cy="745067"/>
        </a:xfrm>
        <a:prstGeom prst="rect">
          <a:avLst/>
        </a:prstGeom>
      </xdr:spPr>
    </xdr:pic>
    <xdr:clientData/>
  </xdr:twoCellAnchor>
  <xdr:twoCellAnchor editAs="oneCell">
    <xdr:from>
      <xdr:col>19</xdr:col>
      <xdr:colOff>0</xdr:colOff>
      <xdr:row>9</xdr:row>
      <xdr:rowOff>0</xdr:rowOff>
    </xdr:from>
    <xdr:to>
      <xdr:col>19</xdr:col>
      <xdr:colOff>609600</xdr:colOff>
      <xdr:row>9</xdr:row>
      <xdr:rowOff>700800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8CE47221-CDAF-400F-B7BE-3B6A41059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41400" y="1464733"/>
          <a:ext cx="609600" cy="700800"/>
        </a:xfrm>
        <a:prstGeom prst="rect">
          <a:avLst/>
        </a:prstGeom>
      </xdr:spPr>
    </xdr:pic>
    <xdr:clientData/>
  </xdr:twoCellAnchor>
  <xdr:twoCellAnchor editAs="oneCell">
    <xdr:from>
      <xdr:col>20</xdr:col>
      <xdr:colOff>50800</xdr:colOff>
      <xdr:row>9</xdr:row>
      <xdr:rowOff>0</xdr:rowOff>
    </xdr:from>
    <xdr:to>
      <xdr:col>20</xdr:col>
      <xdr:colOff>660400</xdr:colOff>
      <xdr:row>9</xdr:row>
      <xdr:rowOff>700800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595DF44D-8AD7-4E71-893D-8F47F525D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61067" y="1464733"/>
          <a:ext cx="609600" cy="700800"/>
        </a:xfrm>
        <a:prstGeom prst="rect">
          <a:avLst/>
        </a:prstGeom>
      </xdr:spPr>
    </xdr:pic>
    <xdr:clientData/>
  </xdr:twoCellAnchor>
  <xdr:twoCellAnchor editAs="oneCell">
    <xdr:from>
      <xdr:col>12</xdr:col>
      <xdr:colOff>31750</xdr:colOff>
      <xdr:row>9</xdr:row>
      <xdr:rowOff>63500</xdr:rowOff>
    </xdr:from>
    <xdr:to>
      <xdr:col>13</xdr:col>
      <xdr:colOff>28901</xdr:colOff>
      <xdr:row>9</xdr:row>
      <xdr:rowOff>734785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DE60372-4982-4A61-A064-842877578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2393" y="1546679"/>
          <a:ext cx="727401" cy="671285"/>
        </a:xfrm>
        <a:prstGeom prst="rect">
          <a:avLst/>
        </a:prstGeom>
      </xdr:spPr>
    </xdr:pic>
    <xdr:clientData/>
  </xdr:twoCellAnchor>
  <xdr:twoCellAnchor editAs="oneCell">
    <xdr:from>
      <xdr:col>11</xdr:col>
      <xdr:colOff>45357</xdr:colOff>
      <xdr:row>9</xdr:row>
      <xdr:rowOff>145144</xdr:rowOff>
    </xdr:from>
    <xdr:to>
      <xdr:col>11</xdr:col>
      <xdr:colOff>578700</xdr:colOff>
      <xdr:row>9</xdr:row>
      <xdr:rowOff>612322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639A2B6-1322-4C7B-A0CE-000DE6A58D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6357" y="1628323"/>
          <a:ext cx="533343" cy="46717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sica/Downloads/181430_Montage-Pro-For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Sheet1"/>
      <sheetName val="SummarySheet2"/>
      <sheetName val="CashFlow-Combined"/>
      <sheetName val="BuildingSummary"/>
      <sheetName val="Assumptions-Overall"/>
      <sheetName val="Assumptions-ResRental"/>
      <sheetName val="CashFlow-ResRental"/>
      <sheetName val="Assumptions-ResCondo"/>
      <sheetName val="CashFlow-ResCondo"/>
      <sheetName val="Assumptions-Retail"/>
      <sheetName val="CashFlow-Retail"/>
      <sheetName val="Assumptions-Office"/>
      <sheetName val="CashFlow-Office"/>
      <sheetName val="Assumptions-Hotel"/>
      <sheetName val="CashFlow-Hotel"/>
      <sheetName val="Assumptions-Parking"/>
      <sheetName val="CashFlow-Parking"/>
      <sheetName val="Assumptions-Land&amp;Infrastructure"/>
    </sheetNames>
    <sheetDataSet>
      <sheetData sheetId="0"/>
      <sheetData sheetId="1"/>
      <sheetData sheetId="2"/>
      <sheetData sheetId="3">
        <row r="3">
          <cell r="C3" t="str">
            <v>Montage</v>
          </cell>
        </row>
        <row r="4">
          <cell r="C4">
            <v>181430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2">
      <a:majorFont>
        <a:latin typeface="Gill Sans M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property.costar.com/Property/Detail/Detail.aspx?ID=9462000&amp;newSearchMode=&amp;t=14" TargetMode="External"/><Relationship Id="rId1" Type="http://schemas.openxmlformats.org/officeDocument/2006/relationships/hyperlink" Target="http://property.costar.com/Property/Detail/Detail.aspx?t=14&amp;id=9787843&amp;popup=0" TargetMode="External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E339D-6044-49E5-995C-DE6FAD79A7DB}">
  <sheetPr>
    <tabColor rgb="FFFFD300"/>
    <pageSetUpPr fitToPage="1"/>
  </sheetPr>
  <dimension ref="A1:AB109"/>
  <sheetViews>
    <sheetView showGridLines="0" tabSelected="1" zoomScaleNormal="100" workbookViewId="0"/>
  </sheetViews>
  <sheetFormatPr defaultColWidth="9.08984375" defaultRowHeight="12.25" x14ac:dyDescent="0.65"/>
  <cols>
    <col min="1" max="1" width="20.453125" style="1" customWidth="1"/>
    <col min="2" max="2" width="12.08984375" style="1" customWidth="1"/>
    <col min="3" max="3" width="12.54296875" style="1" customWidth="1"/>
    <col min="4" max="5" width="17.76953125" style="562" hidden="1" customWidth="1"/>
    <col min="6" max="6" width="11" style="1" customWidth="1"/>
    <col min="7" max="9" width="12.76953125" style="1" customWidth="1"/>
    <col min="10" max="10" width="18" style="1" customWidth="1"/>
    <col min="11" max="11" width="14.76953125" style="1" customWidth="1"/>
    <col min="12" max="14" width="12.76953125" style="1" customWidth="1"/>
    <col min="15" max="15" width="9.453125" style="1" customWidth="1"/>
    <col min="16" max="16384" width="9.08984375" style="1"/>
  </cols>
  <sheetData>
    <row r="1" spans="1:28" ht="17.25" thickBot="1" x14ac:dyDescent="0.8">
      <c r="A1" s="735" t="s">
        <v>597</v>
      </c>
      <c r="B1" s="627"/>
      <c r="C1" s="628"/>
      <c r="D1" s="627"/>
      <c r="E1" s="627"/>
      <c r="F1" s="629"/>
      <c r="G1" s="629"/>
      <c r="H1" s="629"/>
      <c r="I1" s="629"/>
      <c r="J1" s="629"/>
      <c r="K1" s="629"/>
      <c r="L1" s="629"/>
      <c r="M1" s="742" t="s">
        <v>599</v>
      </c>
      <c r="N1" s="743">
        <v>192021</v>
      </c>
      <c r="P1" s="735" t="s">
        <v>598</v>
      </c>
      <c r="Q1" s="627"/>
      <c r="R1" s="628"/>
      <c r="S1" s="629"/>
      <c r="T1" s="629"/>
      <c r="U1" s="629"/>
      <c r="V1" s="629"/>
      <c r="W1" s="629"/>
      <c r="X1" s="629"/>
      <c r="Y1" s="629"/>
      <c r="Z1" s="677"/>
      <c r="AA1" s="748"/>
      <c r="AB1" s="8"/>
    </row>
    <row r="2" spans="1:28" ht="15" customHeight="1" x14ac:dyDescent="0.65">
      <c r="A2" s="232"/>
      <c r="B2" s="194"/>
      <c r="C2" s="278" t="s">
        <v>281</v>
      </c>
      <c r="D2" s="534" t="s">
        <v>385</v>
      </c>
      <c r="E2" s="534" t="s">
        <v>385</v>
      </c>
      <c r="F2" s="949" t="s">
        <v>40</v>
      </c>
      <c r="G2" s="950"/>
      <c r="H2" s="951"/>
      <c r="I2" s="941" t="s">
        <v>39</v>
      </c>
      <c r="J2" s="941"/>
      <c r="K2" s="942"/>
      <c r="L2" s="945" t="s">
        <v>38</v>
      </c>
      <c r="M2" s="946"/>
      <c r="N2" s="272" t="s">
        <v>386</v>
      </c>
      <c r="P2" s="681"/>
      <c r="Q2" s="948" t="s">
        <v>40</v>
      </c>
      <c r="R2" s="948"/>
      <c r="S2" s="948"/>
      <c r="T2" s="948"/>
      <c r="U2" s="791"/>
      <c r="V2" s="959"/>
      <c r="W2" s="959"/>
      <c r="X2" s="155"/>
      <c r="Y2" s="155"/>
      <c r="Z2" s="682"/>
    </row>
    <row r="3" spans="1:28" ht="15" customHeight="1" x14ac:dyDescent="0.65">
      <c r="A3" s="234"/>
      <c r="B3" s="195"/>
      <c r="C3" s="279">
        <v>2019</v>
      </c>
      <c r="D3" s="535">
        <v>2019</v>
      </c>
      <c r="E3" s="535">
        <f>D3+1</f>
        <v>2020</v>
      </c>
      <c r="F3" s="597">
        <f t="shared" ref="F3:N3" si="0">E3+1</f>
        <v>2021</v>
      </c>
      <c r="G3" s="598">
        <f t="shared" si="0"/>
        <v>2022</v>
      </c>
      <c r="H3" s="794">
        <f t="shared" si="0"/>
        <v>2023</v>
      </c>
      <c r="I3" s="834">
        <f t="shared" si="0"/>
        <v>2024</v>
      </c>
      <c r="J3" s="835">
        <f t="shared" si="0"/>
        <v>2025</v>
      </c>
      <c r="K3" s="834">
        <f t="shared" si="0"/>
        <v>2026</v>
      </c>
      <c r="L3" s="839">
        <f t="shared" si="0"/>
        <v>2027</v>
      </c>
      <c r="M3" s="840">
        <f t="shared" si="0"/>
        <v>2028</v>
      </c>
      <c r="N3" s="235">
        <f t="shared" si="0"/>
        <v>2029</v>
      </c>
      <c r="P3" s="3"/>
      <c r="Q3" s="8"/>
      <c r="R3" s="960" t="s">
        <v>39</v>
      </c>
      <c r="S3" s="960"/>
      <c r="T3" s="960"/>
      <c r="U3" s="8"/>
      <c r="V3" s="678"/>
      <c r="W3" s="678"/>
      <c r="X3" s="8"/>
      <c r="Y3" s="8"/>
      <c r="Z3" s="9"/>
    </row>
    <row r="4" spans="1:28" ht="15" customHeight="1" thickBot="1" x14ac:dyDescent="0.8">
      <c r="A4" s="236" t="s">
        <v>282</v>
      </c>
      <c r="B4" s="197"/>
      <c r="C4" s="280"/>
      <c r="D4" s="536"/>
      <c r="E4" s="536"/>
      <c r="F4" s="599"/>
      <c r="G4" s="600"/>
      <c r="H4" s="795"/>
      <c r="I4" s="836"/>
      <c r="J4" s="837"/>
      <c r="K4" s="836"/>
      <c r="L4" s="841"/>
      <c r="M4" s="842"/>
      <c r="N4" s="237"/>
      <c r="P4" s="683"/>
      <c r="Q4" s="679"/>
      <c r="R4" s="680"/>
      <c r="S4" s="680"/>
      <c r="T4" s="678"/>
      <c r="U4" s="678"/>
      <c r="V4" s="947" t="s">
        <v>38</v>
      </c>
      <c r="W4" s="947"/>
      <c r="X4" s="947"/>
      <c r="Y4" s="947"/>
      <c r="Z4" s="684"/>
    </row>
    <row r="5" spans="1:28" ht="13" thickBot="1" x14ac:dyDescent="0.8">
      <c r="A5" s="265" t="s">
        <v>603</v>
      </c>
      <c r="B5" s="200" t="s">
        <v>283</v>
      </c>
      <c r="C5" s="318">
        <f>SUM(D5:E5)</f>
        <v>0</v>
      </c>
      <c r="D5" s="537">
        <f>'CashFlow-ResRental'!D42+'CashFlow-ResRental'!D98+'CashFlow-ResRental'!D154</f>
        <v>0</v>
      </c>
      <c r="E5" s="537">
        <f>'CashFlow-ResRental'!E42+'CashFlow-ResRental'!E98+'CashFlow-ResRental'!E154</f>
        <v>0</v>
      </c>
      <c r="F5" s="601">
        <f>'CashFlow-ResRental'!F42+'CashFlow-ResRental'!F98+'CashFlow-ResRental'!F154</f>
        <v>0</v>
      </c>
      <c r="G5" s="602">
        <f>'CashFlow-ResRental'!G42+'CashFlow-ResRental'!G98+'CashFlow-ResRental'!G154</f>
        <v>804924.95854690624</v>
      </c>
      <c r="H5" s="796">
        <f>'CashFlow-ResRental'!H42+'CashFlow-ResRental'!H98+'CashFlow-ResRental'!H154</f>
        <v>13057012.557607086</v>
      </c>
      <c r="I5" s="838">
        <f>'CashFlow-ResRental'!I42+'CashFlow-ResRental'!I98+'CashFlow-ResRental'!I154</f>
        <v>17019504.538508795</v>
      </c>
      <c r="J5" s="838">
        <f>'CashFlow-ResRental'!J42+'CashFlow-ResRental'!J98+'CashFlow-ResRental'!J154</f>
        <v>17530089.674664058</v>
      </c>
      <c r="K5" s="838">
        <f>'CashFlow-ResRental'!K42+'CashFlow-ResRental'!K98+'CashFlow-ResRental'!K154</f>
        <v>18055992.364903983</v>
      </c>
      <c r="L5" s="843">
        <f>'CashFlow-ResRental'!L42+'CashFlow-ResRental'!L98+'CashFlow-ResRental'!L154</f>
        <v>18597672.135851104</v>
      </c>
      <c r="M5" s="844">
        <f>'CashFlow-ResRental'!M42+'CashFlow-ResRental'!M98+'CashFlow-ResRental'!M154</f>
        <v>21178430.23950744</v>
      </c>
      <c r="N5" s="315">
        <f>'CashFlow-ResRental'!N42+'CashFlow-ResRental'!N98+'CashFlow-ResRental'!N154</f>
        <v>22413205.348047361</v>
      </c>
      <c r="P5" s="685" t="s">
        <v>565</v>
      </c>
      <c r="Q5" s="686">
        <v>2019</v>
      </c>
      <c r="R5" s="686">
        <v>2020</v>
      </c>
      <c r="S5" s="687">
        <f t="shared" ref="S5" si="1">R5+1</f>
        <v>2021</v>
      </c>
      <c r="T5" s="687">
        <f t="shared" ref="T5" si="2">S5+1</f>
        <v>2022</v>
      </c>
      <c r="U5" s="687">
        <f t="shared" ref="U5" si="3">T5+1</f>
        <v>2023</v>
      </c>
      <c r="V5" s="688">
        <f t="shared" ref="V5" si="4">U5+1</f>
        <v>2024</v>
      </c>
      <c r="W5" s="688">
        <f t="shared" ref="W5" si="5">V5+1</f>
        <v>2025</v>
      </c>
      <c r="X5" s="689">
        <f t="shared" ref="X5" si="6">W5+1</f>
        <v>2026</v>
      </c>
      <c r="Y5" s="689">
        <f t="shared" ref="Y5" si="7">X5+1</f>
        <v>2027</v>
      </c>
      <c r="Z5" s="690">
        <f t="shared" ref="Z5" si="8">Y5+1</f>
        <v>2028</v>
      </c>
    </row>
    <row r="6" spans="1:28" x14ac:dyDescent="0.65">
      <c r="A6" s="266"/>
      <c r="B6" s="200" t="s">
        <v>284</v>
      </c>
      <c r="C6" s="952" t="s">
        <v>392</v>
      </c>
      <c r="D6" s="953"/>
      <c r="E6" s="953"/>
      <c r="F6" s="953"/>
      <c r="G6" s="953"/>
      <c r="H6" s="953"/>
      <c r="I6" s="953"/>
      <c r="J6" s="953"/>
      <c r="K6" s="953"/>
      <c r="L6" s="953"/>
      <c r="M6" s="953"/>
      <c r="N6" s="955"/>
    </row>
    <row r="7" spans="1:28" x14ac:dyDescent="0.65">
      <c r="A7" s="265" t="s">
        <v>285</v>
      </c>
      <c r="B7" s="200" t="s">
        <v>283</v>
      </c>
      <c r="C7" s="952" t="s">
        <v>550</v>
      </c>
      <c r="D7" s="953"/>
      <c r="E7" s="953"/>
      <c r="F7" s="953"/>
      <c r="G7" s="953"/>
      <c r="H7" s="953"/>
      <c r="I7" s="953"/>
      <c r="J7" s="953"/>
      <c r="K7" s="953"/>
      <c r="L7" s="953"/>
      <c r="M7" s="953"/>
      <c r="N7" s="955"/>
    </row>
    <row r="8" spans="1:28" x14ac:dyDescent="0.65">
      <c r="A8" s="266"/>
      <c r="B8" s="200" t="s">
        <v>284</v>
      </c>
      <c r="C8" s="952" t="s">
        <v>392</v>
      </c>
      <c r="D8" s="953"/>
      <c r="E8" s="953"/>
      <c r="F8" s="953"/>
      <c r="G8" s="953"/>
      <c r="H8" s="953"/>
      <c r="I8" s="953"/>
      <c r="J8" s="953"/>
      <c r="K8" s="953"/>
      <c r="L8" s="953"/>
      <c r="M8" s="953"/>
      <c r="N8" s="955"/>
    </row>
    <row r="9" spans="1:28" x14ac:dyDescent="0.65">
      <c r="A9" s="284" t="s">
        <v>286</v>
      </c>
      <c r="B9" s="199"/>
      <c r="C9" s="318">
        <f t="shared" ref="C9:C21" si="9">SUM(D9:E9)</f>
        <v>0</v>
      </c>
      <c r="D9" s="537">
        <f>'CashFlow-Office'!D38+'CashFlow-Office'!D88+'CashFlow-Office'!D138</f>
        <v>0</v>
      </c>
      <c r="E9" s="537">
        <f>'CashFlow-Office'!E38+'CashFlow-Office'!E88+'CashFlow-Office'!E138</f>
        <v>0</v>
      </c>
      <c r="F9" s="601">
        <f>'CashFlow-Office'!F38+'CashFlow-Office'!F88+'CashFlow-Office'!F138</f>
        <v>0</v>
      </c>
      <c r="G9" s="672">
        <f>'CashFlow-Office'!G38+'CashFlow-Office'!G88+'CashFlow-Office'!G138</f>
        <v>3065336.3567590006</v>
      </c>
      <c r="H9" s="797">
        <f>'CashFlow-Office'!H38+'CashFlow-Office'!H88+'CashFlow-Office'!H138</f>
        <v>5649898.9059842192</v>
      </c>
      <c r="I9" s="872">
        <f>'CashFlow-Office'!I38+'CashFlow-Office'!I88+'CashFlow-Office'!I138</f>
        <v>5819395.8731637467</v>
      </c>
      <c r="J9" s="872">
        <f>'CashFlow-Office'!J38+'CashFlow-Office'!J88+'CashFlow-Office'!J138</f>
        <v>5993977.7493586577</v>
      </c>
      <c r="K9" s="872">
        <f>'CashFlow-Office'!K38+'CashFlow-Office'!K88+'CashFlow-Office'!K138</f>
        <v>6173797.081839419</v>
      </c>
      <c r="L9" s="849">
        <f>'CashFlow-Office'!L38+'CashFlow-Office'!L88+'CashFlow-Office'!L138</f>
        <v>6359010.9942946006</v>
      </c>
      <c r="M9" s="845">
        <f>'CashFlow-Office'!M38+'CashFlow-Office'!M88+'CashFlow-Office'!M138</f>
        <v>8656990.0160076674</v>
      </c>
      <c r="N9" s="315">
        <f>'CashFlow-Office'!N38+'CashFlow-Office'!N88+'CashFlow-Office'!N138</f>
        <v>10630193.100151654</v>
      </c>
    </row>
    <row r="10" spans="1:28" x14ac:dyDescent="0.65">
      <c r="A10" s="284" t="s">
        <v>602</v>
      </c>
      <c r="B10" s="199"/>
      <c r="C10" s="734">
        <f>'CashFlow-Retail'!C53+'CashFlow-Retail'!C117+'CashFlow-Retail'!C1193</f>
        <v>0</v>
      </c>
      <c r="D10" s="592">
        <f>'CashFlow-Retail'!D53+'CashFlow-Retail'!D117+'CashFlow-Retail'!D1193</f>
        <v>0</v>
      </c>
      <c r="E10" s="592">
        <f>'CashFlow-Retail'!E53+'CashFlow-Retail'!E117+'CashFlow-Retail'!E1193</f>
        <v>0</v>
      </c>
      <c r="F10" s="602">
        <f>'CashFlow-Retail'!F53+'CashFlow-Retail'!F117+'CashFlow-Retail'!F1193</f>
        <v>0</v>
      </c>
      <c r="G10" s="673">
        <f>'CashFlow-Retail'!G53+'CashFlow-Retail'!G117+'CashFlow-Retail'!G1193</f>
        <v>-1184789.24975</v>
      </c>
      <c r="H10" s="798">
        <f>'CashFlow-Retail'!H53+'CashFlow-Retail'!H117+'CashFlow-Retail'!H1193</f>
        <v>2090452.5331653995</v>
      </c>
      <c r="I10" s="877">
        <f>'CashFlow-Retail'!I53+'CashFlow-Retail'!I117+'CashFlow-Retail'!I1193</f>
        <v>2153166.1091603618</v>
      </c>
      <c r="J10" s="877">
        <f>'CashFlow-Retail'!J53+'CashFlow-Retail'!J117+'CashFlow-Retail'!J1193</f>
        <v>2217761.0924351728</v>
      </c>
      <c r="K10" s="878">
        <f>'CashFlow-Retail'!K53+'CashFlow-Retail'!K117+'CashFlow-Retail'!K1193</f>
        <v>2284293.9252082277</v>
      </c>
      <c r="L10" s="848">
        <f>'CashFlow-Retail'!L53+'CashFlow-Retail'!L117+'CashFlow-Retail'!L1193</f>
        <v>2352822.7429644745</v>
      </c>
      <c r="M10" s="848">
        <f>'CashFlow-Retail'!M53+'CashFlow-Retail'!M117+'CashFlow-Retail'!M1193</f>
        <v>2423407.425253408</v>
      </c>
      <c r="N10" s="315">
        <f>'CashFlow-Retail'!N53+'CashFlow-Retail'!N123+'CashFlow-Retail'!N193</f>
        <v>26358564.567380153</v>
      </c>
    </row>
    <row r="11" spans="1:28" hidden="1" x14ac:dyDescent="0.65">
      <c r="A11" s="284" t="s">
        <v>287</v>
      </c>
      <c r="B11" s="200"/>
      <c r="C11" s="952" t="s">
        <v>391</v>
      </c>
      <c r="D11" s="953"/>
      <c r="E11" s="953"/>
      <c r="F11" s="953"/>
      <c r="G11" s="954"/>
      <c r="H11" s="954"/>
      <c r="I11" s="954"/>
      <c r="J11" s="954"/>
      <c r="K11" s="954"/>
      <c r="L11" s="954"/>
      <c r="M11" s="954"/>
      <c r="N11" s="955"/>
    </row>
    <row r="12" spans="1:28" x14ac:dyDescent="0.65">
      <c r="A12" s="284" t="s">
        <v>49</v>
      </c>
      <c r="B12" s="199"/>
      <c r="C12" s="318">
        <f t="shared" si="9"/>
        <v>0</v>
      </c>
      <c r="D12" s="537">
        <f>'CashFlow-Hotel'!D56+'CashFlow-Hotel'!D121+'CashFlow-Hotel'!D186</f>
        <v>0</v>
      </c>
      <c r="E12" s="537">
        <f>'CashFlow-Hotel'!E56+'CashFlow-Hotel'!E121+'CashFlow-Hotel'!E186</f>
        <v>0</v>
      </c>
      <c r="F12" s="601">
        <f>'CashFlow-Hotel'!F56+'CashFlow-Hotel'!F121+'CashFlow-Hotel'!F186</f>
        <v>0</v>
      </c>
      <c r="G12" s="602">
        <f>'CashFlow-Hotel'!G56+'CashFlow-Hotel'!G121+'CashFlow-Hotel'!G186</f>
        <v>0</v>
      </c>
      <c r="H12" s="796">
        <f>'CashFlow-Hotel'!H56+'CashFlow-Hotel'!H121+'CashFlow-Hotel'!H186</f>
        <v>26148807.604457784</v>
      </c>
      <c r="I12" s="838">
        <f>'CashFlow-Hotel'!I56+'CashFlow-Hotel'!I121+'CashFlow-Hotel'!I186</f>
        <v>27147501.479153663</v>
      </c>
      <c r="J12" s="838">
        <f>'CashFlow-Hotel'!J56+'CashFlow-Hotel'!J121+'CashFlow-Hotel'!J186</f>
        <v>27741269.987569265</v>
      </c>
      <c r="K12" s="838">
        <f>'CashFlow-Hotel'!K56+'CashFlow-Hotel'!K121+'CashFlow-Hotel'!K186</f>
        <v>28573508.08719635</v>
      </c>
      <c r="L12" s="843">
        <f>'CashFlow-Hotel'!L56+'CashFlow-Hotel'!L121+'CashFlow-Hotel'!L186</f>
        <v>29430713.329812236</v>
      </c>
      <c r="M12" s="844">
        <f>'CashFlow-Hotel'!M56+'CashFlow-Hotel'!M121+'CashFlow-Hotel'!M186</f>
        <v>53274521.584548965</v>
      </c>
      <c r="N12" s="315">
        <f>'CashFlow-Hotel'!N56+'CashFlow-Hotel'!N121+'CashFlow-Hotel'!N186</f>
        <v>31243138.806718253</v>
      </c>
      <c r="O12" s="171"/>
    </row>
    <row r="13" spans="1:28" hidden="1" x14ac:dyDescent="0.65">
      <c r="A13" s="284" t="s">
        <v>482</v>
      </c>
      <c r="B13" s="199"/>
      <c r="C13" s="318">
        <f t="shared" si="9"/>
        <v>0</v>
      </c>
      <c r="D13" s="537">
        <v>0</v>
      </c>
      <c r="E13" s="537">
        <v>0</v>
      </c>
      <c r="F13" s="601">
        <v>0</v>
      </c>
      <c r="G13" s="602">
        <v>0</v>
      </c>
      <c r="H13" s="796">
        <v>0</v>
      </c>
      <c r="I13" s="838">
        <v>0</v>
      </c>
      <c r="J13" s="871">
        <v>0</v>
      </c>
      <c r="K13" s="838">
        <v>0</v>
      </c>
      <c r="L13" s="591">
        <v>0</v>
      </c>
      <c r="M13" s="592">
        <v>0</v>
      </c>
      <c r="N13" s="315">
        <v>0</v>
      </c>
    </row>
    <row r="14" spans="1:28" ht="11.25" customHeight="1" x14ac:dyDescent="0.65">
      <c r="A14" s="284" t="s">
        <v>288</v>
      </c>
      <c r="B14" s="199"/>
      <c r="C14" s="318">
        <f>SUM(D14:E14)</f>
        <v>0</v>
      </c>
      <c r="D14" s="537">
        <f>'CashFlow-Parking'!D18+'CashFlow-Parking'!D49</f>
        <v>0</v>
      </c>
      <c r="E14" s="537">
        <f>'CashFlow-Parking'!E18+'CashFlow-Parking'!E49</f>
        <v>0</v>
      </c>
      <c r="F14" s="601">
        <f>'CashFlow-Parking'!F18+'CashFlow-Parking'!F49</f>
        <v>0</v>
      </c>
      <c r="G14" s="602">
        <f>'CashFlow-Parking'!G18+'CashFlow-Parking'!G49</f>
        <v>139875</v>
      </c>
      <c r="H14" s="796">
        <f>'CashFlow-Parking'!H18+'CashFlow-Parking'!H49</f>
        <v>144071.25</v>
      </c>
      <c r="I14" s="838">
        <f>'CashFlow-Parking'!I18+'CashFlow-Parking'!I49</f>
        <v>148393.38750000001</v>
      </c>
      <c r="J14" s="872">
        <f>'CashFlow-Parking'!J18+'CashFlow-Parking'!J49</f>
        <v>152845.189125</v>
      </c>
      <c r="K14" s="838">
        <f>'CashFlow-Parking'!K18+'CashFlow-Parking'!K49</f>
        <v>157430.54479875002</v>
      </c>
      <c r="L14" s="843">
        <f>'CashFlow-Parking'!L18+'CashFlow-Parking'!L49</f>
        <v>162153.46114271253</v>
      </c>
      <c r="M14" s="844">
        <f>'CashFlow-Parking'!M18+'CashFlow-Parking'!M49</f>
        <v>352094.06497699389</v>
      </c>
      <c r="N14" s="315">
        <f>'CashFlow-Parking'!N18+'CashFlow-Parking'!N49</f>
        <v>357104.60692630371</v>
      </c>
    </row>
    <row r="15" spans="1:28" hidden="1" x14ac:dyDescent="0.65">
      <c r="A15" s="284" t="s">
        <v>482</v>
      </c>
      <c r="B15" s="200"/>
      <c r="C15" s="318">
        <f t="shared" si="9"/>
        <v>0</v>
      </c>
      <c r="D15" s="537">
        <v>0</v>
      </c>
      <c r="E15" s="537">
        <v>0</v>
      </c>
      <c r="F15" s="601">
        <v>0</v>
      </c>
      <c r="G15" s="602">
        <v>0</v>
      </c>
      <c r="H15" s="796">
        <v>0</v>
      </c>
      <c r="I15" s="838">
        <v>0</v>
      </c>
      <c r="J15" s="873">
        <v>0</v>
      </c>
      <c r="K15" s="838">
        <v>0</v>
      </c>
      <c r="L15" s="591">
        <v>0</v>
      </c>
      <c r="M15" s="592">
        <v>0</v>
      </c>
      <c r="N15" s="315">
        <v>0</v>
      </c>
    </row>
    <row r="16" spans="1:28" hidden="1" x14ac:dyDescent="0.65">
      <c r="A16" s="284" t="s">
        <v>482</v>
      </c>
      <c r="B16" s="199"/>
      <c r="C16" s="318">
        <f t="shared" si="9"/>
        <v>0</v>
      </c>
      <c r="D16" s="537">
        <v>0</v>
      </c>
      <c r="E16" s="537">
        <v>0</v>
      </c>
      <c r="F16" s="601">
        <v>0</v>
      </c>
      <c r="G16" s="602">
        <v>0</v>
      </c>
      <c r="H16" s="796">
        <v>0</v>
      </c>
      <c r="I16" s="838">
        <v>0</v>
      </c>
      <c r="J16" s="871">
        <v>0</v>
      </c>
      <c r="K16" s="838">
        <v>0</v>
      </c>
      <c r="L16" s="591">
        <v>0</v>
      </c>
      <c r="M16" s="592">
        <v>0</v>
      </c>
      <c r="N16" s="315">
        <v>0</v>
      </c>
    </row>
    <row r="17" spans="1:14" x14ac:dyDescent="0.65">
      <c r="A17" s="284" t="s">
        <v>289</v>
      </c>
      <c r="B17" s="200"/>
      <c r="C17" s="318">
        <f t="shared" si="9"/>
        <v>0</v>
      </c>
      <c r="D17" s="537">
        <v>0</v>
      </c>
      <c r="E17" s="537">
        <v>0</v>
      </c>
      <c r="F17" s="601">
        <v>0</v>
      </c>
      <c r="G17" s="602">
        <v>0</v>
      </c>
      <c r="H17" s="796">
        <v>0</v>
      </c>
      <c r="I17" s="838">
        <v>0</v>
      </c>
      <c r="J17" s="838">
        <v>0</v>
      </c>
      <c r="K17" s="838">
        <v>0</v>
      </c>
      <c r="L17" s="843">
        <v>0</v>
      </c>
      <c r="M17" s="844">
        <v>0</v>
      </c>
      <c r="N17" s="315">
        <v>0</v>
      </c>
    </row>
    <row r="18" spans="1:14" x14ac:dyDescent="0.65">
      <c r="A18" s="263" t="s">
        <v>290</v>
      </c>
      <c r="B18" s="199"/>
      <c r="C18" s="318">
        <f t="shared" si="9"/>
        <v>0</v>
      </c>
      <c r="D18" s="537">
        <v>0</v>
      </c>
      <c r="E18" s="537">
        <v>0</v>
      </c>
      <c r="F18" s="601">
        <v>0</v>
      </c>
      <c r="G18" s="602">
        <v>0</v>
      </c>
      <c r="H18" s="796">
        <v>0</v>
      </c>
      <c r="I18" s="838">
        <v>0</v>
      </c>
      <c r="J18" s="838">
        <v>0</v>
      </c>
      <c r="K18" s="838">
        <v>0</v>
      </c>
      <c r="L18" s="843">
        <v>0</v>
      </c>
      <c r="M18" s="844">
        <v>0</v>
      </c>
      <c r="N18" s="315">
        <v>0</v>
      </c>
    </row>
    <row r="19" spans="1:14" x14ac:dyDescent="0.65">
      <c r="A19" s="691" t="s">
        <v>291</v>
      </c>
      <c r="B19" s="692"/>
      <c r="C19" s="693">
        <f t="shared" si="9"/>
        <v>0</v>
      </c>
      <c r="D19" s="674">
        <f t="shared" ref="D19:N19" si="10">SUM(D5:D6,D8:D10,D12:D18)</f>
        <v>0</v>
      </c>
      <c r="E19" s="674">
        <f t="shared" si="10"/>
        <v>0</v>
      </c>
      <c r="F19" s="603">
        <f t="shared" si="10"/>
        <v>0</v>
      </c>
      <c r="G19" s="604">
        <f>SUM(G5:G6,G8:G10,G12:G18)</f>
        <v>2825347.0655559069</v>
      </c>
      <c r="H19" s="799">
        <f t="shared" si="10"/>
        <v>47090242.851214491</v>
      </c>
      <c r="I19" s="875">
        <f t="shared" si="10"/>
        <v>52287961.38748657</v>
      </c>
      <c r="J19" s="874">
        <f t="shared" si="10"/>
        <v>53635943.693152159</v>
      </c>
      <c r="K19" s="875">
        <f t="shared" si="10"/>
        <v>55245022.003946729</v>
      </c>
      <c r="L19" s="847">
        <f t="shared" si="10"/>
        <v>56902372.66406513</v>
      </c>
      <c r="M19" s="846">
        <f t="shared" si="10"/>
        <v>85885443.33029446</v>
      </c>
      <c r="N19" s="317">
        <f t="shared" si="10"/>
        <v>91002206.429223731</v>
      </c>
    </row>
    <row r="20" spans="1:14" x14ac:dyDescent="0.65">
      <c r="A20" s="267" t="s">
        <v>292</v>
      </c>
      <c r="B20" s="264"/>
      <c r="C20" s="319">
        <f t="shared" si="9"/>
        <v>1962999.5275667224</v>
      </c>
      <c r="D20" s="538">
        <f>'CashFlow-Combined'!D264</f>
        <v>601178.25261282129</v>
      </c>
      <c r="E20" s="538">
        <f>'CashFlow-Combined'!E264</f>
        <v>1361821.2749539011</v>
      </c>
      <c r="F20" s="603">
        <f>'CashFlow-Combined'!F264</f>
        <v>10076388.972265549</v>
      </c>
      <c r="G20" s="604">
        <f>'CashFlow-Combined'!G264</f>
        <v>78103418.574080244</v>
      </c>
      <c r="H20" s="799">
        <f>'CashFlow-Combined'!H264</f>
        <v>98290787.074472979</v>
      </c>
      <c r="I20" s="875">
        <f>'CashFlow-Combined'!I264</f>
        <v>7522303.322871252</v>
      </c>
      <c r="J20" s="876">
        <f>'CashFlow-Combined'!J264</f>
        <v>0</v>
      </c>
      <c r="K20" s="875">
        <f>'CashFlow-Combined'!K264</f>
        <v>0</v>
      </c>
      <c r="L20" s="847">
        <f>'CashFlow-Combined'!L264</f>
        <v>0</v>
      </c>
      <c r="M20" s="846">
        <f>'CashFlow-Combined'!M264</f>
        <v>1058317532.1740677</v>
      </c>
      <c r="N20" s="317"/>
    </row>
    <row r="21" spans="1:14" x14ac:dyDescent="0.65">
      <c r="A21" s="240"/>
      <c r="B21" s="203" t="s">
        <v>293</v>
      </c>
      <c r="C21" s="319">
        <f t="shared" si="9"/>
        <v>1962999.5275667224</v>
      </c>
      <c r="D21" s="539">
        <f>D19+D20</f>
        <v>601178.25261282129</v>
      </c>
      <c r="E21" s="539">
        <f t="shared" ref="E21:M21" si="11">E19+E20</f>
        <v>1361821.2749539011</v>
      </c>
      <c r="F21" s="603">
        <f t="shared" si="11"/>
        <v>10076388.972265549</v>
      </c>
      <c r="G21" s="604">
        <f t="shared" si="11"/>
        <v>80928765.639636144</v>
      </c>
      <c r="H21" s="799">
        <f t="shared" si="11"/>
        <v>145381029.92568746</v>
      </c>
      <c r="I21" s="875">
        <f t="shared" si="11"/>
        <v>59810264.710357822</v>
      </c>
      <c r="J21" s="876">
        <f t="shared" si="11"/>
        <v>53635943.693152159</v>
      </c>
      <c r="K21" s="875">
        <f t="shared" si="11"/>
        <v>55245022.003946729</v>
      </c>
      <c r="L21" s="847">
        <f t="shared" si="11"/>
        <v>56902372.66406513</v>
      </c>
      <c r="M21" s="846">
        <f t="shared" si="11"/>
        <v>1144202975.5043621</v>
      </c>
      <c r="N21" s="320"/>
    </row>
    <row r="22" spans="1:14" x14ac:dyDescent="0.65">
      <c r="A22" s="241"/>
      <c r="B22" s="204"/>
      <c r="C22" s="205"/>
      <c r="D22" s="540"/>
      <c r="E22" s="540"/>
      <c r="F22" s="206"/>
      <c r="G22" s="206"/>
      <c r="H22" s="206"/>
      <c r="I22" s="206"/>
      <c r="J22" s="206"/>
      <c r="K22" s="206"/>
      <c r="L22" s="206"/>
      <c r="M22" s="206"/>
      <c r="N22" s="242"/>
    </row>
    <row r="23" spans="1:14" x14ac:dyDescent="0.65">
      <c r="A23" s="236" t="s">
        <v>294</v>
      </c>
      <c r="B23" s="197"/>
      <c r="C23" s="281"/>
      <c r="D23" s="536"/>
      <c r="E23" s="536"/>
      <c r="F23" s="605"/>
      <c r="G23" s="606"/>
      <c r="H23" s="800"/>
      <c r="I23" s="837"/>
      <c r="J23" s="837"/>
      <c r="K23" s="837"/>
      <c r="L23" s="850"/>
      <c r="M23" s="851"/>
      <c r="N23" s="243"/>
    </row>
    <row r="24" spans="1:14" x14ac:dyDescent="0.65">
      <c r="A24" s="285" t="s">
        <v>603</v>
      </c>
      <c r="B24" s="200" t="s">
        <v>283</v>
      </c>
      <c r="C24" s="318">
        <f t="shared" ref="C24:C35" si="12">SUM(D24:E24)</f>
        <v>14687823.529471522</v>
      </c>
      <c r="D24" s="537">
        <f>-'CashFlow-Combined'!D245</f>
        <v>6994346.575892549</v>
      </c>
      <c r="E24" s="537">
        <f>-'CashFlow-Combined'!E245</f>
        <v>7693476.9535789732</v>
      </c>
      <c r="F24" s="607">
        <f>-'CashFlow-Combined'!F245</f>
        <v>100288235.07128055</v>
      </c>
      <c r="G24" s="608">
        <f>-'CashFlow-Combined'!G245</f>
        <v>103066077.8148116</v>
      </c>
      <c r="H24" s="609">
        <f>-'CashFlow-Combined'!H245</f>
        <v>0</v>
      </c>
      <c r="I24" s="879">
        <f>-'CashFlow-Combined'!I245</f>
        <v>1201087.3113322936</v>
      </c>
      <c r="J24" s="879">
        <f>-'CashFlow-Combined'!J245</f>
        <v>1201087.3113322936</v>
      </c>
      <c r="K24" s="879">
        <f>-'CashFlow-Combined'!K245</f>
        <v>15992802.968133941</v>
      </c>
      <c r="L24" s="852">
        <f>-'CashFlow-Combined'!L245</f>
        <v>16436554.43783799</v>
      </c>
      <c r="M24" s="853">
        <f>-'CashFlow-Combined'!M245</f>
        <v>0</v>
      </c>
      <c r="N24" s="321"/>
    </row>
    <row r="25" spans="1:14" x14ac:dyDescent="0.65">
      <c r="A25" s="286"/>
      <c r="B25" s="200" t="s">
        <v>284</v>
      </c>
      <c r="C25" s="318">
        <f t="shared" si="12"/>
        <v>8641255.9507567994</v>
      </c>
      <c r="D25" s="537">
        <f>-'CashFlow-Combined'!D246</f>
        <v>3060213.4256081404</v>
      </c>
      <c r="E25" s="537">
        <f>-'CashFlow-Combined'!E246</f>
        <v>5581042.5251486581</v>
      </c>
      <c r="F25" s="607">
        <f>-'CashFlow-Combined'!F246</f>
        <v>66551919.991448268</v>
      </c>
      <c r="G25" s="608">
        <f>-'CashFlow-Combined'!G246</f>
        <v>68381046.315437257</v>
      </c>
      <c r="H25" s="609">
        <f>-'CashFlow-Combined'!H246</f>
        <v>0</v>
      </c>
      <c r="I25" s="879">
        <f>-'CashFlow-Combined'!I246</f>
        <v>640279.29505730327</v>
      </c>
      <c r="J25" s="879">
        <f>-'CashFlow-Combined'!J246</f>
        <v>640279.29505730327</v>
      </c>
      <c r="K25" s="879">
        <f>-'CashFlow-Combined'!K246</f>
        <v>8525492.2883738484</v>
      </c>
      <c r="L25" s="852">
        <f>-'CashFlow-Combined'!L246</f>
        <v>8762048.6781733446</v>
      </c>
      <c r="M25" s="853">
        <f>-'CashFlow-Combined'!M246</f>
        <v>0</v>
      </c>
      <c r="N25" s="321"/>
    </row>
    <row r="26" spans="1:14" hidden="1" x14ac:dyDescent="0.65">
      <c r="A26" s="283" t="s">
        <v>482</v>
      </c>
      <c r="B26" s="200" t="s">
        <v>482</v>
      </c>
      <c r="C26" s="318">
        <f t="shared" si="12"/>
        <v>0</v>
      </c>
      <c r="D26" s="537">
        <v>0</v>
      </c>
      <c r="E26" s="537">
        <v>0</v>
      </c>
      <c r="F26" s="607">
        <v>0</v>
      </c>
      <c r="G26" s="608">
        <v>0</v>
      </c>
      <c r="H26" s="608">
        <v>0</v>
      </c>
      <c r="I26" s="609">
        <v>0</v>
      </c>
      <c r="J26" s="595">
        <v>0</v>
      </c>
      <c r="K26" s="596">
        <v>0</v>
      </c>
      <c r="L26" s="593">
        <v>0</v>
      </c>
      <c r="M26" s="594">
        <v>0</v>
      </c>
      <c r="N26" s="321"/>
    </row>
    <row r="27" spans="1:14" x14ac:dyDescent="0.65">
      <c r="A27" s="283" t="s">
        <v>285</v>
      </c>
      <c r="B27" s="200" t="s">
        <v>283</v>
      </c>
      <c r="C27" s="952" t="s">
        <v>566</v>
      </c>
      <c r="D27" s="953"/>
      <c r="E27" s="953"/>
      <c r="F27" s="953"/>
      <c r="G27" s="953"/>
      <c r="H27" s="953"/>
      <c r="I27" s="953"/>
      <c r="J27" s="953"/>
      <c r="K27" s="953"/>
      <c r="L27" s="953"/>
      <c r="M27" s="953"/>
      <c r="N27" s="955"/>
    </row>
    <row r="28" spans="1:14" x14ac:dyDescent="0.65">
      <c r="A28" s="286"/>
      <c r="B28" s="200" t="s">
        <v>284</v>
      </c>
      <c r="C28" s="956" t="s">
        <v>567</v>
      </c>
      <c r="D28" s="957"/>
      <c r="E28" s="957"/>
      <c r="F28" s="957"/>
      <c r="G28" s="957"/>
      <c r="H28" s="957"/>
      <c r="I28" s="957"/>
      <c r="J28" s="957"/>
      <c r="K28" s="957"/>
      <c r="L28" s="957"/>
      <c r="M28" s="957"/>
      <c r="N28" s="958"/>
    </row>
    <row r="29" spans="1:14" x14ac:dyDescent="0.65">
      <c r="A29" s="284" t="s">
        <v>286</v>
      </c>
      <c r="B29" s="199"/>
      <c r="C29" s="805">
        <f t="shared" si="12"/>
        <v>3294147.9740279596</v>
      </c>
      <c r="D29" s="806">
        <f>-'CashFlow-Combined'!D248</f>
        <v>0</v>
      </c>
      <c r="E29" s="806">
        <f>-'CashFlow-Combined'!E248</f>
        <v>3294147.9740279596</v>
      </c>
      <c r="F29" s="807">
        <f>-'CashFlow-Combined'!F248</f>
        <v>33720391.576502956</v>
      </c>
      <c r="G29" s="808">
        <f>-'CashFlow-Combined'!G248</f>
        <v>34633178.884577207</v>
      </c>
      <c r="H29" s="809">
        <f>-'CashFlow-Combined'!H248</f>
        <v>0</v>
      </c>
      <c r="I29" s="880">
        <f>-'CashFlow-Combined'!I248</f>
        <v>1648908.4946723063</v>
      </c>
      <c r="J29" s="880">
        <f>-'CashFlow-Combined'!J248</f>
        <v>1648908.4946723063</v>
      </c>
      <c r="K29" s="880">
        <f>-'CashFlow-Combined'!K248</f>
        <v>21955663.355168693</v>
      </c>
      <c r="L29" s="854">
        <f>-'CashFlow-Combined'!L248</f>
        <v>22564866.000983581</v>
      </c>
      <c r="M29" s="855">
        <f>-'CashFlow-Combined'!M248</f>
        <v>0</v>
      </c>
      <c r="N29" s="810"/>
    </row>
    <row r="30" spans="1:14" x14ac:dyDescent="0.65">
      <c r="A30" s="284" t="s">
        <v>602</v>
      </c>
      <c r="B30" s="199"/>
      <c r="C30" s="318">
        <f t="shared" si="12"/>
        <v>2559042.7601332995</v>
      </c>
      <c r="D30" s="537">
        <f>-'CashFlow-Combined'!D247</f>
        <v>458274.4889026499</v>
      </c>
      <c r="E30" s="537">
        <f>-'CashFlow-Combined'!E247</f>
        <v>2100768.2712306497</v>
      </c>
      <c r="F30" s="607">
        <f>-'CashFlow-Combined'!F247</f>
        <v>23906530.741480649</v>
      </c>
      <c r="G30" s="608">
        <f>-'CashFlow-Combined'!G247</f>
        <v>24560703.615588151</v>
      </c>
      <c r="H30" s="609">
        <f>-'CashFlow-Combined'!H247</f>
        <v>0</v>
      </c>
      <c r="I30" s="879">
        <f>-'CashFlow-Combined'!I247</f>
        <v>621304.52643069439</v>
      </c>
      <c r="J30" s="879">
        <f>-'CashFlow-Combined'!J247</f>
        <v>621304.52643069439</v>
      </c>
      <c r="K30" s="879">
        <f>-'CashFlow-Combined'!K247</f>
        <v>8637196.8449125607</v>
      </c>
      <c r="L30" s="852">
        <f>-'CashFlow-Combined'!L247</f>
        <v>8877673.6144670136</v>
      </c>
      <c r="M30" s="853">
        <f>-'CashFlow-Combined'!M247</f>
        <v>0</v>
      </c>
      <c r="N30" s="321"/>
    </row>
    <row r="31" spans="1:14" x14ac:dyDescent="0.65">
      <c r="A31" s="284" t="s">
        <v>49</v>
      </c>
      <c r="B31" s="199"/>
      <c r="C31" s="318">
        <f t="shared" si="12"/>
        <v>5653270.875</v>
      </c>
      <c r="D31" s="537">
        <f>-'CashFlow-Combined'!D249</f>
        <v>2826635.4375</v>
      </c>
      <c r="E31" s="537">
        <f>-'CashFlow-Combined'!E249</f>
        <v>2826635.4375</v>
      </c>
      <c r="F31" s="607">
        <f>-'CashFlow-Combined'!F249</f>
        <v>37637416.6875</v>
      </c>
      <c r="G31" s="608">
        <f>-'CashFlow-Combined'!G249</f>
        <v>38681740.125</v>
      </c>
      <c r="H31" s="609">
        <f>-'CashFlow-Combined'!H249</f>
        <v>0</v>
      </c>
      <c r="I31" s="879">
        <f>-'CashFlow-Combined'!I249</f>
        <v>4442707.3731613215</v>
      </c>
      <c r="J31" s="879">
        <f>-'CashFlow-Combined'!J249</f>
        <v>4442707.3731613215</v>
      </c>
      <c r="K31" s="882">
        <f>-'CashFlow-Combined'!K249</f>
        <v>59155852.362832762</v>
      </c>
      <c r="L31" s="852">
        <f>-'CashFlow-Combined'!L249</f>
        <v>60797246.712522902</v>
      </c>
      <c r="M31" s="853">
        <f>-'CashFlow-Combined'!M249</f>
        <v>0</v>
      </c>
      <c r="N31" s="321"/>
    </row>
    <row r="32" spans="1:14" x14ac:dyDescent="0.65">
      <c r="A32" s="284" t="s">
        <v>288</v>
      </c>
      <c r="B32" s="199"/>
      <c r="C32" s="318">
        <f t="shared" si="12"/>
        <v>0</v>
      </c>
      <c r="D32" s="537">
        <v>0</v>
      </c>
      <c r="E32" s="537">
        <v>0</v>
      </c>
      <c r="F32" s="607">
        <f>'CashFlow-Parking'!F25</f>
        <v>2808129.87</v>
      </c>
      <c r="G32" s="608">
        <f>'CashFlow-Parking'!G25</f>
        <v>2808129.87</v>
      </c>
      <c r="H32" s="609">
        <f>'CashFlow-Parking'!H25</f>
        <v>0</v>
      </c>
      <c r="I32" s="881">
        <f>-'CashFlow-Parking'!I56</f>
        <v>0</v>
      </c>
      <c r="J32" s="879">
        <f>-'CashFlow-Parking'!J56</f>
        <v>0</v>
      </c>
      <c r="K32" s="883">
        <f>'CashFlow-Parking'!K56</f>
        <v>6058015.1100000003</v>
      </c>
      <c r="L32" s="852">
        <f>'CashFlow-Parking'!L56</f>
        <v>6058015.1100000003</v>
      </c>
      <c r="M32" s="853">
        <f>'CashFlow-Parking'!M56</f>
        <v>0</v>
      </c>
      <c r="N32" s="321"/>
    </row>
    <row r="33" spans="1:14" x14ac:dyDescent="0.65">
      <c r="A33" s="284" t="s">
        <v>290</v>
      </c>
      <c r="B33" s="199"/>
      <c r="C33" s="318">
        <f t="shared" si="12"/>
        <v>0</v>
      </c>
      <c r="D33" s="537">
        <v>0</v>
      </c>
      <c r="E33" s="537">
        <v>0</v>
      </c>
      <c r="F33" s="607">
        <v>0</v>
      </c>
      <c r="G33" s="608">
        <v>0</v>
      </c>
      <c r="H33" s="609">
        <v>0</v>
      </c>
      <c r="I33" s="879">
        <v>0</v>
      </c>
      <c r="J33" s="879">
        <v>0</v>
      </c>
      <c r="K33" s="879">
        <v>0</v>
      </c>
      <c r="L33" s="852">
        <v>0</v>
      </c>
      <c r="M33" s="853">
        <v>0</v>
      </c>
      <c r="N33" s="321"/>
    </row>
    <row r="34" spans="1:14" x14ac:dyDescent="0.65">
      <c r="A34" s="284" t="s">
        <v>280</v>
      </c>
      <c r="B34" s="200"/>
      <c r="C34" s="318">
        <f t="shared" si="12"/>
        <v>0</v>
      </c>
      <c r="D34" s="537">
        <f>-'CashFlow-Combined'!D242</f>
        <v>0</v>
      </c>
      <c r="E34" s="537">
        <f>-'CashFlow-Combined'!E242</f>
        <v>0</v>
      </c>
      <c r="F34" s="607">
        <f>-'CashFlow-Combined'!F242</f>
        <v>0</v>
      </c>
      <c r="G34" s="608">
        <f>-'CashFlow-Combined'!G242</f>
        <v>46165890</v>
      </c>
      <c r="H34" s="609">
        <f>-'CashFlow-Combined'!H242</f>
        <v>0</v>
      </c>
      <c r="I34" s="879">
        <f>-'CashFlow-Combined'!I242</f>
        <v>0</v>
      </c>
      <c r="J34" s="879">
        <f>-'CashFlow-Combined'!J242</f>
        <v>0</v>
      </c>
      <c r="K34" s="879">
        <f>-'CashFlow-Combined'!K242</f>
        <v>0</v>
      </c>
      <c r="L34" s="852">
        <f>-'CashFlow-Combined'!L242</f>
        <v>23783400</v>
      </c>
      <c r="M34" s="853">
        <f>-'CashFlow-Combined'!M242</f>
        <v>0</v>
      </c>
      <c r="N34" s="321"/>
    </row>
    <row r="35" spans="1:14" x14ac:dyDescent="0.65">
      <c r="A35" s="284" t="s">
        <v>268</v>
      </c>
      <c r="B35" s="199"/>
      <c r="C35" s="318">
        <f t="shared" si="12"/>
        <v>0</v>
      </c>
      <c r="D35" s="537">
        <f>-'CashFlow-Combined'!D251</f>
        <v>0</v>
      </c>
      <c r="E35" s="537">
        <f>-'CashFlow-Combined'!E251</f>
        <v>0</v>
      </c>
      <c r="F35" s="607">
        <f>-'CashFlow-Combined'!F251</f>
        <v>41857234.530303031</v>
      </c>
      <c r="G35" s="608">
        <f>-'CashFlow-Combined'!G251</f>
        <v>41857234.530303031</v>
      </c>
      <c r="H35" s="609">
        <f>-'CashFlow-Combined'!H251</f>
        <v>0</v>
      </c>
      <c r="I35" s="879">
        <f>-'CashFlow-Combined'!I251</f>
        <v>0</v>
      </c>
      <c r="J35" s="879">
        <f>-'CashFlow-Combined'!J251</f>
        <v>0</v>
      </c>
      <c r="K35" s="879">
        <f>-'CashFlow-Combined'!K251</f>
        <v>2483173.9393939395</v>
      </c>
      <c r="L35" s="852">
        <f>-'CashFlow-Combined'!L251</f>
        <v>2483173.9393939395</v>
      </c>
      <c r="M35" s="853">
        <f>-'CashFlow-Combined'!M251</f>
        <v>0</v>
      </c>
      <c r="N35" s="321"/>
    </row>
    <row r="36" spans="1:14" x14ac:dyDescent="0.65">
      <c r="A36" s="287" t="s">
        <v>295</v>
      </c>
      <c r="B36" s="228"/>
      <c r="C36" s="952" t="s">
        <v>393</v>
      </c>
      <c r="D36" s="953"/>
      <c r="E36" s="953"/>
      <c r="F36" s="953"/>
      <c r="G36" s="953"/>
      <c r="H36" s="953"/>
      <c r="I36" s="953"/>
      <c r="J36" s="953"/>
      <c r="K36" s="953"/>
      <c r="L36" s="953"/>
      <c r="M36" s="953"/>
      <c r="N36" s="955"/>
    </row>
    <row r="37" spans="1:14" x14ac:dyDescent="0.65">
      <c r="A37" s="267" t="s">
        <v>296</v>
      </c>
      <c r="B37" s="264"/>
      <c r="C37" s="319">
        <f t="shared" ref="C37:M37" si="13">SUM(C24:C26,C29:C35)</f>
        <v>34835541.089389578</v>
      </c>
      <c r="D37" s="538">
        <f t="shared" si="13"/>
        <v>13339469.927903339</v>
      </c>
      <c r="E37" s="538">
        <f t="shared" si="13"/>
        <v>21496071.161486242</v>
      </c>
      <c r="F37" s="603">
        <f t="shared" si="13"/>
        <v>306769858.46851546</v>
      </c>
      <c r="G37" s="604">
        <f t="shared" si="13"/>
        <v>360154001.15571725</v>
      </c>
      <c r="H37" s="604">
        <f t="shared" si="13"/>
        <v>0</v>
      </c>
      <c r="I37" s="884">
        <f t="shared" si="13"/>
        <v>8554287.0006539188</v>
      </c>
      <c r="J37" s="874">
        <f t="shared" si="13"/>
        <v>8554287.0006539188</v>
      </c>
      <c r="K37" s="875">
        <f t="shared" si="13"/>
        <v>122808196.86881573</v>
      </c>
      <c r="L37" s="847">
        <f t="shared" si="13"/>
        <v>149762978.49337876</v>
      </c>
      <c r="M37" s="846">
        <f t="shared" si="13"/>
        <v>0</v>
      </c>
      <c r="N37" s="316"/>
    </row>
    <row r="38" spans="1:14" x14ac:dyDescent="0.65">
      <c r="A38" s="244"/>
      <c r="B38" s="207"/>
      <c r="C38" s="208"/>
      <c r="D38" s="541"/>
      <c r="E38" s="541"/>
      <c r="F38" s="206"/>
      <c r="G38" s="209"/>
      <c r="H38" s="209"/>
      <c r="I38" s="209"/>
      <c r="J38" s="209"/>
      <c r="K38" s="209"/>
      <c r="L38" s="206"/>
      <c r="M38" s="209"/>
      <c r="N38" s="242"/>
    </row>
    <row r="39" spans="1:14" x14ac:dyDescent="0.65">
      <c r="A39" s="245" t="s">
        <v>297</v>
      </c>
      <c r="B39" s="210"/>
      <c r="C39" s="281"/>
      <c r="D39" s="542"/>
      <c r="E39" s="542"/>
      <c r="F39" s="605"/>
      <c r="G39" s="606"/>
      <c r="H39" s="800"/>
      <c r="I39" s="837"/>
      <c r="J39" s="837"/>
      <c r="K39" s="837"/>
      <c r="L39" s="850"/>
      <c r="M39" s="851"/>
      <c r="N39" s="233"/>
    </row>
    <row r="40" spans="1:14" x14ac:dyDescent="0.65">
      <c r="A40" s="263" t="s">
        <v>209</v>
      </c>
      <c r="B40" s="199"/>
      <c r="C40" s="318">
        <f t="shared" ref="C40:C46" si="14">SUM(D40:E40)</f>
        <v>0</v>
      </c>
      <c r="D40" s="537">
        <f t="shared" ref="D40:M40" si="15">D19</f>
        <v>0</v>
      </c>
      <c r="E40" s="537">
        <f t="shared" si="15"/>
        <v>0</v>
      </c>
      <c r="F40" s="607">
        <f t="shared" si="15"/>
        <v>0</v>
      </c>
      <c r="G40" s="608">
        <f t="shared" si="15"/>
        <v>2825347.0655559069</v>
      </c>
      <c r="H40" s="609">
        <f t="shared" si="15"/>
        <v>47090242.851214491</v>
      </c>
      <c r="I40" s="879">
        <f t="shared" si="15"/>
        <v>52287961.38748657</v>
      </c>
      <c r="J40" s="879">
        <f t="shared" si="15"/>
        <v>53635943.693152159</v>
      </c>
      <c r="K40" s="879">
        <f t="shared" si="15"/>
        <v>55245022.003946729</v>
      </c>
      <c r="L40" s="852">
        <f t="shared" si="15"/>
        <v>56902372.66406513</v>
      </c>
      <c r="M40" s="853">
        <f t="shared" si="15"/>
        <v>85885443.33029446</v>
      </c>
      <c r="N40" s="238"/>
    </row>
    <row r="41" spans="1:14" x14ac:dyDescent="0.65">
      <c r="A41" s="284" t="s">
        <v>394</v>
      </c>
      <c r="B41" s="200"/>
      <c r="C41" s="318">
        <f t="shared" si="14"/>
        <v>1962999.5275667224</v>
      </c>
      <c r="D41" s="537">
        <f t="shared" ref="D41:M41" si="16">D20</f>
        <v>601178.25261282129</v>
      </c>
      <c r="E41" s="537">
        <f t="shared" si="16"/>
        <v>1361821.2749539011</v>
      </c>
      <c r="F41" s="607">
        <f t="shared" si="16"/>
        <v>10076388.972265549</v>
      </c>
      <c r="G41" s="608">
        <f t="shared" si="16"/>
        <v>78103418.574080244</v>
      </c>
      <c r="H41" s="609">
        <f t="shared" si="16"/>
        <v>98290787.074472979</v>
      </c>
      <c r="I41" s="879">
        <f t="shared" si="16"/>
        <v>7522303.322871252</v>
      </c>
      <c r="J41" s="879">
        <f t="shared" si="16"/>
        <v>0</v>
      </c>
      <c r="K41" s="879">
        <f t="shared" si="16"/>
        <v>0</v>
      </c>
      <c r="L41" s="852">
        <f t="shared" si="16"/>
        <v>0</v>
      </c>
      <c r="M41" s="853">
        <f t="shared" si="16"/>
        <v>1058317532.1740677</v>
      </c>
      <c r="N41" s="238"/>
    </row>
    <row r="42" spans="1:14" x14ac:dyDescent="0.65">
      <c r="A42" s="263" t="s">
        <v>298</v>
      </c>
      <c r="B42" s="199"/>
      <c r="C42" s="282">
        <f>'Assumptions-Overall'!R27</f>
        <v>0.02</v>
      </c>
      <c r="D42" s="543"/>
      <c r="E42" s="543"/>
      <c r="F42" s="610"/>
      <c r="G42" s="611"/>
      <c r="H42" s="801"/>
      <c r="I42" s="885"/>
      <c r="J42" s="885"/>
      <c r="K42" s="885"/>
      <c r="L42" s="856"/>
      <c r="M42" s="857"/>
      <c r="N42" s="238"/>
    </row>
    <row r="43" spans="1:14" x14ac:dyDescent="0.65">
      <c r="A43" s="263" t="s">
        <v>296</v>
      </c>
      <c r="B43" s="199"/>
      <c r="C43" s="318">
        <f t="shared" si="14"/>
        <v>34835541.089389578</v>
      </c>
      <c r="D43" s="537">
        <f>D37</f>
        <v>13339469.927903339</v>
      </c>
      <c r="E43" s="537">
        <f t="shared" ref="E43:M43" si="17">E37</f>
        <v>21496071.161486242</v>
      </c>
      <c r="F43" s="607">
        <f t="shared" si="17"/>
        <v>306769858.46851546</v>
      </c>
      <c r="G43" s="608">
        <f t="shared" si="17"/>
        <v>360154001.15571725</v>
      </c>
      <c r="H43" s="609">
        <f t="shared" si="17"/>
        <v>0</v>
      </c>
      <c r="I43" s="879">
        <f t="shared" si="17"/>
        <v>8554287.0006539188</v>
      </c>
      <c r="J43" s="879">
        <f t="shared" si="17"/>
        <v>8554287.0006539188</v>
      </c>
      <c r="K43" s="879">
        <f t="shared" si="17"/>
        <v>122808196.86881573</v>
      </c>
      <c r="L43" s="852">
        <f t="shared" si="17"/>
        <v>149762978.49337876</v>
      </c>
      <c r="M43" s="853">
        <f t="shared" si="17"/>
        <v>0</v>
      </c>
      <c r="N43" s="238"/>
    </row>
    <row r="44" spans="1:14" x14ac:dyDescent="0.65">
      <c r="A44" s="246" t="s">
        <v>299</v>
      </c>
      <c r="B44" s="211"/>
      <c r="C44" s="319">
        <f>SUM(D44:E44)</f>
        <v>-32872541.561822854</v>
      </c>
      <c r="D44" s="538">
        <f>'CashFlow-Combined'!D266</f>
        <v>-12738291.675290518</v>
      </c>
      <c r="E44" s="538">
        <f>'CashFlow-Combined'!E266</f>
        <v>-20134249.886532336</v>
      </c>
      <c r="F44" s="603">
        <f>'CashFlow-Combined'!F266</f>
        <v>-296693469.49624991</v>
      </c>
      <c r="G44" s="604">
        <f>'CashFlow-Combined'!G266</f>
        <v>-266393752.3049255</v>
      </c>
      <c r="H44" s="799">
        <f>'CashFlow-Combined'!H266</f>
        <v>178205570.58080786</v>
      </c>
      <c r="I44" s="875">
        <f>'CashFlow-Combined'!I266</f>
        <v>77595107.484477937</v>
      </c>
      <c r="J44" s="874">
        <f>'CashFlow-Combined'!J266</f>
        <v>72210960.36051549</v>
      </c>
      <c r="K44" s="875">
        <f>'CashFlow-Combined'!K266</f>
        <v>-39619992.086811244</v>
      </c>
      <c r="L44" s="847">
        <f>'CashFlow-Combined'!L266</f>
        <v>-64079127.567914143</v>
      </c>
      <c r="M44" s="846">
        <f>'CashFlow-Combined'!M266</f>
        <v>1184646057.8959928</v>
      </c>
      <c r="N44" s="239"/>
    </row>
    <row r="45" spans="1:14" x14ac:dyDescent="0.65">
      <c r="A45" s="246" t="s">
        <v>300</v>
      </c>
      <c r="B45" s="211"/>
      <c r="C45" s="319">
        <f>SUM(D45:E45)</f>
        <v>-32543816.146204624</v>
      </c>
      <c r="D45" s="538">
        <f>'CashFlow-Combined'!D302</f>
        <v>-12610908.758537613</v>
      </c>
      <c r="E45" s="538">
        <f>'CashFlow-Combined'!E302</f>
        <v>-19932907.387667011</v>
      </c>
      <c r="F45" s="603">
        <f>'CashFlow-Combined'!F302</f>
        <v>-55956208.713200599</v>
      </c>
      <c r="G45" s="604">
        <f>'CashFlow-Combined'!G302</f>
        <v>-66278791.822108902</v>
      </c>
      <c r="H45" s="799">
        <f>'CashFlow-Combined'!H302</f>
        <v>126054059.65550682</v>
      </c>
      <c r="I45" s="875">
        <f>'CashFlow-Combined'!I302</f>
        <v>66897412.66366227</v>
      </c>
      <c r="J45" s="876">
        <f>'CashFlow-Combined'!J302</f>
        <v>61513265.539699823</v>
      </c>
      <c r="K45" s="875">
        <f>'CashFlow-Combined'!K302</f>
        <v>46325012.571996957</v>
      </c>
      <c r="L45" s="847">
        <f>'CashFlow-Combined'!L302</f>
        <v>74900613.234642416</v>
      </c>
      <c r="M45" s="846">
        <f>'CashFlow-Combined'!M302</f>
        <v>454251983.09737593</v>
      </c>
      <c r="N45" s="239"/>
    </row>
    <row r="46" spans="1:14" x14ac:dyDescent="0.65">
      <c r="A46" s="246" t="s">
        <v>301</v>
      </c>
      <c r="B46" s="211"/>
      <c r="C46" s="319">
        <f t="shared" si="14"/>
        <v>0</v>
      </c>
      <c r="D46" s="538">
        <f>'CashFlow-Combined'!D280+'CashFlow-Combined'!D288+'CashFlow-Combined'!D299</f>
        <v>0</v>
      </c>
      <c r="E46" s="538">
        <f>'CashFlow-Combined'!E280+'CashFlow-Combined'!E288+'CashFlow-Combined'!E299</f>
        <v>0</v>
      </c>
      <c r="F46" s="603">
        <f>'CashFlow-Combined'!F280+'CashFlow-Combined'!F288+'CashFlow-Combined'!F299</f>
        <v>0</v>
      </c>
      <c r="G46" s="604">
        <f>'CashFlow-Combined'!G280+'CashFlow-Combined'!G288+'CashFlow-Combined'!G299</f>
        <v>21413247.188193049</v>
      </c>
      <c r="H46" s="799">
        <f>'CashFlow-Combined'!H280+'CashFlow-Combined'!H288+'CashFlow-Combined'!H299</f>
        <v>21820490.629539344</v>
      </c>
      <c r="I46" s="875">
        <f>'CashFlow-Combined'!I280+'CashFlow-Combined'!I288+'CashFlow-Combined'!I299</f>
        <v>-10783237.690822214</v>
      </c>
      <c r="J46" s="876">
        <f>'CashFlow-Combined'!J280+'CashFlow-Combined'!J288+'CashFlow-Combined'!J299</f>
        <v>-10783237.690822214</v>
      </c>
      <c r="K46" s="875">
        <f>'CashFlow-Combined'!K280+'CashFlow-Combined'!K288+'CashFlow-Combined'!K299</f>
        <v>-10783237.690822214</v>
      </c>
      <c r="L46" s="847">
        <f>'CashFlow-Combined'!L280+'CashFlow-Combined'!L288+'CashFlow-Combined'!L299</f>
        <v>-1557488.954834694</v>
      </c>
      <c r="M46" s="846">
        <f>'CashFlow-Combined'!M280+'CashFlow-Combined'!M288+'CashFlow-Combined'!M299</f>
        <v>7050447.1282179318</v>
      </c>
      <c r="N46" s="239"/>
    </row>
    <row r="47" spans="1:14" x14ac:dyDescent="0.65">
      <c r="A47" s="247" t="s">
        <v>622</v>
      </c>
      <c r="B47" s="212"/>
      <c r="C47" s="644">
        <f>NPV(0.1,D44:M44)</f>
        <v>169500355.028685</v>
      </c>
      <c r="D47" s="544"/>
      <c r="E47" s="544"/>
      <c r="F47" s="612"/>
      <c r="G47" s="613"/>
      <c r="H47" s="802"/>
      <c r="I47" s="886"/>
      <c r="J47" s="887"/>
      <c r="K47" s="887"/>
      <c r="L47" s="858"/>
      <c r="M47" s="859"/>
      <c r="N47" s="249"/>
    </row>
    <row r="48" spans="1:14" x14ac:dyDescent="0.65">
      <c r="A48" s="246" t="s">
        <v>302</v>
      </c>
      <c r="B48" s="215"/>
      <c r="C48" s="322">
        <f>'Assumptions-Overall'!M9</f>
        <v>0.65</v>
      </c>
      <c r="D48" s="545"/>
      <c r="E48" s="545"/>
      <c r="F48" s="614"/>
      <c r="G48" s="615"/>
      <c r="H48" s="803"/>
      <c r="I48" s="888"/>
      <c r="J48" s="887"/>
      <c r="K48" s="889"/>
      <c r="L48" s="860"/>
      <c r="M48" s="861"/>
      <c r="N48" s="239"/>
    </row>
    <row r="49" spans="1:14" x14ac:dyDescent="0.65">
      <c r="A49" s="250" t="s">
        <v>303</v>
      </c>
      <c r="B49" s="215"/>
      <c r="C49" s="322">
        <f>'CashFlow-Combined'!C267</f>
        <v>0.17139463717343206</v>
      </c>
      <c r="D49" s="546"/>
      <c r="E49" s="546"/>
      <c r="F49" s="201"/>
      <c r="G49" s="202"/>
      <c r="H49" s="216" t="s">
        <v>304</v>
      </c>
      <c r="I49" s="213"/>
      <c r="J49" s="217"/>
      <c r="K49" s="324">
        <f>'Assumptions-Land&amp;Infrastructure'!F11</f>
        <v>69949290</v>
      </c>
      <c r="L49" s="275"/>
      <c r="M49" s="276"/>
      <c r="N49" s="239"/>
    </row>
    <row r="50" spans="1:14" ht="13" thickBot="1" x14ac:dyDescent="0.8">
      <c r="A50" s="251" t="s">
        <v>305</v>
      </c>
      <c r="B50" s="252"/>
      <c r="C50" s="323">
        <f>'CashFlow-Combined'!C303</f>
        <v>0.42178395607958774</v>
      </c>
      <c r="D50" s="547"/>
      <c r="E50" s="547"/>
      <c r="F50" s="253"/>
      <c r="G50" s="254"/>
      <c r="H50" s="255" t="s">
        <v>306</v>
      </c>
      <c r="I50" s="254"/>
      <c r="J50" s="256"/>
      <c r="K50" s="325">
        <f>'CashFlow-Combined'!M264</f>
        <v>1058317532.1740677</v>
      </c>
      <c r="L50" s="775"/>
      <c r="M50" s="256"/>
      <c r="N50" s="257"/>
    </row>
    <row r="51" spans="1:14" ht="13" thickBot="1" x14ac:dyDescent="0.8">
      <c r="A51" s="214"/>
      <c r="B51" s="214"/>
      <c r="C51" s="214"/>
      <c r="D51" s="548"/>
      <c r="E51" s="548"/>
      <c r="F51" s="214"/>
      <c r="G51" s="214"/>
      <c r="H51" s="214"/>
      <c r="I51" s="214"/>
      <c r="J51" s="214"/>
      <c r="K51" s="214"/>
      <c r="L51" s="214"/>
      <c r="M51" s="214"/>
      <c r="N51" s="214"/>
    </row>
    <row r="52" spans="1:14" ht="16.5" x14ac:dyDescent="0.65">
      <c r="A52" s="735" t="s">
        <v>596</v>
      </c>
      <c r="B52" s="630"/>
      <c r="C52" s="631"/>
      <c r="D52" s="630"/>
      <c r="E52" s="630"/>
      <c r="F52" s="632"/>
      <c r="G52" s="632"/>
      <c r="H52" s="632"/>
      <c r="I52" s="632"/>
      <c r="J52" s="632"/>
      <c r="K52" s="632"/>
      <c r="L52" s="632"/>
      <c r="M52" s="632"/>
      <c r="N52" s="633"/>
    </row>
    <row r="53" spans="1:14" ht="15" customHeight="1" x14ac:dyDescent="0.65">
      <c r="A53" s="258"/>
      <c r="B53" s="248"/>
      <c r="C53" s="248"/>
      <c r="D53" s="549"/>
      <c r="E53" s="549"/>
      <c r="F53" s="949" t="s">
        <v>40</v>
      </c>
      <c r="G53" s="950"/>
      <c r="H53" s="950"/>
      <c r="I53" s="890"/>
      <c r="J53" s="941" t="s">
        <v>39</v>
      </c>
      <c r="K53" s="942"/>
      <c r="L53" s="945" t="s">
        <v>38</v>
      </c>
      <c r="M53" s="946"/>
      <c r="N53" s="277" t="s">
        <v>386</v>
      </c>
    </row>
    <row r="54" spans="1:14" x14ac:dyDescent="0.65">
      <c r="A54" s="234"/>
      <c r="B54" s="195"/>
      <c r="C54" s="196" t="s">
        <v>307</v>
      </c>
      <c r="D54" s="535">
        <v>2018</v>
      </c>
      <c r="E54" s="535">
        <v>2019</v>
      </c>
      <c r="F54" s="273">
        <v>2021</v>
      </c>
      <c r="G54" s="196">
        <f>F54+1</f>
        <v>2022</v>
      </c>
      <c r="H54" s="196">
        <f t="shared" ref="H54:M54" si="18">G54+1</f>
        <v>2023</v>
      </c>
      <c r="I54" s="811">
        <f t="shared" si="18"/>
        <v>2024</v>
      </c>
      <c r="J54" s="812">
        <f t="shared" si="18"/>
        <v>2025</v>
      </c>
      <c r="K54" s="274">
        <f t="shared" si="18"/>
        <v>2026</v>
      </c>
      <c r="L54" s="273">
        <f t="shared" si="18"/>
        <v>2027</v>
      </c>
      <c r="M54" s="274">
        <f t="shared" si="18"/>
        <v>2028</v>
      </c>
      <c r="N54" s="235">
        <f t="shared" ref="N54" si="19">M54+1</f>
        <v>2029</v>
      </c>
    </row>
    <row r="55" spans="1:14" x14ac:dyDescent="0.65">
      <c r="A55" s="236" t="s">
        <v>308</v>
      </c>
      <c r="B55" s="197"/>
      <c r="C55" s="218"/>
      <c r="D55" s="536"/>
      <c r="E55" s="536"/>
      <c r="F55" s="605"/>
      <c r="G55" s="606"/>
      <c r="H55" s="800"/>
      <c r="I55" s="837"/>
      <c r="J55" s="837"/>
      <c r="K55" s="900"/>
      <c r="L55" s="850"/>
      <c r="M55" s="851"/>
      <c r="N55" s="237"/>
    </row>
    <row r="56" spans="1:14" x14ac:dyDescent="0.65">
      <c r="A56" s="265" t="s">
        <v>603</v>
      </c>
      <c r="B56" s="793" t="s">
        <v>283</v>
      </c>
      <c r="C56" s="198" t="s">
        <v>309</v>
      </c>
      <c r="D56" s="543">
        <f>SUM('CashFlow-ResRental'!D127:D130,'CashFlow-ResRental'!D71:D74,'CashFlow-ResRental'!D15:D18)</f>
        <v>0</v>
      </c>
      <c r="E56" s="543">
        <f>SUM('CashFlow-ResRental'!E127:E130,'CashFlow-ResRental'!E71:E74,'CashFlow-ResRental'!E15:E18)</f>
        <v>0</v>
      </c>
      <c r="F56" s="610">
        <f>SUM('CashFlow-ResRental'!F127:F130,'CashFlow-ResRental'!F71:F74,'CashFlow-ResRental'!F15:F18)</f>
        <v>0</v>
      </c>
      <c r="G56" s="611">
        <f>SUM('CashFlow-ResRental'!G127:G130,'CashFlow-ResRental'!G71:G74,'CashFlow-ResRental'!G15:G18)</f>
        <v>74</v>
      </c>
      <c r="H56" s="801">
        <f>SUM('CashFlow-ResRental'!H127:H130,'CashFlow-ResRental'!H71:H74,'CashFlow-ResRental'!H15:H18)</f>
        <v>1036</v>
      </c>
      <c r="I56" s="885">
        <f>SUM('CashFlow-ResRental'!I127:I130,'CashFlow-ResRental'!I71:I74,'CashFlow-ResRental'!I15:I18)</f>
        <v>1036</v>
      </c>
      <c r="J56" s="885">
        <f>SUM('CashFlow-ResRental'!J127:J130,'CashFlow-ResRental'!J71:J74,'CashFlow-ResRental'!J15:J18)</f>
        <v>1036</v>
      </c>
      <c r="K56" s="901">
        <f>SUM('CashFlow-ResRental'!K127:K130,'CashFlow-ResRental'!K71:K74,'CashFlow-ResRental'!K15:K18)</f>
        <v>1036</v>
      </c>
      <c r="L56" s="856">
        <f>SUM('CashFlow-ResRental'!L127:L130,'CashFlow-ResRental'!L71:L74,'CashFlow-ResRental'!L15:L18)</f>
        <v>1036</v>
      </c>
      <c r="M56" s="857">
        <f>SUM('CashFlow-ResRental'!M127:M130,'CashFlow-ResRental'!M71:M74,'CashFlow-ResRental'!M15:M18)</f>
        <v>1206</v>
      </c>
      <c r="N56" s="238">
        <f>SUM('CashFlow-ResRental'!N127:N130,'CashFlow-ResRental'!N71:N74,'CashFlow-ResRental'!N15:N18)</f>
        <v>1206</v>
      </c>
    </row>
    <row r="57" spans="1:14" x14ac:dyDescent="0.65">
      <c r="A57" s="266"/>
      <c r="B57" s="793" t="s">
        <v>284</v>
      </c>
      <c r="C57" s="198" t="s">
        <v>309</v>
      </c>
      <c r="D57" s="543">
        <f>SUM('CashFlow-ResCondo'!D15:D18,'CashFlow-ResCondo'!D49:D52,'CashFlow-ResCondo'!D83:D86)</f>
        <v>0</v>
      </c>
      <c r="E57" s="543">
        <f>SUM('CashFlow-ResCondo'!E15:E18,'CashFlow-ResCondo'!E49:E52,'CashFlow-ResCondo'!E83:E86)</f>
        <v>0</v>
      </c>
      <c r="F57" s="610">
        <f>SUM('CashFlow-ResCondo'!F15:F18,'CashFlow-ResCondo'!F49:F52,'CashFlow-ResCondo'!F83:F86)</f>
        <v>0</v>
      </c>
      <c r="G57" s="611">
        <f>SUM('CashFlow-ResCondo'!G15:G18,'CashFlow-ResCondo'!G49:G52,'CashFlow-ResCondo'!G83:G86)</f>
        <v>331</v>
      </c>
      <c r="H57" s="801">
        <f>SUM('CashFlow-ResCondo'!H15:H18,'CashFlow-ResCondo'!H49:H52,'CashFlow-ResCondo'!H83:H86)</f>
        <v>766</v>
      </c>
      <c r="I57" s="885">
        <f>SUM('CashFlow-ResCondo'!I15:I18,'CashFlow-ResCondo'!I49:I52,'CashFlow-ResCondo'!I83:I86)</f>
        <v>766</v>
      </c>
      <c r="J57" s="885">
        <f>SUM('CashFlow-ResCondo'!J15:J18,'CashFlow-ResCondo'!J49:J52,'CashFlow-ResCondo'!J83:J86)</f>
        <v>766</v>
      </c>
      <c r="K57" s="901">
        <f>SUM('CashFlow-ResCondo'!K15:K18,'CashFlow-ResCondo'!K49:K52,'CashFlow-ResCondo'!K83:K86)</f>
        <v>766</v>
      </c>
      <c r="L57" s="856">
        <f>SUM('CashFlow-ResCondo'!L15:L18,'CashFlow-ResCondo'!L49:L52,'CashFlow-ResCondo'!L83:L86)</f>
        <v>766</v>
      </c>
      <c r="M57" s="857">
        <f>SUM('CashFlow-ResCondo'!M15:M18,'CashFlow-ResCondo'!M49:M52,'CashFlow-ResCondo'!M83:M86)</f>
        <v>851</v>
      </c>
      <c r="N57" s="238">
        <f>SUM('CashFlow-ResCondo'!N15:N18,'CashFlow-ResCondo'!N49:N52,'CashFlow-ResCondo'!N83:N86)</f>
        <v>851</v>
      </c>
    </row>
    <row r="58" spans="1:14" x14ac:dyDescent="0.65">
      <c r="A58" s="265" t="s">
        <v>285</v>
      </c>
      <c r="B58" s="793" t="s">
        <v>283</v>
      </c>
      <c r="C58" s="198" t="s">
        <v>309</v>
      </c>
      <c r="D58" s="543">
        <f>SUM('CashFlow-ResRental'!D21:D24,'CashFlow-ResRental'!D77:D80,'CashFlow-ResRental'!D133:D136)</f>
        <v>0</v>
      </c>
      <c r="E58" s="543">
        <f>SUM('CashFlow-ResRental'!E21:E24,'CashFlow-ResRental'!E77:E80,'CashFlow-ResRental'!E133:E136)</f>
        <v>0</v>
      </c>
      <c r="F58" s="610">
        <f>SUM('CashFlow-ResRental'!F21:F24,'CashFlow-ResRental'!F77:F80,'CashFlow-ResRental'!F133:F136)</f>
        <v>0</v>
      </c>
      <c r="G58" s="611">
        <f>SUM('CashFlow-ResRental'!G21:G24,'CashFlow-ResRental'!G77:G80,'CashFlow-ResRental'!G133:G136)</f>
        <v>8</v>
      </c>
      <c r="H58" s="801">
        <f>SUM('CashFlow-ResRental'!H21:H24,'CashFlow-ResRental'!H77:H80,'CashFlow-ResRental'!H133:H136)</f>
        <v>102</v>
      </c>
      <c r="I58" s="885">
        <f>SUM('CashFlow-ResRental'!I21:I24,'CashFlow-ResRental'!I77:I80,'CashFlow-ResRental'!I133:I136)</f>
        <v>102</v>
      </c>
      <c r="J58" s="885">
        <f>SUM('CashFlow-ResRental'!J21:J24,'CashFlow-ResRental'!J77:J80,'CashFlow-ResRental'!J133:J136)</f>
        <v>102</v>
      </c>
      <c r="K58" s="901">
        <f>SUM('CashFlow-ResRental'!K21:K24,'CashFlow-ResRental'!K77:K80,'CashFlow-ResRental'!K133:K136)</f>
        <v>102</v>
      </c>
      <c r="L58" s="856">
        <f>SUM('CashFlow-ResRental'!L21:L24,'CashFlow-ResRental'!L77:L80,'CashFlow-ResRental'!L133:L136)</f>
        <v>102</v>
      </c>
      <c r="M58" s="857">
        <f>SUM('CashFlow-ResRental'!M21:M24,'CashFlow-ResRental'!M77:M80,'CashFlow-ResRental'!M133:M136)</f>
        <v>112</v>
      </c>
      <c r="N58" s="238">
        <f>SUM('CashFlow-ResRental'!N21:N24,'CashFlow-ResRental'!N77:N80,'CashFlow-ResRental'!N133:N136)</f>
        <v>112</v>
      </c>
    </row>
    <row r="59" spans="1:14" x14ac:dyDescent="0.65">
      <c r="A59" s="266"/>
      <c r="B59" s="793" t="s">
        <v>284</v>
      </c>
      <c r="C59" s="198" t="s">
        <v>309</v>
      </c>
      <c r="D59" s="543">
        <f>SUM('CashFlow-ResCondo'!D21:D24,'CashFlow-ResCondo'!D55:D58,'CashFlow-ResCondo'!D89:D92)</f>
        <v>0</v>
      </c>
      <c r="E59" s="543">
        <f>SUM('CashFlow-ResCondo'!E21:E24,'CashFlow-ResCondo'!E55:E58,'CashFlow-ResCondo'!E89:E92)</f>
        <v>0</v>
      </c>
      <c r="F59" s="610">
        <f>SUM('CashFlow-ResCondo'!F21:F24,'CashFlow-ResCondo'!F55:F58,'CashFlow-ResCondo'!F89:F92)</f>
        <v>0</v>
      </c>
      <c r="G59" s="611">
        <f>SUM('CashFlow-ResCondo'!G21:G24,'CashFlow-ResCondo'!G55:G58,'CashFlow-ResCondo'!G89:G92)</f>
        <v>41</v>
      </c>
      <c r="H59" s="801">
        <f>SUM('CashFlow-ResCondo'!H21:H24,'CashFlow-ResCondo'!H55:H58,'CashFlow-ResCondo'!H89:H92)</f>
        <v>81</v>
      </c>
      <c r="I59" s="885">
        <f>SUM('CashFlow-ResCondo'!I21:I24,'CashFlow-ResCondo'!I55:I58,'CashFlow-ResCondo'!I89:I92)</f>
        <v>81</v>
      </c>
      <c r="J59" s="885">
        <f>SUM('CashFlow-ResCondo'!J21:J24,'CashFlow-ResCondo'!J55:J58,'CashFlow-ResCondo'!J89:J92)</f>
        <v>81</v>
      </c>
      <c r="K59" s="901">
        <f>SUM('CashFlow-ResCondo'!K21:K24,'CashFlow-ResCondo'!K55:K58,'CashFlow-ResCondo'!K89:K92)</f>
        <v>81</v>
      </c>
      <c r="L59" s="856">
        <f>SUM('CashFlow-ResCondo'!L21:L24,'CashFlow-ResCondo'!L55:L58,'CashFlow-ResCondo'!L89:L92)</f>
        <v>81</v>
      </c>
      <c r="M59" s="857">
        <f>SUM('CashFlow-ResCondo'!M21:M24,'CashFlow-ResCondo'!M55:M58,'CashFlow-ResCondo'!M89:M92)</f>
        <v>89</v>
      </c>
      <c r="N59" s="238">
        <f>SUM('CashFlow-ResCondo'!N21:N24,'CashFlow-ResCondo'!N55:N58,'CashFlow-ResCondo'!N89:N92)</f>
        <v>89</v>
      </c>
    </row>
    <row r="60" spans="1:14" hidden="1" x14ac:dyDescent="0.65">
      <c r="A60" s="263" t="s">
        <v>482</v>
      </c>
      <c r="B60" s="199"/>
      <c r="C60" s="198" t="s">
        <v>482</v>
      </c>
      <c r="D60" s="943" t="s">
        <v>482</v>
      </c>
      <c r="E60" s="943"/>
      <c r="F60" s="943"/>
      <c r="G60" s="943"/>
      <c r="H60" s="943"/>
      <c r="I60" s="943"/>
      <c r="J60" s="943"/>
      <c r="K60" s="943"/>
      <c r="L60" s="943"/>
      <c r="M60" s="943"/>
      <c r="N60" s="944"/>
    </row>
    <row r="61" spans="1:14" x14ac:dyDescent="0.65">
      <c r="A61" s="263" t="s">
        <v>49</v>
      </c>
      <c r="B61" s="199"/>
      <c r="C61" s="198" t="s">
        <v>310</v>
      </c>
      <c r="D61" s="543">
        <f>SUM('CashFlow-Hotel'!D16:D17,'CashFlow-Hotel'!D81:D82,'CashFlow-Hotel'!D146:D147)</f>
        <v>0</v>
      </c>
      <c r="E61" s="543">
        <f>SUM('CashFlow-Hotel'!E16:E17,'CashFlow-Hotel'!E81:E82,'CashFlow-Hotel'!E146:E147)</f>
        <v>0</v>
      </c>
      <c r="F61" s="610">
        <f>SUM('CashFlow-Hotel'!F16:F17,'CashFlow-Hotel'!F81:F82,'CashFlow-Hotel'!F146:F147)</f>
        <v>0</v>
      </c>
      <c r="G61" s="611">
        <f>SUM('CashFlow-Hotel'!G16:G17,'CashFlow-Hotel'!G81:G82,'CashFlow-Hotel'!G146:G147)</f>
        <v>0</v>
      </c>
      <c r="H61" s="801">
        <f>SUM('CashFlow-Hotel'!H16:H17,'CashFlow-Hotel'!H81:H82,'CashFlow-Hotel'!H146:H147)</f>
        <v>995</v>
      </c>
      <c r="I61" s="885">
        <f>SUM('CashFlow-Hotel'!I16:I17,'CashFlow-Hotel'!I81:I82,'CashFlow-Hotel'!I146:I147)</f>
        <v>995</v>
      </c>
      <c r="J61" s="885">
        <f>SUM('CashFlow-Hotel'!J16:J17,'CashFlow-Hotel'!J81:J82,'CashFlow-Hotel'!J146:J147)</f>
        <v>995</v>
      </c>
      <c r="K61" s="901">
        <f>SUM('CashFlow-Hotel'!K16:K17,'CashFlow-Hotel'!K81:K82,'CashFlow-Hotel'!K146:K147)</f>
        <v>995</v>
      </c>
      <c r="L61" s="856">
        <f>SUM('CashFlow-Hotel'!L16:L17,'CashFlow-Hotel'!L81:L82,'CashFlow-Hotel'!L146:L147)</f>
        <v>995</v>
      </c>
      <c r="M61" s="857">
        <f>SUM('CashFlow-Hotel'!M16:M17,'CashFlow-Hotel'!M81:M82,'CashFlow-Hotel'!M146:M147)</f>
        <v>1730</v>
      </c>
      <c r="N61" s="238">
        <f>SUM('CashFlow-Hotel'!N16:N17,'CashFlow-Hotel'!N81:N82,'CashFlow-Hotel'!N146:N147)</f>
        <v>1730</v>
      </c>
    </row>
    <row r="62" spans="1:14" x14ac:dyDescent="0.65">
      <c r="A62" s="263" t="s">
        <v>288</v>
      </c>
      <c r="B62" s="199"/>
      <c r="C62" s="198" t="s">
        <v>311</v>
      </c>
      <c r="D62" s="543">
        <f>SUM('CashFlow-Parking'!D14,'CashFlow-Parking'!D45)</f>
        <v>0</v>
      </c>
      <c r="E62" s="543">
        <f>SUM('CashFlow-Parking'!E14,'CashFlow-Parking'!E45)</f>
        <v>0</v>
      </c>
      <c r="F62" s="610">
        <f>SUM('CashFlow-Parking'!F14,'CashFlow-Parking'!F45)</f>
        <v>0</v>
      </c>
      <c r="G62" s="675">
        <f>SUM('CashFlow-Parking'!G14,'CashFlow-Parking'!G45)</f>
        <v>107.5</v>
      </c>
      <c r="H62" s="675">
        <f>SUM('CashFlow-Parking'!H14,'CashFlow-Parking'!H45)</f>
        <v>107.5</v>
      </c>
      <c r="I62" s="898">
        <f>SUM('CashFlow-Parking'!I14,'CashFlow-Parking'!I45)</f>
        <v>107.5</v>
      </c>
      <c r="J62" s="895">
        <f>SUM('CashFlow-Parking'!J14,'CashFlow-Parking'!J45)</f>
        <v>107.5</v>
      </c>
      <c r="K62" s="891">
        <f>SUM('CashFlow-Parking'!K14,'CashFlow-Parking'!K45)</f>
        <v>107.5</v>
      </c>
      <c r="L62" s="862">
        <f>SUM('CashFlow-Parking'!L14,'CashFlow-Parking'!L45)</f>
        <v>107.5</v>
      </c>
      <c r="M62" s="863">
        <f>SUM('CashFlow-Parking'!M14,'CashFlow-Parking'!M45)</f>
        <v>277.47500000000002</v>
      </c>
      <c r="N62" s="676">
        <f>SUM('CashFlow-Parking'!N14,'CashFlow-Parking'!N45)</f>
        <v>277.47500000000002</v>
      </c>
    </row>
    <row r="63" spans="1:14" x14ac:dyDescent="0.65">
      <c r="A63" s="268" t="s">
        <v>290</v>
      </c>
      <c r="B63" s="220"/>
      <c r="C63" s="219"/>
      <c r="D63" s="550">
        <v>0</v>
      </c>
      <c r="E63" s="550">
        <v>0</v>
      </c>
      <c r="F63" s="616">
        <v>0</v>
      </c>
      <c r="G63" s="617">
        <v>0</v>
      </c>
      <c r="H63" s="617">
        <v>0</v>
      </c>
      <c r="I63" s="899">
        <v>0</v>
      </c>
      <c r="J63" s="896">
        <v>0</v>
      </c>
      <c r="K63" s="892">
        <v>0</v>
      </c>
      <c r="L63" s="864">
        <v>0</v>
      </c>
      <c r="M63" s="865">
        <v>0</v>
      </c>
      <c r="N63" s="259">
        <v>0</v>
      </c>
    </row>
    <row r="64" spans="1:14" x14ac:dyDescent="0.65">
      <c r="A64" s="236" t="s">
        <v>623</v>
      </c>
      <c r="B64" s="197"/>
      <c r="C64" s="218"/>
      <c r="D64" s="536"/>
      <c r="E64" s="536"/>
      <c r="F64" s="599"/>
      <c r="G64" s="600"/>
      <c r="H64" s="800"/>
      <c r="I64" s="837"/>
      <c r="J64" s="836"/>
      <c r="K64" s="893"/>
      <c r="L64" s="841"/>
      <c r="M64" s="842"/>
      <c r="N64" s="243"/>
    </row>
    <row r="65" spans="1:14" x14ac:dyDescent="0.65">
      <c r="A65" s="265" t="s">
        <v>603</v>
      </c>
      <c r="B65" s="793" t="s">
        <v>283</v>
      </c>
      <c r="C65" s="198" t="s">
        <v>312</v>
      </c>
      <c r="D65" s="551">
        <f>SUM('CashFlow-ResRental'!D11,'CashFlow-ResRental'!D67,'CashFlow-ResRental'!D123)</f>
        <v>0</v>
      </c>
      <c r="E65" s="551">
        <f>SUM('CashFlow-ResRental'!E11,'CashFlow-ResRental'!E67,'CashFlow-ResRental'!E123)</f>
        <v>0</v>
      </c>
      <c r="F65" s="618">
        <f>SUM('CashFlow-ResRental'!F11,'CashFlow-ResRental'!F67,'CashFlow-ResRental'!F123)</f>
        <v>0</v>
      </c>
      <c r="G65" s="619">
        <f>SUM('CashFlow-ResRental'!G11,'CashFlow-ResRental'!G67,'CashFlow-ResRental'!G123)</f>
        <v>79957.950199999992</v>
      </c>
      <c r="H65" s="813">
        <f>SUM('CashFlow-ResRental'!H11,'CashFlow-ResRental'!H67,'CashFlow-ResRental'!H123)</f>
        <v>1146527.9502000001</v>
      </c>
      <c r="I65" s="897">
        <f>SUM('CashFlow-ResRental'!I11,'CashFlow-ResRental'!I67,'CashFlow-ResRental'!I123)</f>
        <v>1146527.9502000001</v>
      </c>
      <c r="J65" s="897">
        <f>SUM('CashFlow-ResRental'!J11,'CashFlow-ResRental'!J67,'CashFlow-ResRental'!J123)</f>
        <v>1146527.9502000001</v>
      </c>
      <c r="K65" s="894">
        <f>SUM('CashFlow-ResRental'!K11,'CashFlow-ResRental'!K67,'CashFlow-ResRental'!K123)</f>
        <v>1146527.9502000001</v>
      </c>
      <c r="L65" s="866">
        <f>SUM('CashFlow-ResRental'!L11,'CashFlow-ResRental'!L67,'CashFlow-ResRental'!L123)</f>
        <v>1146527.9502000001</v>
      </c>
      <c r="M65" s="867">
        <f>SUM('CashFlow-ResRental'!M11,'CashFlow-ResRental'!M67,'CashFlow-ResRental'!M123)</f>
        <v>1304518.3402</v>
      </c>
      <c r="N65" s="326">
        <f>SUM('CashFlow-ResRental'!N11,'CashFlow-ResRental'!N67,'CashFlow-ResRental'!N123)</f>
        <v>1304518.3402</v>
      </c>
    </row>
    <row r="66" spans="1:14" x14ac:dyDescent="0.65">
      <c r="A66" s="266"/>
      <c r="B66" s="793" t="s">
        <v>284</v>
      </c>
      <c r="C66" s="198" t="s">
        <v>312</v>
      </c>
      <c r="D66" s="551">
        <f>SUM('CashFlow-ResCondo'!D11,'CashFlow-ResCondo'!D45,'CashFlow-ResCondo'!D79)</f>
        <v>0</v>
      </c>
      <c r="E66" s="551">
        <f>SUM('CashFlow-ResCondo'!E11,'CashFlow-ResCondo'!E45,'CashFlow-ResCondo'!E79)</f>
        <v>0</v>
      </c>
      <c r="F66" s="618">
        <f>SUM('CashFlow-ResCondo'!F11,'CashFlow-ResCondo'!F45,'CashFlow-ResCondo'!F79)</f>
        <v>0</v>
      </c>
      <c r="G66" s="619">
        <f>SUM('CashFlow-ResCondo'!G11,'CashFlow-ResCondo'!G45,'CashFlow-ResCondo'!G79)</f>
        <v>309657.15287254902</v>
      </c>
      <c r="H66" s="813">
        <f>SUM('CashFlow-ResCondo'!H11,'CashFlow-ResCondo'!H45,'CashFlow-ResCondo'!H79)</f>
        <v>810876.89137254911</v>
      </c>
      <c r="I66" s="897">
        <f>SUM('CashFlow-ResCondo'!I11,'CashFlow-ResCondo'!I45,'CashFlow-ResCondo'!I79)</f>
        <v>810876.89137254911</v>
      </c>
      <c r="J66" s="897">
        <f>SUM('CashFlow-ResCondo'!J11,'CashFlow-ResCondo'!J45,'CashFlow-ResCondo'!J79)</f>
        <v>810876.89137254911</v>
      </c>
      <c r="K66" s="894">
        <f>SUM('CashFlow-ResCondo'!K11,'CashFlow-ResCondo'!K45,'CashFlow-ResCondo'!K79)</f>
        <v>810876.89137254911</v>
      </c>
      <c r="L66" s="866">
        <f>SUM('CashFlow-ResCondo'!L11,'CashFlow-ResCondo'!L45,'CashFlow-ResCondo'!L79)</f>
        <v>810876.89137254911</v>
      </c>
      <c r="M66" s="867">
        <f>SUM('CashFlow-ResCondo'!M11,'CashFlow-ResCondo'!M45,'CashFlow-ResCondo'!M79)</f>
        <v>895098.89137254911</v>
      </c>
      <c r="N66" s="326">
        <f>SUM('CashFlow-ResCondo'!N11,'CashFlow-ResCondo'!N45,'CashFlow-ResCondo'!N79)</f>
        <v>895098.89137254911</v>
      </c>
    </row>
    <row r="67" spans="1:14" x14ac:dyDescent="0.65">
      <c r="A67" s="265" t="s">
        <v>285</v>
      </c>
      <c r="B67" s="793" t="s">
        <v>283</v>
      </c>
      <c r="C67" s="198" t="s">
        <v>312</v>
      </c>
      <c r="D67" s="943" t="s">
        <v>568</v>
      </c>
      <c r="E67" s="943"/>
      <c r="F67" s="943"/>
      <c r="G67" s="943"/>
      <c r="H67" s="943"/>
      <c r="I67" s="943"/>
      <c r="J67" s="943"/>
      <c r="K67" s="943"/>
      <c r="L67" s="943"/>
      <c r="M67" s="943"/>
      <c r="N67" s="944"/>
    </row>
    <row r="68" spans="1:14" x14ac:dyDescent="0.65">
      <c r="A68" s="266"/>
      <c r="B68" s="793" t="s">
        <v>284</v>
      </c>
      <c r="C68" s="198" t="s">
        <v>312</v>
      </c>
      <c r="D68" s="943" t="s">
        <v>569</v>
      </c>
      <c r="E68" s="943"/>
      <c r="F68" s="943"/>
      <c r="G68" s="943"/>
      <c r="H68" s="943"/>
      <c r="I68" s="943"/>
      <c r="J68" s="943"/>
      <c r="K68" s="943"/>
      <c r="L68" s="943"/>
      <c r="M68" s="943"/>
      <c r="N68" s="944"/>
    </row>
    <row r="69" spans="1:14" x14ac:dyDescent="0.65">
      <c r="A69" s="263" t="s">
        <v>286</v>
      </c>
      <c r="B69" s="199"/>
      <c r="C69" s="198" t="s">
        <v>312</v>
      </c>
      <c r="D69" s="551">
        <f>SUM('CashFlow-Office'!D11,'CashFlow-Office'!D61,'CashFlow-Office'!D111)</f>
        <v>0</v>
      </c>
      <c r="E69" s="551">
        <f>SUM('CashFlow-Office'!E11,'CashFlow-Office'!E61,'CashFlow-Office'!E111)</f>
        <v>0</v>
      </c>
      <c r="F69" s="618">
        <f>SUM('CashFlow-Office'!F11,'CashFlow-Office'!F61,'CashFlow-Office'!F111)</f>
        <v>0</v>
      </c>
      <c r="G69" s="619">
        <f>SUM('CashFlow-Office'!G11,'CashFlow-Office'!G61,'CashFlow-Office'!G111)</f>
        <v>295286</v>
      </c>
      <c r="H69" s="619">
        <f>SUM('CashFlow-Office'!H11,'CashFlow-Office'!H61,'CashFlow-Office'!H111)</f>
        <v>295286</v>
      </c>
      <c r="I69" s="904">
        <f>SUM('CashFlow-Office'!I11,'CashFlow-Office'!I61,'CashFlow-Office'!I111)</f>
        <v>295286</v>
      </c>
      <c r="J69" s="897">
        <f>SUM('CashFlow-Office'!J11,'CashFlow-Office'!J61,'CashFlow-Office'!J111)</f>
        <v>295286</v>
      </c>
      <c r="K69" s="894">
        <f>SUM('CashFlow-Office'!K11,'CashFlow-Office'!K61,'CashFlow-Office'!K111)</f>
        <v>295286</v>
      </c>
      <c r="L69" s="866">
        <f>SUM('CashFlow-Office'!L11,'CashFlow-Office'!L61,'CashFlow-Office'!L111)</f>
        <v>295286</v>
      </c>
      <c r="M69" s="867">
        <f>SUM('CashFlow-Office'!M11,'CashFlow-Office'!M61,'CashFlow-Office'!M111)</f>
        <v>465286</v>
      </c>
      <c r="N69" s="326">
        <f>SUM('CashFlow-Office'!N11,'CashFlow-Office'!N61,'CashFlow-Office'!N111)</f>
        <v>465286</v>
      </c>
    </row>
    <row r="70" spans="1:14" x14ac:dyDescent="0.65">
      <c r="A70" s="263" t="s">
        <v>604</v>
      </c>
      <c r="B70" s="199"/>
      <c r="C70" s="198" t="s">
        <v>312</v>
      </c>
      <c r="D70" s="551">
        <f>SUM('CashFlow-Retail'!D11,'CashFlow-Retail'!D81,'CashFlow-Retail'!D140)</f>
        <v>0</v>
      </c>
      <c r="E70" s="551">
        <f>SUM('CashFlow-Retail'!E11,'CashFlow-Retail'!E81,'CashFlow-Retail'!E140)</f>
        <v>0</v>
      </c>
      <c r="F70" s="618">
        <f>SUM('CashFlow-Retail'!F11,'CashFlow-Retail'!F81,'CashFlow-Retail'!F151)</f>
        <v>0</v>
      </c>
      <c r="G70" s="619">
        <f>SUM('CashFlow-Retail'!G11,'CashFlow-Retail'!G81,'CashFlow-Retail'!G151)</f>
        <v>377900</v>
      </c>
      <c r="H70" s="813">
        <f>SUM('CashFlow-Retail'!H11,'CashFlow-Retail'!H81,'CashFlow-Retail'!H151)</f>
        <v>503304</v>
      </c>
      <c r="I70" s="897">
        <f>SUM('CashFlow-Retail'!I11,'CashFlow-Retail'!I81,'CashFlow-Retail'!I151)</f>
        <v>503304</v>
      </c>
      <c r="J70" s="897">
        <f>SUM('CashFlow-Retail'!J11,'CashFlow-Retail'!J81,'CashFlow-Retail'!J151)</f>
        <v>503304</v>
      </c>
      <c r="K70" s="894">
        <f>SUM('CashFlow-Retail'!K11,'CashFlow-Retail'!K81,'CashFlow-Retail'!K151)</f>
        <v>503304</v>
      </c>
      <c r="L70" s="868">
        <f>SUM('CashFlow-Retail'!L11,'CashFlow-Retail'!L81,'CashFlow-Retail'!L151)</f>
        <v>503304</v>
      </c>
      <c r="M70" s="868">
        <f>SUM('CashFlow-Retail'!M11,'CashFlow-Retail'!M81,'CashFlow-Retail'!M151)</f>
        <v>740811</v>
      </c>
      <c r="N70" s="923">
        <f>SUM('CashFlow-Retail'!N11,'CashFlow-Retail'!N81,'CashFlow-Retail'!N151)</f>
        <v>740811</v>
      </c>
    </row>
    <row r="71" spans="1:14" hidden="1" x14ac:dyDescent="0.65">
      <c r="A71" s="792"/>
      <c r="B71" s="793" t="s">
        <v>287</v>
      </c>
      <c r="C71" s="198" t="s">
        <v>312</v>
      </c>
      <c r="D71" s="943" t="s">
        <v>395</v>
      </c>
      <c r="E71" s="943"/>
      <c r="F71" s="943"/>
      <c r="G71" s="943"/>
      <c r="H71" s="943"/>
      <c r="I71" s="943"/>
      <c r="J71" s="943"/>
      <c r="K71" s="943"/>
      <c r="L71" s="943"/>
      <c r="M71" s="943"/>
      <c r="N71" s="944"/>
    </row>
    <row r="72" spans="1:14" x14ac:dyDescent="0.65">
      <c r="A72" s="263" t="s">
        <v>49</v>
      </c>
      <c r="B72" s="199"/>
      <c r="C72" s="198" t="s">
        <v>312</v>
      </c>
      <c r="D72" s="551">
        <f>SUM('CashFlow-Hotel'!D12,'CashFlow-Hotel'!D77,'CashFlow-Hotel'!D142)</f>
        <v>0</v>
      </c>
      <c r="E72" s="551">
        <f>SUM('CashFlow-Hotel'!E12,'CashFlow-Hotel'!E77,'CashFlow-Hotel'!E142)</f>
        <v>0</v>
      </c>
      <c r="F72" s="618">
        <f>SUM('CashFlow-Hotel'!F12,'CashFlow-Hotel'!F77,'CashFlow-Hotel'!F142)</f>
        <v>0</v>
      </c>
      <c r="G72" s="619">
        <f>SUM('CashFlow-Hotel'!G12,'CashFlow-Hotel'!G77,'CashFlow-Hotel'!G142)</f>
        <v>0</v>
      </c>
      <c r="H72" s="619">
        <f>SUM('CashFlow-Hotel'!H12,'CashFlow-Hotel'!H77,'CashFlow-Hotel'!H142)</f>
        <v>250000</v>
      </c>
      <c r="I72" s="904">
        <f>SUM('CashFlow-Hotel'!I12,'CashFlow-Hotel'!I77,'CashFlow-Hotel'!I142)</f>
        <v>250000</v>
      </c>
      <c r="J72" s="897">
        <f>SUM('CashFlow-Hotel'!J12,'CashFlow-Hotel'!J77,'CashFlow-Hotel'!J142)</f>
        <v>250000</v>
      </c>
      <c r="K72" s="894">
        <f>SUM('CashFlow-Hotel'!K12,'CashFlow-Hotel'!K77,'CashFlow-Hotel'!K142)</f>
        <v>250000</v>
      </c>
      <c r="L72" s="866">
        <f>SUM('CashFlow-Hotel'!L12,'CashFlow-Hotel'!L77,'CashFlow-Hotel'!L142)</f>
        <v>250000</v>
      </c>
      <c r="M72" s="867">
        <f>SUM('CashFlow-Hotel'!M12,'CashFlow-Hotel'!M77,'CashFlow-Hotel'!M142)</f>
        <v>588947</v>
      </c>
      <c r="N72" s="326">
        <f>SUM('CashFlow-Hotel'!N12,'CashFlow-Hotel'!N77,'CashFlow-Hotel'!N142)</f>
        <v>588947</v>
      </c>
    </row>
    <row r="73" spans="1:14" x14ac:dyDescent="0.65">
      <c r="A73" s="263" t="s">
        <v>288</v>
      </c>
      <c r="B73" s="199"/>
      <c r="C73" s="198" t="s">
        <v>312</v>
      </c>
      <c r="D73" s="551">
        <f>SUM('CashFlow-Parking'!D11,'CashFlow-Parking'!D42)</f>
        <v>0</v>
      </c>
      <c r="E73" s="551">
        <f>SUM('CashFlow-Parking'!E11,'CashFlow-Parking'!E42)</f>
        <v>0</v>
      </c>
      <c r="F73" s="618">
        <v>0</v>
      </c>
      <c r="G73" s="619">
        <v>0</v>
      </c>
      <c r="H73" s="619">
        <v>0</v>
      </c>
      <c r="I73" s="904">
        <f>SUM('CashFlow-Parking'!I11,'CashFlow-Parking'!I42)</f>
        <v>0</v>
      </c>
      <c r="J73" s="897">
        <f>SUM('CashFlow-Parking'!J11,'CashFlow-Parking'!J42)</f>
        <v>0</v>
      </c>
      <c r="K73" s="897">
        <f>SUM('Assumptions-Parking'!D9,'Assumptions-Parking'!D10)</f>
        <v>43000</v>
      </c>
      <c r="L73" s="866">
        <f>SUM('CashFlow-Parking'!L11,'CashFlow-Parking'!L42)</f>
        <v>0</v>
      </c>
      <c r="M73" s="867">
        <f>SUM('Assumptions-Parking'!D11,'Assumptions-Parking'!D14)</f>
        <v>62849</v>
      </c>
      <c r="N73" s="326">
        <f>SUM('CashFlow-Parking'!N11,'CashFlow-Parking'!N42)</f>
        <v>0</v>
      </c>
    </row>
    <row r="74" spans="1:14" x14ac:dyDescent="0.65">
      <c r="A74" s="268" t="s">
        <v>290</v>
      </c>
      <c r="B74" s="220"/>
      <c r="C74" s="221" t="s">
        <v>312</v>
      </c>
      <c r="D74" s="552">
        <v>0</v>
      </c>
      <c r="E74" s="552">
        <v>0</v>
      </c>
      <c r="F74" s="618">
        <v>0</v>
      </c>
      <c r="G74" s="619">
        <v>0</v>
      </c>
      <c r="H74" s="619">
        <v>0</v>
      </c>
      <c r="I74" s="904">
        <v>0</v>
      </c>
      <c r="J74" s="897">
        <v>0</v>
      </c>
      <c r="K74" s="894">
        <v>0</v>
      </c>
      <c r="L74" s="866">
        <v>0</v>
      </c>
      <c r="M74" s="867">
        <v>0</v>
      </c>
      <c r="N74" s="326">
        <v>0</v>
      </c>
    </row>
    <row r="75" spans="1:14" ht="13" thickBot="1" x14ac:dyDescent="0.8">
      <c r="A75" s="269" t="s">
        <v>28</v>
      </c>
      <c r="B75" s="270"/>
      <c r="C75" s="328" t="s">
        <v>312</v>
      </c>
      <c r="D75" s="553">
        <f t="shared" ref="D75:N75" si="20">SUM(D65:D66,D69:D70,D72:D74)</f>
        <v>0</v>
      </c>
      <c r="E75" s="553">
        <f t="shared" si="20"/>
        <v>0</v>
      </c>
      <c r="F75" s="620">
        <f t="shared" si="20"/>
        <v>0</v>
      </c>
      <c r="G75" s="621">
        <f t="shared" si="20"/>
        <v>1062801.103072549</v>
      </c>
      <c r="H75" s="621">
        <f t="shared" si="20"/>
        <v>3005994.8415725492</v>
      </c>
      <c r="I75" s="905">
        <f t="shared" si="20"/>
        <v>3005994.8415725492</v>
      </c>
      <c r="J75" s="903">
        <f t="shared" si="20"/>
        <v>3005994.8415725492</v>
      </c>
      <c r="K75" s="902">
        <f t="shared" si="20"/>
        <v>3048994.8415725492</v>
      </c>
      <c r="L75" s="869">
        <f t="shared" si="20"/>
        <v>3005994.8415725492</v>
      </c>
      <c r="M75" s="870">
        <f t="shared" si="20"/>
        <v>4057510.2315725489</v>
      </c>
      <c r="N75" s="327">
        <f t="shared" si="20"/>
        <v>3994661.2315725489</v>
      </c>
    </row>
    <row r="76" spans="1:14" ht="13" thickBot="1" x14ac:dyDescent="0.8">
      <c r="A76" s="214"/>
      <c r="B76" s="214"/>
      <c r="C76" s="214"/>
      <c r="D76" s="548"/>
      <c r="E76" s="548"/>
      <c r="F76" s="214"/>
      <c r="G76" s="214"/>
      <c r="H76" s="214"/>
      <c r="I76" s="214"/>
      <c r="J76" s="804"/>
      <c r="K76" s="214"/>
      <c r="L76" s="214"/>
      <c r="M76" s="214"/>
      <c r="N76" s="214"/>
    </row>
    <row r="77" spans="1:14" ht="17.25" thickBot="1" x14ac:dyDescent="0.8">
      <c r="A77" s="735" t="s">
        <v>595</v>
      </c>
      <c r="B77" s="736"/>
      <c r="C77" s="736"/>
      <c r="D77" s="630"/>
      <c r="E77" s="630"/>
      <c r="F77" s="630"/>
      <c r="G77" s="737"/>
      <c r="H77" s="222"/>
      <c r="I77" s="735" t="s">
        <v>601</v>
      </c>
      <c r="J77" s="632"/>
      <c r="K77" s="632"/>
      <c r="L77" s="633"/>
    </row>
    <row r="78" spans="1:14" x14ac:dyDescent="0.65">
      <c r="A78" s="939" t="s">
        <v>294</v>
      </c>
      <c r="B78" s="940"/>
      <c r="C78" s="223" t="s">
        <v>313</v>
      </c>
      <c r="D78" s="554"/>
      <c r="E78" s="554"/>
      <c r="F78" s="225"/>
      <c r="G78" s="288" t="s">
        <v>314</v>
      </c>
      <c r="H78" s="224"/>
      <c r="I78" s="787" t="s">
        <v>318</v>
      </c>
      <c r="J78" s="714"/>
      <c r="K78" s="715" t="s">
        <v>315</v>
      </c>
      <c r="L78" s="716" t="s">
        <v>316</v>
      </c>
    </row>
    <row r="79" spans="1:14" ht="12" customHeight="1" x14ac:dyDescent="0.65">
      <c r="A79" s="283" t="s">
        <v>603</v>
      </c>
      <c r="B79" s="226" t="s">
        <v>283</v>
      </c>
      <c r="C79" s="788">
        <f>G79/SUM(N56,N58)</f>
        <v>191861.66042807297</v>
      </c>
      <c r="D79" s="555"/>
      <c r="E79" s="555"/>
      <c r="F79" s="261" t="s">
        <v>317</v>
      </c>
      <c r="G79" s="329">
        <f>SUM(D24:M24)</f>
        <v>252873668.44420019</v>
      </c>
      <c r="H79" s="214"/>
      <c r="I79" s="717"/>
      <c r="J79" s="718"/>
      <c r="K79" s="719"/>
      <c r="L79" s="720"/>
    </row>
    <row r="80" spans="1:14" x14ac:dyDescent="0.65">
      <c r="A80" s="286"/>
      <c r="B80" s="200" t="s">
        <v>284</v>
      </c>
      <c r="C80" s="789">
        <f>G80/SUM(N57,N59)</f>
        <v>172491.83171734482</v>
      </c>
      <c r="D80" s="543"/>
      <c r="E80" s="543"/>
      <c r="F80" s="656" t="s">
        <v>317</v>
      </c>
      <c r="G80" s="329">
        <f>SUM(D25:M25)</f>
        <v>162142321.81430411</v>
      </c>
      <c r="H80" s="214"/>
      <c r="I80" s="937" t="s">
        <v>531</v>
      </c>
      <c r="J80" s="938"/>
      <c r="K80" s="721">
        <f>SummarySheet2!I5+SummarySheet2!I47+SummarySheet2!I89</f>
        <v>131517467.63988526</v>
      </c>
      <c r="L80" s="699">
        <f>K80/$K$105</f>
        <v>0.13147860976728873</v>
      </c>
    </row>
    <row r="81" spans="1:12" ht="15" customHeight="1" x14ac:dyDescent="0.65">
      <c r="A81" s="285" t="s">
        <v>285</v>
      </c>
      <c r="B81" s="200" t="s">
        <v>283</v>
      </c>
      <c r="C81" s="789">
        <f>C79</f>
        <v>191861.66042807297</v>
      </c>
      <c r="D81" s="543"/>
      <c r="E81" s="543"/>
      <c r="F81" s="656" t="s">
        <v>317</v>
      </c>
      <c r="G81" s="329" t="s">
        <v>396</v>
      </c>
      <c r="H81" s="214"/>
      <c r="I81" s="722" t="s">
        <v>397</v>
      </c>
      <c r="J81" s="695"/>
      <c r="K81" s="723">
        <f>SUM(SummarySheet2!I8,SummarySheet2!I50,SummarySheet2!I92)</f>
        <v>23864015.251803577</v>
      </c>
      <c r="L81" s="699">
        <f>K81/$K$105</f>
        <v>2.3856964440371931E-2</v>
      </c>
    </row>
    <row r="82" spans="1:12" x14ac:dyDescent="0.65">
      <c r="A82" s="286"/>
      <c r="B82" s="200" t="s">
        <v>284</v>
      </c>
      <c r="C82" s="789">
        <f>C80</f>
        <v>172491.83171734482</v>
      </c>
      <c r="D82" s="543"/>
      <c r="E82" s="543"/>
      <c r="F82" s="656" t="s">
        <v>317</v>
      </c>
      <c r="G82" s="329" t="s">
        <v>396</v>
      </c>
      <c r="H82" s="214"/>
      <c r="I82" s="724"/>
      <c r="J82" s="695"/>
      <c r="K82" s="696"/>
      <c r="L82" s="697"/>
    </row>
    <row r="83" spans="1:12" x14ac:dyDescent="0.65">
      <c r="A83" s="284" t="s">
        <v>286</v>
      </c>
      <c r="B83" s="199"/>
      <c r="C83" s="789">
        <f>G83/N69</f>
        <v>256.75834815705832</v>
      </c>
      <c r="D83" s="543"/>
      <c r="E83" s="543"/>
      <c r="F83" s="656" t="s">
        <v>319</v>
      </c>
      <c r="G83" s="329">
        <f>SUM(D29:M29)</f>
        <v>119466064.78060503</v>
      </c>
      <c r="H83" s="214"/>
      <c r="I83" s="724"/>
      <c r="J83" s="695"/>
      <c r="K83" s="696"/>
      <c r="L83" s="697"/>
    </row>
    <row r="84" spans="1:12" x14ac:dyDescent="0.65">
      <c r="A84" s="284" t="s">
        <v>602</v>
      </c>
      <c r="B84" s="199"/>
      <c r="C84" s="789">
        <f>G84/N70</f>
        <v>94.199136661635777</v>
      </c>
      <c r="D84" s="543"/>
      <c r="E84" s="543"/>
      <c r="F84" s="656" t="s">
        <v>319</v>
      </c>
      <c r="G84" s="329">
        <f>SUM(D30:M30)</f>
        <v>69783756.629443064</v>
      </c>
      <c r="H84" s="214"/>
      <c r="I84" s="725"/>
      <c r="J84" s="726"/>
      <c r="K84" s="727"/>
      <c r="L84" s="728"/>
    </row>
    <row r="85" spans="1:12" x14ac:dyDescent="0.65">
      <c r="A85" s="284" t="s">
        <v>49</v>
      </c>
      <c r="B85" s="199"/>
      <c r="C85" s="789">
        <f>G85/N61</f>
        <v>121856.03555443831</v>
      </c>
      <c r="D85" s="543"/>
      <c r="E85" s="543"/>
      <c r="F85" s="656" t="s">
        <v>321</v>
      </c>
      <c r="G85" s="329">
        <f>SUM(D31:M31)</f>
        <v>210810941.50917828</v>
      </c>
      <c r="H85" s="214"/>
      <c r="I85" s="729" t="s">
        <v>320</v>
      </c>
      <c r="J85" s="718"/>
      <c r="K85" s="730"/>
      <c r="L85" s="731"/>
    </row>
    <row r="86" spans="1:12" x14ac:dyDescent="0.65">
      <c r="A86" s="284" t="s">
        <v>288</v>
      </c>
      <c r="B86" s="199"/>
      <c r="C86" s="789">
        <f>G86/N62</f>
        <v>63905.901288404362</v>
      </c>
      <c r="D86" s="543"/>
      <c r="E86" s="543"/>
      <c r="F86" s="656" t="s">
        <v>322</v>
      </c>
      <c r="G86" s="329">
        <f>SUM(C32:M32)</f>
        <v>17732289.960000001</v>
      </c>
      <c r="H86" s="214"/>
      <c r="I86" s="694" t="s">
        <v>67</v>
      </c>
      <c r="J86" s="695" t="s">
        <v>625</v>
      </c>
      <c r="K86" s="696">
        <f>SUM(SummarySheet2!I7,SummarySheet2!I49,SummarySheet2!I91)</f>
        <v>569909026.43950319</v>
      </c>
      <c r="L86" s="699">
        <f>K86/$K$105</f>
        <v>0.56974064232491817</v>
      </c>
    </row>
    <row r="87" spans="1:12" ht="24.5" x14ac:dyDescent="0.65">
      <c r="A87" s="702"/>
      <c r="B87" s="703"/>
      <c r="C87" s="790"/>
      <c r="D87" s="704"/>
      <c r="E87" s="704"/>
      <c r="F87" s="262"/>
      <c r="G87" s="330"/>
      <c r="H87" s="214"/>
      <c r="I87" s="694" t="s">
        <v>68</v>
      </c>
      <c r="J87" s="922" t="s">
        <v>624</v>
      </c>
      <c r="K87" s="696">
        <f>SUM(SummarySheet2!I90,SummarySheet2!I48,SummarySheet2!I6)</f>
        <v>179588723.38931006</v>
      </c>
      <c r="L87" s="699">
        <f>K87/$K$105</f>
        <v>0.17953566248524563</v>
      </c>
    </row>
    <row r="88" spans="1:12" ht="14.4" customHeight="1" x14ac:dyDescent="0.65">
      <c r="A88" s="3"/>
      <c r="B88" s="8"/>
      <c r="C88" s="8"/>
      <c r="D88" s="709"/>
      <c r="E88" s="709"/>
      <c r="F88" s="8"/>
      <c r="G88" s="9"/>
      <c r="H88" s="214"/>
      <c r="I88" s="694"/>
      <c r="J88" s="922"/>
      <c r="K88" s="696"/>
      <c r="L88" s="697"/>
    </row>
    <row r="89" spans="1:12" x14ac:dyDescent="0.65">
      <c r="A89" s="247" t="s">
        <v>323</v>
      </c>
      <c r="B89" s="212"/>
      <c r="C89" s="227"/>
      <c r="D89" s="556"/>
      <c r="E89" s="556"/>
      <c r="F89" s="271"/>
      <c r="G89" s="260" t="s">
        <v>314</v>
      </c>
      <c r="H89" s="214"/>
      <c r="I89" s="694"/>
      <c r="J89" s="695"/>
      <c r="K89" s="696"/>
      <c r="L89" s="697"/>
    </row>
    <row r="90" spans="1:12" x14ac:dyDescent="0.65">
      <c r="A90" s="929" t="s">
        <v>324</v>
      </c>
      <c r="B90" s="930"/>
      <c r="C90" s="336"/>
      <c r="D90" s="557"/>
      <c r="E90" s="557"/>
      <c r="F90" s="331"/>
      <c r="G90" s="338">
        <f>SUM('Assumptions-Land&amp;Infrastructure'!G30:G31)</f>
        <v>5120000</v>
      </c>
      <c r="H90" s="214"/>
      <c r="I90" s="729" t="s">
        <v>614</v>
      </c>
      <c r="J90" s="718"/>
      <c r="K90" s="730"/>
      <c r="L90" s="733"/>
    </row>
    <row r="91" spans="1:12" x14ac:dyDescent="0.65">
      <c r="A91" s="931" t="s">
        <v>325</v>
      </c>
      <c r="B91" s="932"/>
      <c r="C91" s="337"/>
      <c r="D91" s="558"/>
      <c r="E91" s="558"/>
      <c r="F91" s="332"/>
      <c r="G91" s="339">
        <f>SUM('Assumptions-Land&amp;Infrastructure'!G18:G20)</f>
        <v>2865893.9393939395</v>
      </c>
      <c r="H91" s="214"/>
      <c r="I91" s="3" t="s">
        <v>589</v>
      </c>
      <c r="J91" s="8" t="s">
        <v>584</v>
      </c>
      <c r="K91" s="785">
        <v>5000000</v>
      </c>
      <c r="L91" s="700">
        <f>K91/$K$105</f>
        <v>4.9985227105838539E-3</v>
      </c>
    </row>
    <row r="92" spans="1:12" ht="14.6" customHeight="1" x14ac:dyDescent="0.65">
      <c r="A92" s="931" t="s">
        <v>540</v>
      </c>
      <c r="B92" s="933"/>
      <c r="C92" s="921"/>
      <c r="D92" s="558"/>
      <c r="E92" s="558"/>
      <c r="F92" s="332"/>
      <c r="G92" s="339">
        <f>SUM('Assumptions-Land&amp;Infrastructure'!G28:G29,'Assumptions-Land&amp;Infrastructure'!G26)</f>
        <v>23219264</v>
      </c>
      <c r="H92" s="214"/>
      <c r="I92" s="3" t="s">
        <v>589</v>
      </c>
      <c r="J92" s="8" t="s">
        <v>610</v>
      </c>
      <c r="K92" s="785">
        <v>5000000</v>
      </c>
      <c r="L92" s="700">
        <f t="shared" ref="L92:L104" si="21">K92/$K$105</f>
        <v>4.9985227105838539E-3</v>
      </c>
    </row>
    <row r="93" spans="1:12" ht="14.6" customHeight="1" x14ac:dyDescent="0.65">
      <c r="A93" s="931" t="s">
        <v>326</v>
      </c>
      <c r="B93" s="933"/>
      <c r="C93" s="921"/>
      <c r="D93" s="558"/>
      <c r="E93" s="558"/>
      <c r="F93" s="332"/>
      <c r="G93" s="339">
        <f>SUM('Assumptions-Land&amp;Infrastructure'!G15:G17)</f>
        <v>5674470</v>
      </c>
      <c r="H93" s="214"/>
      <c r="I93" s="3" t="s">
        <v>589</v>
      </c>
      <c r="J93" s="8" t="s">
        <v>611</v>
      </c>
      <c r="K93" s="785">
        <v>10000000</v>
      </c>
      <c r="L93" s="700">
        <f t="shared" si="21"/>
        <v>9.9970454211677079E-3</v>
      </c>
    </row>
    <row r="94" spans="1:12" ht="14.6" customHeight="1" x14ac:dyDescent="0.65">
      <c r="A94" s="931" t="s">
        <v>561</v>
      </c>
      <c r="B94" s="933"/>
      <c r="C94" s="921"/>
      <c r="D94" s="559"/>
      <c r="E94" s="559"/>
      <c r="F94" s="332"/>
      <c r="G94" s="329">
        <f>'Assumptions-Land&amp;Infrastructure'!$G$26+'Assumptions-Land&amp;Infrastructure'!$G$27</f>
        <v>21963888</v>
      </c>
      <c r="H94" s="214"/>
      <c r="I94" s="694" t="s">
        <v>588</v>
      </c>
      <c r="J94" s="701" t="s">
        <v>448</v>
      </c>
      <c r="K94" s="696">
        <v>1200000</v>
      </c>
      <c r="L94" s="700">
        <f t="shared" si="21"/>
        <v>1.199645450540125E-3</v>
      </c>
    </row>
    <row r="95" spans="1:12" ht="14.6" customHeight="1" x14ac:dyDescent="0.65">
      <c r="A95" s="927" t="s">
        <v>327</v>
      </c>
      <c r="B95" s="928"/>
      <c r="C95" s="921"/>
      <c r="D95" s="559"/>
      <c r="E95" s="559"/>
      <c r="F95" s="332"/>
      <c r="G95" s="339">
        <f>SUM('Assumptions-Land&amp;Infrastructure'!G21:G22,'Assumptions-Land&amp;Infrastructure'!G23,'Assumptions-Land&amp;Infrastructure'!G24,'Assumptions-Land&amp;Infrastructure'!G27)</f>
        <v>30316189</v>
      </c>
      <c r="H95" s="214"/>
      <c r="I95" s="694" t="s">
        <v>588</v>
      </c>
      <c r="J95" s="701" t="s">
        <v>455</v>
      </c>
      <c r="K95" s="696">
        <v>1000000</v>
      </c>
      <c r="L95" s="700">
        <f t="shared" si="21"/>
        <v>9.9970454211677088E-4</v>
      </c>
    </row>
    <row r="96" spans="1:12" ht="14.6" customHeight="1" x14ac:dyDescent="0.65">
      <c r="A96" s="250"/>
      <c r="B96" s="918" t="s">
        <v>328</v>
      </c>
      <c r="C96" s="333"/>
      <c r="D96" s="560"/>
      <c r="E96" s="560"/>
      <c r="F96" s="333"/>
      <c r="G96" s="340">
        <f>SUM(SummarySheet2!I20,SummarySheet2!I62,SummarySheet2!I104)</f>
        <v>8856395.1272650063</v>
      </c>
      <c r="H96" s="214"/>
      <c r="I96" s="694" t="s">
        <v>588</v>
      </c>
      <c r="J96" s="695" t="s">
        <v>586</v>
      </c>
      <c r="K96" s="696">
        <v>10000000</v>
      </c>
      <c r="L96" s="700">
        <f t="shared" si="21"/>
        <v>9.9970454211677079E-3</v>
      </c>
    </row>
    <row r="97" spans="1:14" ht="14.6" customHeight="1" x14ac:dyDescent="0.65">
      <c r="A97" s="250"/>
      <c r="B97" s="919" t="s">
        <v>329</v>
      </c>
      <c r="C97" s="333"/>
      <c r="D97" s="560"/>
      <c r="E97" s="560"/>
      <c r="F97" s="333"/>
      <c r="G97" s="340">
        <f>SUM(G90:G95)</f>
        <v>89159704.939393938</v>
      </c>
      <c r="H97" s="214"/>
      <c r="I97" s="3" t="s">
        <v>588</v>
      </c>
      <c r="J97" s="8" t="s">
        <v>618</v>
      </c>
      <c r="K97" s="636">
        <v>37000000</v>
      </c>
      <c r="L97" s="700">
        <f t="shared" si="21"/>
        <v>3.6989068058320522E-2</v>
      </c>
    </row>
    <row r="98" spans="1:14" ht="13" thickBot="1" x14ac:dyDescent="0.8">
      <c r="A98" s="251"/>
      <c r="B98" s="920" t="s">
        <v>296</v>
      </c>
      <c r="C98" s="334"/>
      <c r="D98" s="561"/>
      <c r="E98" s="561"/>
      <c r="F98" s="335"/>
      <c r="G98" s="341">
        <f>SUM(SummarySheet2!I105,SummarySheet2!I63,SummarySheet2!I21)</f>
        <v>1000295545.2043897</v>
      </c>
      <c r="H98" s="214"/>
      <c r="I98" s="3" t="s">
        <v>590</v>
      </c>
      <c r="J98" s="8" t="s">
        <v>613</v>
      </c>
      <c r="K98" s="636">
        <v>4000000</v>
      </c>
      <c r="L98" s="700">
        <f t="shared" si="21"/>
        <v>3.9988181684670835E-3</v>
      </c>
    </row>
    <row r="99" spans="1:14" x14ac:dyDescent="0.65">
      <c r="A99" s="214"/>
      <c r="B99" s="214"/>
      <c r="C99" s="230"/>
      <c r="D99" s="548"/>
      <c r="E99" s="548"/>
      <c r="F99" s="231"/>
      <c r="G99" s="214"/>
      <c r="H99" s="229"/>
      <c r="I99" s="3" t="s">
        <v>590</v>
      </c>
      <c r="J99" s="8" t="s">
        <v>612</v>
      </c>
      <c r="K99" s="785">
        <v>3500000</v>
      </c>
      <c r="L99" s="700">
        <f t="shared" si="21"/>
        <v>3.4989658974086978E-3</v>
      </c>
    </row>
    <row r="100" spans="1:14" ht="18" customHeight="1" x14ac:dyDescent="0.65">
      <c r="A100" s="214"/>
      <c r="B100" s="214"/>
      <c r="C100" s="230"/>
      <c r="D100" s="548"/>
      <c r="E100" s="548"/>
      <c r="F100" s="231"/>
      <c r="G100" s="214"/>
      <c r="H100" s="214"/>
      <c r="I100" s="786" t="s">
        <v>590</v>
      </c>
      <c r="J100" s="701" t="s">
        <v>585</v>
      </c>
      <c r="K100" s="732">
        <v>500000</v>
      </c>
      <c r="L100" s="700">
        <f t="shared" si="21"/>
        <v>4.9985227105838544E-4</v>
      </c>
      <c r="M100" s="214"/>
    </row>
    <row r="101" spans="1:14" ht="22.2" customHeight="1" x14ac:dyDescent="0.65">
      <c r="A101" s="214"/>
      <c r="B101" s="214"/>
      <c r="C101" s="230"/>
      <c r="D101" s="548"/>
      <c r="E101" s="548"/>
      <c r="F101" s="231"/>
      <c r="G101" s="214"/>
      <c r="H101" s="214"/>
      <c r="I101" s="3" t="s">
        <v>591</v>
      </c>
      <c r="J101" s="8" t="s">
        <v>592</v>
      </c>
      <c r="K101" s="636">
        <v>5000000</v>
      </c>
      <c r="L101" s="700">
        <f t="shared" si="21"/>
        <v>4.9985227105838539E-3</v>
      </c>
      <c r="M101" s="214"/>
      <c r="N101" s="214"/>
    </row>
    <row r="102" spans="1:14" x14ac:dyDescent="0.65">
      <c r="A102" s="214"/>
      <c r="B102" s="214"/>
      <c r="C102" s="230"/>
      <c r="D102" s="548"/>
      <c r="E102" s="548"/>
      <c r="F102" s="231"/>
      <c r="G102" s="214"/>
      <c r="H102" s="214"/>
      <c r="I102" s="3" t="s">
        <v>591</v>
      </c>
      <c r="J102" s="8" t="s">
        <v>619</v>
      </c>
      <c r="K102" s="636">
        <v>6000000</v>
      </c>
      <c r="L102" s="700">
        <f t="shared" si="21"/>
        <v>5.9982272527006244E-3</v>
      </c>
      <c r="M102" s="214"/>
      <c r="N102" s="214"/>
    </row>
    <row r="103" spans="1:14" ht="14.6" customHeight="1" x14ac:dyDescent="0.65">
      <c r="H103" s="214"/>
      <c r="I103" s="3" t="s">
        <v>591</v>
      </c>
      <c r="J103" s="8" t="s">
        <v>620</v>
      </c>
      <c r="K103" s="636">
        <v>3000000</v>
      </c>
      <c r="L103" s="700">
        <f t="shared" si="21"/>
        <v>2.9991136263503122E-3</v>
      </c>
      <c r="M103" s="214"/>
      <c r="N103" s="214"/>
    </row>
    <row r="104" spans="1:14" x14ac:dyDescent="0.65">
      <c r="I104" s="3" t="s">
        <v>615</v>
      </c>
      <c r="J104" s="8" t="s">
        <v>617</v>
      </c>
      <c r="K104" s="636">
        <v>4000000</v>
      </c>
      <c r="L104" s="700">
        <f t="shared" si="21"/>
        <v>3.9988181684670835E-3</v>
      </c>
    </row>
    <row r="105" spans="1:14" ht="13" thickBot="1" x14ac:dyDescent="0.8">
      <c r="I105" s="705" t="s">
        <v>28</v>
      </c>
      <c r="J105" s="706"/>
      <c r="K105" s="707">
        <f>G98</f>
        <v>1000295545.2043897</v>
      </c>
      <c r="L105" s="708">
        <v>1</v>
      </c>
    </row>
    <row r="106" spans="1:14" ht="14.6" customHeight="1" x14ac:dyDescent="0.65">
      <c r="I106" s="934" t="s">
        <v>587</v>
      </c>
      <c r="J106" s="935"/>
      <c r="K106" s="935"/>
      <c r="L106" s="936"/>
    </row>
    <row r="107" spans="1:14" ht="15" customHeight="1" thickBot="1" x14ac:dyDescent="0.8">
      <c r="I107" s="924" t="s">
        <v>616</v>
      </c>
      <c r="J107" s="925"/>
      <c r="K107" s="925"/>
      <c r="L107" s="926"/>
    </row>
    <row r="109" spans="1:14" ht="14.6" customHeight="1" x14ac:dyDescent="0.65"/>
  </sheetData>
  <mergeCells count="31">
    <mergeCell ref="V4:Y4"/>
    <mergeCell ref="Q2:T2"/>
    <mergeCell ref="F2:H2"/>
    <mergeCell ref="I2:K2"/>
    <mergeCell ref="F53:H53"/>
    <mergeCell ref="C11:N11"/>
    <mergeCell ref="C7:N7"/>
    <mergeCell ref="C6:N6"/>
    <mergeCell ref="C8:N8"/>
    <mergeCell ref="C27:N27"/>
    <mergeCell ref="C28:N28"/>
    <mergeCell ref="C36:N36"/>
    <mergeCell ref="V2:W2"/>
    <mergeCell ref="R3:T3"/>
    <mergeCell ref="L2:M2"/>
    <mergeCell ref="I80:J80"/>
    <mergeCell ref="A78:B78"/>
    <mergeCell ref="J53:K53"/>
    <mergeCell ref="D60:N60"/>
    <mergeCell ref="D67:N67"/>
    <mergeCell ref="D68:N68"/>
    <mergeCell ref="D71:N71"/>
    <mergeCell ref="L53:M53"/>
    <mergeCell ref="I107:L107"/>
    <mergeCell ref="A95:B95"/>
    <mergeCell ref="A90:B90"/>
    <mergeCell ref="A91:B91"/>
    <mergeCell ref="A92:B92"/>
    <mergeCell ref="A93:B93"/>
    <mergeCell ref="A94:B94"/>
    <mergeCell ref="I106:L106"/>
  </mergeCells>
  <pageMargins left="0.25" right="0.25" top="0.25" bottom="0.25" header="0.3" footer="0.3"/>
  <pageSetup paperSize="17" scale="81" orientation="portrait" r:id="rId1"/>
  <headerFooter>
    <oddFooter>&amp;R&amp;12TEAM 192021_FINANCIAL PRO FORMA (1 OF 2)</oddFooter>
  </headerFooter>
  <ignoredErrors>
    <ignoredError sqref="C9 D15 C16:D18 C13:D13 D14 C19:D26 C15 C32:D32 C29 C30 C31 C33:D33" formulaRange="1"/>
    <ignoredError sqref="C4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7B275-FF11-43D3-95F9-3504321D3106}">
  <sheetPr>
    <tabColor rgb="FFF0C2DC"/>
  </sheetPr>
  <dimension ref="B1:O23"/>
  <sheetViews>
    <sheetView workbookViewId="0">
      <selection activeCell="I9" sqref="I9"/>
    </sheetView>
  </sheetViews>
  <sheetFormatPr defaultColWidth="9.08984375" defaultRowHeight="12.25" x14ac:dyDescent="0.65"/>
  <cols>
    <col min="1" max="1" width="2.76953125" style="1" customWidth="1"/>
    <col min="2" max="2" width="25.08984375" style="1" customWidth="1"/>
    <col min="3" max="3" width="9.08984375" style="1"/>
    <col min="4" max="4" width="9.08984375" style="1" customWidth="1"/>
    <col min="5" max="6" width="7.76953125" style="1" customWidth="1"/>
    <col min="7" max="7" width="2.76953125" style="1" customWidth="1"/>
    <col min="8" max="8" width="25.08984375" style="1" customWidth="1"/>
    <col min="9" max="10" width="8.453125" style="1" customWidth="1"/>
    <col min="11" max="11" width="12.08984375" style="1" customWidth="1"/>
    <col min="12" max="12" width="2.76953125" style="1" customWidth="1"/>
    <col min="13" max="13" width="23.76953125" style="1" customWidth="1"/>
    <col min="14" max="14" width="9.453125" style="1" customWidth="1"/>
    <col min="15" max="16384" width="9.08984375" style="1"/>
  </cols>
  <sheetData>
    <row r="1" spans="2:15" ht="13" thickBot="1" x14ac:dyDescent="0.8"/>
    <row r="2" spans="2:15" ht="14.25" x14ac:dyDescent="0.9">
      <c r="B2" s="982" t="s">
        <v>37</v>
      </c>
      <c r="C2" s="983"/>
    </row>
    <row r="3" spans="2:15" x14ac:dyDescent="0.65">
      <c r="B3" s="3" t="s">
        <v>36</v>
      </c>
      <c r="C3" s="4" t="str">
        <f>ProjectName</f>
        <v>8th Hill</v>
      </c>
    </row>
    <row r="4" spans="2:15" ht="13" thickBot="1" x14ac:dyDescent="0.8">
      <c r="B4" s="5" t="s">
        <v>35</v>
      </c>
      <c r="C4" s="6">
        <f>TeamNumber</f>
        <v>192021</v>
      </c>
    </row>
    <row r="5" spans="2:15" ht="13" thickBot="1" x14ac:dyDescent="0.8"/>
    <row r="6" spans="2:15" ht="15" thickBot="1" x14ac:dyDescent="1.05">
      <c r="B6" s="986" t="s">
        <v>140</v>
      </c>
      <c r="C6" s="987"/>
      <c r="D6" s="987"/>
      <c r="E6" s="987"/>
      <c r="F6" s="988"/>
      <c r="G6" s="365"/>
      <c r="H6" s="979" t="s">
        <v>142</v>
      </c>
      <c r="I6" s="980"/>
      <c r="J6" s="980"/>
      <c r="K6" s="981"/>
      <c r="L6" s="365"/>
      <c r="M6" s="979" t="s">
        <v>160</v>
      </c>
      <c r="N6" s="981"/>
      <c r="O6" s="365"/>
    </row>
    <row r="7" spans="2:15" x14ac:dyDescent="0.65">
      <c r="B7" s="517"/>
      <c r="C7" s="514"/>
      <c r="D7" s="515" t="s">
        <v>104</v>
      </c>
      <c r="E7" s="514" t="s">
        <v>104</v>
      </c>
      <c r="F7" s="516" t="s">
        <v>104</v>
      </c>
      <c r="G7" s="365"/>
      <c r="H7" s="391"/>
      <c r="I7" s="991" t="s">
        <v>107</v>
      </c>
      <c r="J7" s="992"/>
      <c r="K7" s="393"/>
      <c r="L7" s="365"/>
      <c r="M7" s="409" t="s">
        <v>161</v>
      </c>
      <c r="N7" s="379" t="s">
        <v>131</v>
      </c>
      <c r="O7" s="365"/>
    </row>
    <row r="8" spans="2:15" x14ac:dyDescent="0.65">
      <c r="B8" s="409" t="s">
        <v>141</v>
      </c>
      <c r="C8" s="377" t="s">
        <v>103</v>
      </c>
      <c r="D8" s="411" t="s">
        <v>25</v>
      </c>
      <c r="E8" s="753" t="s">
        <v>24</v>
      </c>
      <c r="F8" s="413" t="s">
        <v>23</v>
      </c>
      <c r="G8" s="365"/>
      <c r="H8" s="409" t="s">
        <v>141</v>
      </c>
      <c r="I8" s="411" t="s">
        <v>147</v>
      </c>
      <c r="J8" s="412" t="s">
        <v>148</v>
      </c>
      <c r="K8" s="752" t="s">
        <v>143</v>
      </c>
      <c r="L8" s="365"/>
      <c r="M8" s="391" t="str">
        <f>B9</f>
        <v>Food Hall</v>
      </c>
      <c r="N8" s="427">
        <v>0.1</v>
      </c>
      <c r="O8" s="365"/>
    </row>
    <row r="9" spans="2:15" x14ac:dyDescent="0.65">
      <c r="B9" s="391" t="s">
        <v>48</v>
      </c>
      <c r="C9" s="22">
        <f>SUM(D9:F9)</f>
        <v>48000</v>
      </c>
      <c r="D9" s="380">
        <f>BuildingSummary!H22+BuildingSummary!I22</f>
        <v>48000</v>
      </c>
      <c r="E9" s="22">
        <v>0</v>
      </c>
      <c r="F9" s="381">
        <v>0</v>
      </c>
      <c r="G9" s="365"/>
      <c r="H9" s="391" t="str">
        <f>B9</f>
        <v>Food Hall</v>
      </c>
      <c r="I9" s="518">
        <v>30</v>
      </c>
      <c r="J9" s="428">
        <f>I9/12</f>
        <v>2.5</v>
      </c>
      <c r="K9" s="417" t="s">
        <v>144</v>
      </c>
      <c r="L9" s="365"/>
      <c r="M9" s="391" t="str">
        <f>B10</f>
        <v>Big Box Retail Space</v>
      </c>
      <c r="N9" s="427">
        <v>0.05</v>
      </c>
      <c r="O9" s="365"/>
    </row>
    <row r="10" spans="2:15" x14ac:dyDescent="0.65">
      <c r="B10" s="391" t="s">
        <v>469</v>
      </c>
      <c r="C10" s="22">
        <f>SUM(D10:F10)</f>
        <v>565000</v>
      </c>
      <c r="D10" s="380">
        <v>0</v>
      </c>
      <c r="E10" s="22">
        <f>BuildingSummary!L22+BuildingSummary!O22</f>
        <v>350000</v>
      </c>
      <c r="F10" s="381">
        <f>BuildingSummary!Q22</f>
        <v>215000</v>
      </c>
      <c r="G10" s="365"/>
      <c r="H10" s="391" t="str">
        <f>B10</f>
        <v>Big Box Retail Space</v>
      </c>
      <c r="I10" s="518">
        <v>25</v>
      </c>
      <c r="J10" s="428">
        <f t="shared" ref="J10:J12" si="0">I10/12</f>
        <v>2.0833333333333335</v>
      </c>
      <c r="K10" s="417" t="s">
        <v>144</v>
      </c>
      <c r="L10" s="365"/>
      <c r="M10" s="391" t="str">
        <f>B11</f>
        <v>Neighborhood</v>
      </c>
      <c r="N10" s="427">
        <v>0.15</v>
      </c>
      <c r="O10" s="365"/>
    </row>
    <row r="11" spans="2:15" x14ac:dyDescent="0.65">
      <c r="B11" s="391" t="s">
        <v>440</v>
      </c>
      <c r="C11" s="22">
        <f>SUM(D11:F11)</f>
        <v>69411</v>
      </c>
      <c r="D11" s="380">
        <f>BuildingSummary!C22+BuildingSummary!D22+BuildingSummary!F22+BuildingSummary!G22</f>
        <v>47404</v>
      </c>
      <c r="E11" s="22">
        <f>BuildingSummary!J22+BuildingSummary!K22</f>
        <v>4500</v>
      </c>
      <c r="F11" s="381">
        <f>BuildingSummary!T22+BuildingSummary!U22</f>
        <v>17507</v>
      </c>
      <c r="G11" s="365"/>
      <c r="H11" s="391" t="str">
        <f>B11</f>
        <v>Neighborhood</v>
      </c>
      <c r="I11" s="518">
        <v>25</v>
      </c>
      <c r="J11" s="428">
        <f t="shared" si="0"/>
        <v>2.0833333333333335</v>
      </c>
      <c r="K11" s="417" t="s">
        <v>144</v>
      </c>
      <c r="L11" s="365"/>
      <c r="M11" s="391" t="str">
        <f>B12</f>
        <v xml:space="preserve">Specialty </v>
      </c>
      <c r="N11" s="427">
        <v>0.15</v>
      </c>
      <c r="O11" s="365"/>
    </row>
    <row r="12" spans="2:15" x14ac:dyDescent="0.65">
      <c r="B12" s="391" t="s">
        <v>470</v>
      </c>
      <c r="C12" s="754">
        <f>SUM(D12:F12)</f>
        <v>58400</v>
      </c>
      <c r="D12" s="22">
        <f>BuildingSummary!E22</f>
        <v>30000</v>
      </c>
      <c r="E12" s="22">
        <f>BuildingSummary!N22</f>
        <v>23400</v>
      </c>
      <c r="F12" s="381">
        <f>BuildingSummary!R22</f>
        <v>5000</v>
      </c>
      <c r="G12" s="365"/>
      <c r="H12" s="391" t="str">
        <f>B12</f>
        <v xml:space="preserve">Specialty </v>
      </c>
      <c r="I12" s="518">
        <v>30</v>
      </c>
      <c r="J12" s="428">
        <f t="shared" si="0"/>
        <v>2.5</v>
      </c>
      <c r="K12" s="420" t="s">
        <v>144</v>
      </c>
      <c r="L12" s="365"/>
      <c r="M12" s="409" t="s">
        <v>164</v>
      </c>
      <c r="N12" s="379"/>
      <c r="O12" s="365"/>
    </row>
    <row r="13" spans="2:15" ht="13" thickBot="1" x14ac:dyDescent="0.8">
      <c r="B13" s="392" t="s">
        <v>28</v>
      </c>
      <c r="C13" s="387">
        <f>SUM(C9:C12)</f>
        <v>740811</v>
      </c>
      <c r="D13" s="388">
        <f>SUM(D9:D12)</f>
        <v>125404</v>
      </c>
      <c r="E13" s="387">
        <f>SUM(E9:E12)</f>
        <v>377900</v>
      </c>
      <c r="F13" s="389">
        <f>SUM(F9:F12)</f>
        <v>237507</v>
      </c>
      <c r="G13" s="365"/>
      <c r="H13" s="392" t="s">
        <v>145</v>
      </c>
      <c r="I13" s="755">
        <f>AVERAGE(I9:I12)</f>
        <v>27.5</v>
      </c>
      <c r="J13" s="422">
        <f>I13/12</f>
        <v>2.2916666666666665</v>
      </c>
      <c r="K13" s="423" t="s">
        <v>144</v>
      </c>
      <c r="L13" s="365"/>
      <c r="M13" s="391" t="s">
        <v>546</v>
      </c>
      <c r="N13" s="519">
        <v>20</v>
      </c>
      <c r="O13" s="365"/>
    </row>
    <row r="14" spans="2:15" x14ac:dyDescent="0.65"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91"/>
      <c r="N14" s="410"/>
      <c r="O14" s="365"/>
    </row>
    <row r="15" spans="2:15" ht="16.75" thickBot="1" x14ac:dyDescent="0.95">
      <c r="B15" s="429"/>
      <c r="C15" s="429"/>
      <c r="D15" s="430"/>
      <c r="E15" s="429"/>
      <c r="F15" s="429"/>
      <c r="G15" s="429"/>
      <c r="H15" s="431"/>
      <c r="I15" s="432"/>
      <c r="J15" s="431"/>
      <c r="K15" s="431"/>
      <c r="L15" s="365"/>
      <c r="M15" s="392" t="s">
        <v>171</v>
      </c>
      <c r="N15" s="433">
        <v>0.2</v>
      </c>
      <c r="O15" s="365"/>
    </row>
    <row r="16" spans="2:15" ht="12" customHeight="1" x14ac:dyDescent="0.8">
      <c r="B16" s="429"/>
      <c r="C16" s="429"/>
      <c r="D16" s="429"/>
      <c r="E16" s="429"/>
      <c r="F16" s="429"/>
      <c r="G16" s="429"/>
      <c r="H16" s="431"/>
      <c r="I16" s="431"/>
      <c r="J16" s="431"/>
      <c r="K16" s="431"/>
      <c r="L16" s="365"/>
      <c r="M16" s="365" t="s">
        <v>547</v>
      </c>
      <c r="N16" s="365"/>
      <c r="O16" s="365"/>
    </row>
    <row r="17" spans="2:15" ht="12" customHeight="1" x14ac:dyDescent="0.8">
      <c r="B17" s="434"/>
      <c r="C17" s="429"/>
      <c r="D17" s="429"/>
      <c r="E17" s="429"/>
      <c r="F17" s="429"/>
      <c r="G17" s="429"/>
      <c r="H17" s="431"/>
      <c r="I17" s="431"/>
      <c r="J17" s="431"/>
      <c r="K17" s="431"/>
      <c r="L17" s="365"/>
      <c r="M17" s="365"/>
      <c r="N17" s="365"/>
      <c r="O17" s="365"/>
    </row>
    <row r="18" spans="2:15" ht="12" customHeight="1" x14ac:dyDescent="0.8">
      <c r="B18" s="429"/>
      <c r="C18" s="429"/>
      <c r="D18" s="429"/>
      <c r="E18" s="429"/>
      <c r="F18" s="429"/>
      <c r="G18" s="429"/>
      <c r="H18" s="431"/>
      <c r="I18" s="431"/>
      <c r="J18" s="431"/>
      <c r="K18" s="431"/>
      <c r="L18" s="365"/>
      <c r="M18" s="365"/>
      <c r="N18" s="365"/>
      <c r="O18" s="365"/>
    </row>
    <row r="19" spans="2:15" ht="12" customHeight="1" x14ac:dyDescent="0.8">
      <c r="B19" s="429"/>
      <c r="C19" s="429"/>
      <c r="D19" s="429"/>
      <c r="E19" s="429"/>
      <c r="F19" s="429"/>
      <c r="G19" s="429"/>
      <c r="H19" s="431"/>
      <c r="I19" s="431"/>
      <c r="J19" s="431"/>
      <c r="K19" s="431"/>
      <c r="L19" s="365"/>
      <c r="M19" s="365"/>
      <c r="N19" s="365"/>
      <c r="O19" s="365"/>
    </row>
    <row r="20" spans="2:15" ht="12" customHeight="1" x14ac:dyDescent="0.8">
      <c r="B20" s="429"/>
      <c r="C20" s="429"/>
      <c r="D20" s="429"/>
      <c r="E20" s="429"/>
      <c r="F20" s="429"/>
      <c r="G20" s="429"/>
      <c r="H20" s="431"/>
      <c r="I20" s="431"/>
      <c r="J20" s="431"/>
      <c r="K20" s="431"/>
      <c r="L20" s="365"/>
      <c r="M20" s="365"/>
      <c r="N20" s="365"/>
      <c r="O20" s="365"/>
    </row>
    <row r="21" spans="2:15" ht="12" customHeight="1" x14ac:dyDescent="0.8">
      <c r="B21" s="435"/>
      <c r="C21" s="429"/>
      <c r="D21" s="429"/>
      <c r="E21" s="429"/>
      <c r="F21" s="429"/>
      <c r="G21" s="429"/>
      <c r="H21" s="431"/>
      <c r="I21" s="431"/>
      <c r="J21" s="431"/>
      <c r="K21" s="431"/>
      <c r="L21" s="365"/>
      <c r="M21" s="365"/>
      <c r="N21" s="365"/>
      <c r="O21" s="365"/>
    </row>
    <row r="22" spans="2:15" ht="12" customHeight="1" x14ac:dyDescent="0.8">
      <c r="B22" s="429"/>
      <c r="C22" s="429"/>
      <c r="D22" s="429"/>
      <c r="E22" s="429"/>
      <c r="F22" s="429"/>
      <c r="G22" s="429"/>
      <c r="H22" s="431"/>
      <c r="I22" s="431"/>
      <c r="J22" s="431"/>
      <c r="K22" s="431"/>
      <c r="L22" s="365"/>
      <c r="M22" s="365"/>
      <c r="N22" s="365"/>
      <c r="O22" s="365"/>
    </row>
    <row r="23" spans="2:15" ht="16" x14ac:dyDescent="0.8">
      <c r="B23" s="429"/>
      <c r="C23" s="426"/>
      <c r="D23" s="426"/>
      <c r="E23" s="426"/>
      <c r="F23" s="426"/>
      <c r="G23" s="426"/>
      <c r="H23" s="426"/>
      <c r="I23" s="426"/>
      <c r="J23" s="426"/>
      <c r="K23" s="426"/>
    </row>
  </sheetData>
  <mergeCells count="5">
    <mergeCell ref="M6:N6"/>
    <mergeCell ref="B2:C2"/>
    <mergeCell ref="B6:F6"/>
    <mergeCell ref="H6:K6"/>
    <mergeCell ref="I7:J7"/>
  </mergeCells>
  <pageMargins left="0.7" right="0.7" top="0.75" bottom="0.75" header="0.3" footer="0.3"/>
  <pageSetup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4715B-435F-4514-9C0B-EC9298AEF0DC}">
  <sheetPr>
    <tabColor rgb="FFC1F5FB"/>
  </sheetPr>
  <dimension ref="B1:P221"/>
  <sheetViews>
    <sheetView topLeftCell="A76" zoomScaleNormal="100" workbookViewId="0">
      <selection activeCell="G81" sqref="G81"/>
    </sheetView>
  </sheetViews>
  <sheetFormatPr defaultColWidth="9.08984375" defaultRowHeight="12.25" x14ac:dyDescent="0.65"/>
  <cols>
    <col min="1" max="1" width="2.76953125" style="1" customWidth="1"/>
    <col min="2" max="2" width="35.76953125" style="1" customWidth="1"/>
    <col min="3" max="3" width="9.08984375" style="1"/>
    <col min="4" max="14" width="11.453125" style="1" customWidth="1"/>
    <col min="15" max="16384" width="9.08984375" style="1"/>
  </cols>
  <sheetData>
    <row r="1" spans="2:14" ht="13" thickBot="1" x14ac:dyDescent="0.8">
      <c r="D1" s="8"/>
    </row>
    <row r="2" spans="2:14" ht="12" customHeight="1" thickBot="1" x14ac:dyDescent="1.05">
      <c r="B2" s="982" t="s">
        <v>37</v>
      </c>
      <c r="C2" s="983"/>
      <c r="D2" s="657"/>
      <c r="E2" s="658"/>
      <c r="F2" s="658"/>
      <c r="G2" s="658"/>
    </row>
    <row r="3" spans="2:14" ht="12" customHeight="1" x14ac:dyDescent="0.65">
      <c r="B3" s="154" t="s">
        <v>36</v>
      </c>
      <c r="C3" s="503" t="str">
        <f>ProjectName</f>
        <v>8th Hill</v>
      </c>
      <c r="D3" s="658"/>
      <c r="E3" s="658"/>
      <c r="F3" s="658"/>
      <c r="G3" s="658"/>
    </row>
    <row r="4" spans="2:14" ht="12.45" customHeight="1" thickBot="1" x14ac:dyDescent="0.8">
      <c r="B4" s="5" t="s">
        <v>35</v>
      </c>
      <c r="C4" s="6">
        <f>TeamNumber</f>
        <v>192021</v>
      </c>
      <c r="D4" s="658"/>
      <c r="E4" s="658"/>
      <c r="F4" s="658"/>
      <c r="G4" s="658"/>
    </row>
    <row r="5" spans="2:14" ht="13" thickBot="1" x14ac:dyDescent="0.8"/>
    <row r="6" spans="2:14" ht="15" thickBot="1" x14ac:dyDescent="1.05">
      <c r="B6" s="986" t="s">
        <v>226</v>
      </c>
      <c r="C6" s="987"/>
      <c r="D6" s="987"/>
      <c r="E6" s="987"/>
      <c r="F6" s="987"/>
      <c r="G6" s="987"/>
      <c r="H6" s="987"/>
      <c r="I6" s="987"/>
      <c r="J6" s="987"/>
      <c r="K6" s="987"/>
      <c r="L6" s="987"/>
      <c r="M6" s="987"/>
      <c r="N6" s="988"/>
    </row>
    <row r="7" spans="2:14" x14ac:dyDescent="0.65">
      <c r="B7" s="154" t="s">
        <v>191</v>
      </c>
      <c r="C7" s="155"/>
      <c r="D7" s="155">
        <v>1</v>
      </c>
      <c r="E7" s="155">
        <f>D7+1</f>
        <v>2</v>
      </c>
      <c r="F7" s="155">
        <f t="shared" ref="F7:N8" si="0">E7+1</f>
        <v>3</v>
      </c>
      <c r="G7" s="155">
        <f t="shared" si="0"/>
        <v>4</v>
      </c>
      <c r="H7" s="155">
        <f t="shared" si="0"/>
        <v>5</v>
      </c>
      <c r="I7" s="155">
        <f t="shared" si="0"/>
        <v>6</v>
      </c>
      <c r="J7" s="155">
        <f t="shared" si="0"/>
        <v>7</v>
      </c>
      <c r="K7" s="155">
        <f t="shared" si="0"/>
        <v>8</v>
      </c>
      <c r="L7" s="155">
        <f t="shared" si="0"/>
        <v>9</v>
      </c>
      <c r="M7" s="155">
        <f t="shared" si="0"/>
        <v>10</v>
      </c>
      <c r="N7" s="156">
        <f t="shared" si="0"/>
        <v>11</v>
      </c>
    </row>
    <row r="8" spans="2:14" x14ac:dyDescent="0.65">
      <c r="B8" s="3" t="s">
        <v>192</v>
      </c>
      <c r="C8" s="8"/>
      <c r="D8" s="8">
        <f>YEAR('Assumptions-Overall'!C9)</f>
        <v>2019</v>
      </c>
      <c r="E8" s="8">
        <f>D8+1</f>
        <v>2020</v>
      </c>
      <c r="F8" s="8">
        <f t="shared" si="0"/>
        <v>2021</v>
      </c>
      <c r="G8" s="8">
        <f t="shared" si="0"/>
        <v>2022</v>
      </c>
      <c r="H8" s="8">
        <f t="shared" si="0"/>
        <v>2023</v>
      </c>
      <c r="I8" s="8">
        <f t="shared" si="0"/>
        <v>2024</v>
      </c>
      <c r="J8" s="8">
        <f t="shared" si="0"/>
        <v>2025</v>
      </c>
      <c r="K8" s="8">
        <f t="shared" si="0"/>
        <v>2026</v>
      </c>
      <c r="L8" s="8">
        <f t="shared" si="0"/>
        <v>2027</v>
      </c>
      <c r="M8" s="8">
        <f t="shared" si="0"/>
        <v>2028</v>
      </c>
      <c r="N8" s="9">
        <f t="shared" si="0"/>
        <v>2029</v>
      </c>
    </row>
    <row r="9" spans="2:14" x14ac:dyDescent="0.65">
      <c r="B9" s="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2:14" x14ac:dyDescent="0.65">
      <c r="B10" s="147" t="s">
        <v>193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2:14" x14ac:dyDescent="0.65">
      <c r="B11" s="3" t="s">
        <v>194</v>
      </c>
      <c r="C11" s="8"/>
      <c r="D11" s="148">
        <f>SUM(D$15,D18,D21,D$24)</f>
        <v>0</v>
      </c>
      <c r="E11" s="148">
        <f>SUM(E$15,E18,E21,E$24)</f>
        <v>0</v>
      </c>
      <c r="F11" s="148">
        <f t="shared" ref="F11:N11" si="1">SUM(F$15,F18,F21,F$24)</f>
        <v>0</v>
      </c>
      <c r="G11" s="148">
        <f t="shared" si="1"/>
        <v>0</v>
      </c>
      <c r="H11" s="148">
        <f t="shared" si="1"/>
        <v>125404</v>
      </c>
      <c r="I11" s="148">
        <f t="shared" si="1"/>
        <v>125404</v>
      </c>
      <c r="J11" s="148">
        <f t="shared" si="1"/>
        <v>125404</v>
      </c>
      <c r="K11" s="148">
        <f t="shared" si="1"/>
        <v>125404</v>
      </c>
      <c r="L11" s="148">
        <f t="shared" si="1"/>
        <v>125404</v>
      </c>
      <c r="M11" s="148">
        <f t="shared" si="1"/>
        <v>125404</v>
      </c>
      <c r="N11" s="149">
        <f t="shared" si="1"/>
        <v>125404</v>
      </c>
    </row>
    <row r="12" spans="2:14" x14ac:dyDescent="0.65">
      <c r="B12" s="3" t="s">
        <v>195</v>
      </c>
      <c r="C12" s="8"/>
      <c r="D12" s="148">
        <f>D$11-C$11</f>
        <v>0</v>
      </c>
      <c r="E12" s="148">
        <f>E$11-D$11</f>
        <v>0</v>
      </c>
      <c r="F12" s="148">
        <f t="shared" ref="F12:N12" si="2">F$11-E$11</f>
        <v>0</v>
      </c>
      <c r="G12" s="148">
        <f t="shared" si="2"/>
        <v>0</v>
      </c>
      <c r="H12" s="148">
        <f t="shared" si="2"/>
        <v>125404</v>
      </c>
      <c r="I12" s="148">
        <f t="shared" si="2"/>
        <v>0</v>
      </c>
      <c r="J12" s="148">
        <f t="shared" si="2"/>
        <v>0</v>
      </c>
      <c r="K12" s="148">
        <f t="shared" si="2"/>
        <v>0</v>
      </c>
      <c r="L12" s="148">
        <f t="shared" si="2"/>
        <v>0</v>
      </c>
      <c r="M12" s="148">
        <f t="shared" si="2"/>
        <v>0</v>
      </c>
      <c r="N12" s="149">
        <f t="shared" si="2"/>
        <v>0</v>
      </c>
    </row>
    <row r="13" spans="2:14" x14ac:dyDescent="0.65">
      <c r="B13" s="3"/>
      <c r="C13" s="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9"/>
    </row>
    <row r="14" spans="2:14" x14ac:dyDescent="0.65">
      <c r="B14" s="36" t="s">
        <v>227</v>
      </c>
      <c r="C14" s="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9"/>
    </row>
    <row r="15" spans="2:14" x14ac:dyDescent="0.65">
      <c r="B15" s="3" t="str">
        <f>'Assumptions-Retail'!$B$9</f>
        <v>Food Hall</v>
      </c>
      <c r="C15" s="8"/>
      <c r="D15" s="148">
        <f>(D$8&gt;=YEAR(PhaseIComplete))*'Assumptions-Retail'!$D$9</f>
        <v>0</v>
      </c>
      <c r="E15" s="148">
        <f>(E$8&gt;=YEAR(PhaseIComplete))*'Assumptions-Retail'!$D$9</f>
        <v>0</v>
      </c>
      <c r="F15" s="148">
        <f>(F$8&gt;=YEAR(PhaseIComplete))*'Assumptions-Retail'!$D$9</f>
        <v>0</v>
      </c>
      <c r="G15" s="148">
        <f>(G$8&gt;=YEAR(PhaseIComplete))*'Assumptions-Retail'!$D$9</f>
        <v>0</v>
      </c>
      <c r="H15" s="148">
        <f>(H$8&gt;=YEAR(PhaseIComplete))*'Assumptions-Retail'!$D$9</f>
        <v>48000</v>
      </c>
      <c r="I15" s="148">
        <f>(I$8&gt;=YEAR(PhaseIComplete))*'Assumptions-Retail'!$D$9</f>
        <v>48000</v>
      </c>
      <c r="J15" s="148">
        <f>(J$8&gt;=YEAR(PhaseIComplete))*'Assumptions-Retail'!$D$9</f>
        <v>48000</v>
      </c>
      <c r="K15" s="148">
        <f>(K$8&gt;=YEAR(PhaseIComplete))*'Assumptions-Retail'!$D$9</f>
        <v>48000</v>
      </c>
      <c r="L15" s="148">
        <f>(L$8&gt;=YEAR(PhaseIComplete))*'Assumptions-Retail'!$D$9</f>
        <v>48000</v>
      </c>
      <c r="M15" s="148">
        <f>(M$8&gt;=YEAR(PhaseIComplete))*'Assumptions-Retail'!$D$9</f>
        <v>48000</v>
      </c>
      <c r="N15" s="149">
        <f>(N$8&gt;=YEAR(PhaseIComplete))*'Assumptions-Retail'!$D$9</f>
        <v>48000</v>
      </c>
    </row>
    <row r="16" spans="2:14" x14ac:dyDescent="0.65">
      <c r="B16" s="150" t="s">
        <v>478</v>
      </c>
      <c r="C16" s="8"/>
      <c r="D16" s="148">
        <f>D15-C15</f>
        <v>0</v>
      </c>
      <c r="E16" s="148">
        <f>E15-D15</f>
        <v>0</v>
      </c>
      <c r="F16" s="148">
        <f t="shared" ref="F16:N16" si="3">F15-E15</f>
        <v>0</v>
      </c>
      <c r="G16" s="148">
        <f t="shared" si="3"/>
        <v>0</v>
      </c>
      <c r="H16" s="148">
        <f t="shared" si="3"/>
        <v>48000</v>
      </c>
      <c r="I16" s="148">
        <f t="shared" si="3"/>
        <v>0</v>
      </c>
      <c r="J16" s="148">
        <f t="shared" si="3"/>
        <v>0</v>
      </c>
      <c r="K16" s="148">
        <f t="shared" si="3"/>
        <v>0</v>
      </c>
      <c r="L16" s="148">
        <f t="shared" si="3"/>
        <v>0</v>
      </c>
      <c r="M16" s="148">
        <f t="shared" si="3"/>
        <v>0</v>
      </c>
      <c r="N16" s="149">
        <f t="shared" si="3"/>
        <v>0</v>
      </c>
    </row>
    <row r="17" spans="2:14" ht="6" customHeight="1" x14ac:dyDescent="0.65">
      <c r="B17" s="150"/>
      <c r="C17" s="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9"/>
    </row>
    <row r="18" spans="2:14" x14ac:dyDescent="0.65">
      <c r="B18" s="3" t="str">
        <f>'Assumptions-Retail'!$B$10</f>
        <v>Big Box Retail Space</v>
      </c>
      <c r="C18" s="8"/>
      <c r="D18" s="148">
        <f>(D$8&gt;=YEAR(PhaseIComplete))*'Assumptions-Retail'!$D$10</f>
        <v>0</v>
      </c>
      <c r="E18" s="148">
        <f>(E$8&gt;=YEAR(PhaseIComplete))*'Assumptions-Retail'!$D$10</f>
        <v>0</v>
      </c>
      <c r="F18" s="148">
        <f>(F$8&gt;=YEAR(PhaseIComplete))*'Assumptions-Retail'!$D$10</f>
        <v>0</v>
      </c>
      <c r="G18" s="148">
        <f>(G$8&gt;=YEAR(PhaseIComplete))*'Assumptions-Retail'!$D$10</f>
        <v>0</v>
      </c>
      <c r="H18" s="148">
        <f>(H$8&gt;=YEAR(PhaseIComplete))*'Assumptions-Retail'!$D$10</f>
        <v>0</v>
      </c>
      <c r="I18" s="148">
        <f>(I$8&gt;=YEAR(PhaseIComplete))*'Assumptions-Retail'!$D$10</f>
        <v>0</v>
      </c>
      <c r="J18" s="148">
        <f>(J$8&gt;=YEAR(PhaseIComplete))*'Assumptions-Retail'!$D$10</f>
        <v>0</v>
      </c>
      <c r="K18" s="148">
        <f>(K$8&gt;=YEAR(PhaseIComplete))*'Assumptions-Retail'!$D$10</f>
        <v>0</v>
      </c>
      <c r="L18" s="148">
        <f>(L$8&gt;=YEAR(PhaseIComplete))*'Assumptions-Retail'!$D$10</f>
        <v>0</v>
      </c>
      <c r="M18" s="148">
        <f>(M$8&gt;=YEAR(PhaseIComplete))*'Assumptions-Retail'!$D$10</f>
        <v>0</v>
      </c>
      <c r="N18" s="149">
        <f>(N$8&gt;=YEAR(PhaseIComplete))*'Assumptions-Retail'!$D$10</f>
        <v>0</v>
      </c>
    </row>
    <row r="19" spans="2:14" x14ac:dyDescent="0.65">
      <c r="B19" s="150" t="s">
        <v>475</v>
      </c>
      <c r="C19" s="8"/>
      <c r="D19" s="148">
        <f>D18-C18</f>
        <v>0</v>
      </c>
      <c r="E19" s="148">
        <f t="shared" ref="E19:N19" si="4">E18-D18</f>
        <v>0</v>
      </c>
      <c r="F19" s="148">
        <f t="shared" si="4"/>
        <v>0</v>
      </c>
      <c r="G19" s="148">
        <f t="shared" si="4"/>
        <v>0</v>
      </c>
      <c r="H19" s="148">
        <f t="shared" si="4"/>
        <v>0</v>
      </c>
      <c r="I19" s="148">
        <f t="shared" si="4"/>
        <v>0</v>
      </c>
      <c r="J19" s="148">
        <f t="shared" si="4"/>
        <v>0</v>
      </c>
      <c r="K19" s="148">
        <f t="shared" si="4"/>
        <v>0</v>
      </c>
      <c r="L19" s="148">
        <f t="shared" si="4"/>
        <v>0</v>
      </c>
      <c r="M19" s="148">
        <f t="shared" si="4"/>
        <v>0</v>
      </c>
      <c r="N19" s="149">
        <f t="shared" si="4"/>
        <v>0</v>
      </c>
    </row>
    <row r="20" spans="2:14" ht="6" customHeight="1" x14ac:dyDescent="0.65">
      <c r="B20" s="150"/>
      <c r="C20" s="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9"/>
    </row>
    <row r="21" spans="2:14" x14ac:dyDescent="0.65">
      <c r="B21" s="3" t="str">
        <f>'Assumptions-Retail'!$B$11</f>
        <v>Neighborhood</v>
      </c>
      <c r="C21" s="8"/>
      <c r="D21" s="148">
        <f>(D$8&gt;=YEAR(PhaseIComplete))*'Assumptions-Retail'!$D$11</f>
        <v>0</v>
      </c>
      <c r="E21" s="148">
        <f>(E$8&gt;=YEAR(PhaseIComplete))*'Assumptions-Retail'!$D$11</f>
        <v>0</v>
      </c>
      <c r="F21" s="148">
        <f>(F$8&gt;=YEAR(PhaseIComplete))*'Assumptions-Retail'!$D$11</f>
        <v>0</v>
      </c>
      <c r="G21" s="148">
        <f>(G$8&gt;=YEAR(PhaseIComplete))*'Assumptions-Retail'!$D$11</f>
        <v>0</v>
      </c>
      <c r="H21" s="148">
        <f>(H$8&gt;=YEAR(PhaseIComplete))*'Assumptions-Retail'!$D$11</f>
        <v>47404</v>
      </c>
      <c r="I21" s="148">
        <f>(I$8&gt;=YEAR(PhaseIComplete))*'Assumptions-Retail'!$D$11</f>
        <v>47404</v>
      </c>
      <c r="J21" s="148">
        <f>(J$8&gt;=YEAR(PhaseIComplete))*'Assumptions-Retail'!$D$11</f>
        <v>47404</v>
      </c>
      <c r="K21" s="148">
        <f>(K$8&gt;=YEAR(PhaseIComplete))*'Assumptions-Retail'!$D$11</f>
        <v>47404</v>
      </c>
      <c r="L21" s="148">
        <f>(L$8&gt;=YEAR(PhaseIComplete))*'Assumptions-Retail'!$D$11</f>
        <v>47404</v>
      </c>
      <c r="M21" s="148">
        <f>(M$8&gt;=YEAR(PhaseIComplete))*'Assumptions-Retail'!$D$11</f>
        <v>47404</v>
      </c>
      <c r="N21" s="149">
        <f>(N$8&gt;=YEAR(PhaseIComplete))*'Assumptions-Retail'!$D$11</f>
        <v>47404</v>
      </c>
    </row>
    <row r="22" spans="2:14" x14ac:dyDescent="0.65">
      <c r="B22" s="150" t="s">
        <v>476</v>
      </c>
      <c r="C22" s="8"/>
      <c r="D22" s="148">
        <f>D21-C21</f>
        <v>0</v>
      </c>
      <c r="E22" s="148">
        <f t="shared" ref="E22:N22" si="5">E21-D21</f>
        <v>0</v>
      </c>
      <c r="F22" s="148">
        <f t="shared" si="5"/>
        <v>0</v>
      </c>
      <c r="G22" s="148">
        <f t="shared" si="5"/>
        <v>0</v>
      </c>
      <c r="H22" s="148">
        <f t="shared" si="5"/>
        <v>47404</v>
      </c>
      <c r="I22" s="148">
        <f t="shared" si="5"/>
        <v>0</v>
      </c>
      <c r="J22" s="148">
        <f t="shared" si="5"/>
        <v>0</v>
      </c>
      <c r="K22" s="148">
        <f t="shared" si="5"/>
        <v>0</v>
      </c>
      <c r="L22" s="148">
        <f t="shared" si="5"/>
        <v>0</v>
      </c>
      <c r="M22" s="148">
        <f t="shared" si="5"/>
        <v>0</v>
      </c>
      <c r="N22" s="149">
        <f t="shared" si="5"/>
        <v>0</v>
      </c>
    </row>
    <row r="23" spans="2:14" ht="6" customHeight="1" x14ac:dyDescent="0.65">
      <c r="B23" s="150"/>
      <c r="C23" s="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9"/>
    </row>
    <row r="24" spans="2:14" x14ac:dyDescent="0.65">
      <c r="B24" s="3" t="str">
        <f>'Assumptions-Retail'!$B$12</f>
        <v xml:space="preserve">Specialty </v>
      </c>
      <c r="C24" s="8"/>
      <c r="D24" s="148">
        <f>(D$8&gt;=YEAR(PhaseIComplete))*'Assumptions-Retail'!$D$12</f>
        <v>0</v>
      </c>
      <c r="E24" s="148">
        <f>(E$8&gt;=YEAR(PhaseIComplete))*'Assumptions-Retail'!$D$12</f>
        <v>0</v>
      </c>
      <c r="F24" s="148">
        <f>(F$8&gt;=YEAR(PhaseIComplete))*'Assumptions-Retail'!$D$12</f>
        <v>0</v>
      </c>
      <c r="G24" s="148">
        <f>(G$8&gt;=YEAR(PhaseIComplete))*'Assumptions-Retail'!$D$12</f>
        <v>0</v>
      </c>
      <c r="H24" s="148">
        <f>(H$8&gt;=YEAR(PhaseIComplete))*'Assumptions-Retail'!$D$12</f>
        <v>30000</v>
      </c>
      <c r="I24" s="148">
        <f>(I$8&gt;=YEAR(PhaseIComplete))*'Assumptions-Retail'!$D$12</f>
        <v>30000</v>
      </c>
      <c r="J24" s="148">
        <f>(J$8&gt;=YEAR(PhaseIComplete))*'Assumptions-Retail'!$D$12</f>
        <v>30000</v>
      </c>
      <c r="K24" s="148">
        <f>(K$8&gt;=YEAR(PhaseIComplete))*'Assumptions-Retail'!$D$12</f>
        <v>30000</v>
      </c>
      <c r="L24" s="148">
        <f>(L$8&gt;=YEAR(PhaseIComplete))*'Assumptions-Retail'!$D$12</f>
        <v>30000</v>
      </c>
      <c r="M24" s="148">
        <f>(M$8&gt;=YEAR(PhaseIComplete))*'Assumptions-Retail'!$D$12</f>
        <v>30000</v>
      </c>
      <c r="N24" s="149">
        <f>(N$8&gt;=YEAR(PhaseIComplete))*'Assumptions-Retail'!$D$12</f>
        <v>30000</v>
      </c>
    </row>
    <row r="25" spans="2:14" x14ac:dyDescent="0.65">
      <c r="B25" s="150" t="s">
        <v>477</v>
      </c>
      <c r="C25" s="8"/>
      <c r="D25" s="148">
        <f>D24-C24</f>
        <v>0</v>
      </c>
      <c r="E25" s="148">
        <f t="shared" ref="E25:N25" si="6">E24-D24</f>
        <v>0</v>
      </c>
      <c r="F25" s="148">
        <f t="shared" si="6"/>
        <v>0</v>
      </c>
      <c r="G25" s="148">
        <f t="shared" si="6"/>
        <v>0</v>
      </c>
      <c r="H25" s="148">
        <f t="shared" si="6"/>
        <v>30000</v>
      </c>
      <c r="I25" s="148">
        <f t="shared" si="6"/>
        <v>0</v>
      </c>
      <c r="J25" s="148">
        <f t="shared" si="6"/>
        <v>0</v>
      </c>
      <c r="K25" s="148">
        <f t="shared" si="6"/>
        <v>0</v>
      </c>
      <c r="L25" s="148">
        <f t="shared" si="6"/>
        <v>0</v>
      </c>
      <c r="M25" s="148">
        <f t="shared" si="6"/>
        <v>0</v>
      </c>
      <c r="N25" s="149">
        <f t="shared" si="6"/>
        <v>0</v>
      </c>
    </row>
    <row r="26" spans="2:14" x14ac:dyDescent="0.65">
      <c r="B26" s="3"/>
      <c r="C26" s="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9"/>
    </row>
    <row r="27" spans="2:14" x14ac:dyDescent="0.65">
      <c r="B27" s="36" t="s">
        <v>206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2:14" x14ac:dyDescent="0.65">
      <c r="B28" s="3" t="s">
        <v>229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9"/>
    </row>
    <row r="29" spans="2:14" x14ac:dyDescent="0.65">
      <c r="B29" s="150" t="str">
        <f>'Assumptions-Retail'!$B$9</f>
        <v>Food Hall</v>
      </c>
      <c r="C29" s="8"/>
      <c r="D29" s="146">
        <f>SUMPRODUCT(D15,'Assumptions-Retail'!$I$9)*(1+'Assumptions-Overall'!$C$35)^('CashFlow-Retail'!D$7-1)</f>
        <v>0</v>
      </c>
      <c r="E29" s="146">
        <f>SUMPRODUCT(E$15,'Assumptions-Retail'!$I$9)*(1+'Assumptions-Overall'!$C$35)^('CashFlow-Retail'!E$7-1)</f>
        <v>0</v>
      </c>
      <c r="F29" s="146">
        <f>SUMPRODUCT(F$15,'Assumptions-Retail'!$I$9)*(1+'Assumptions-Overall'!$C$35)^('CashFlow-Retail'!F$7-1)</f>
        <v>0</v>
      </c>
      <c r="G29" s="146">
        <f>SUMPRODUCT(G$15,'Assumptions-Retail'!$I$9)*(1+'Assumptions-Overall'!$C$35)^('CashFlow-Retail'!G$7-1)</f>
        <v>0</v>
      </c>
      <c r="H29" s="146">
        <f>SUMPRODUCT(H$15,'Assumptions-Retail'!$I$9)*(1+'Assumptions-Overall'!$C$35)^('CashFlow-Retail'!H$7-1)</f>
        <v>1620732.6863999998</v>
      </c>
      <c r="I29" s="146">
        <f>SUMPRODUCT(I$15,'Assumptions-Retail'!$I$9)*(1+'Assumptions-Overall'!$C$35)^('CashFlow-Retail'!I$7-1)</f>
        <v>1669354.6669919998</v>
      </c>
      <c r="J29" s="146">
        <f>SUMPRODUCT(J$15,'Assumptions-Retail'!$I$9)*(1+'Assumptions-Overall'!$C$35)^('CashFlow-Retail'!J$7-1)</f>
        <v>1719435.3070017598</v>
      </c>
      <c r="K29" s="146">
        <f>SUMPRODUCT(K$15,'Assumptions-Retail'!$I$9)*(1+'Assumptions-Overall'!$C$35)^('CashFlow-Retail'!K$7-1)</f>
        <v>1771018.3662118127</v>
      </c>
      <c r="L29" s="146">
        <f>SUMPRODUCT(L$15,'Assumptions-Retail'!$I$9)*(1+'Assumptions-Overall'!$C$35)^('CashFlow-Retail'!L$7-1)</f>
        <v>1824148.9171981669</v>
      </c>
      <c r="M29" s="146">
        <f>SUMPRODUCT(M$15,'Assumptions-Retail'!$I$9)*(1+'Assumptions-Overall'!$C$35)^('CashFlow-Retail'!M$7-1)</f>
        <v>1878873.3847141119</v>
      </c>
      <c r="N29" s="151">
        <f>SUMPRODUCT(N$15,'Assumptions-Retail'!$I$9)*(1+'Assumptions-Overall'!$C$35)^('CashFlow-Retail'!N$7-1)</f>
        <v>1935239.5862555353</v>
      </c>
    </row>
    <row r="30" spans="2:14" x14ac:dyDescent="0.65">
      <c r="B30" s="150" t="str">
        <f>'Assumptions-Retail'!$B$10</f>
        <v>Big Box Retail Space</v>
      </c>
      <c r="C30" s="8"/>
      <c r="D30" s="146">
        <f>SUMPRODUCT(D18,'Assumptions-Retail'!$I$9)*(1+'Assumptions-Overall'!$C$35)^('CashFlow-Retail'!D$7-1)</f>
        <v>0</v>
      </c>
      <c r="E30" s="146">
        <f>SUMPRODUCT(E18,'Assumptions-Retail'!$I$9)*(1+'Assumptions-Overall'!$C$35)^('CashFlow-Retail'!E$7-1)</f>
        <v>0</v>
      </c>
      <c r="F30" s="146">
        <f>SUMPRODUCT(F18,'Assumptions-Retail'!$I$9)*(1+'Assumptions-Overall'!$C$35)^('CashFlow-Retail'!F$7-1)</f>
        <v>0</v>
      </c>
      <c r="G30" s="146">
        <f>SUMPRODUCT(G18,'Assumptions-Retail'!$I$9)*(1+'Assumptions-Overall'!$C$35)^('CashFlow-Retail'!G$7-1)</f>
        <v>0</v>
      </c>
      <c r="H30" s="146">
        <f>SUMPRODUCT(H18,'Assumptions-Retail'!$I$9)*(1+'Assumptions-Overall'!$C$35)^('CashFlow-Retail'!H$7-1)</f>
        <v>0</v>
      </c>
      <c r="I30" s="146">
        <f>SUMPRODUCT(I18,'Assumptions-Retail'!$I$9)*(1+'Assumptions-Overall'!$C$35)^('CashFlow-Retail'!I$7-1)</f>
        <v>0</v>
      </c>
      <c r="J30" s="146">
        <f>SUMPRODUCT(J18,'Assumptions-Retail'!$I$9)*(1+'Assumptions-Overall'!$C$35)^('CashFlow-Retail'!J$7-1)</f>
        <v>0</v>
      </c>
      <c r="K30" s="146">
        <f>SUMPRODUCT(K18,'Assumptions-Retail'!$I$9)*(1+'Assumptions-Overall'!$C$35)^('CashFlow-Retail'!K$7-1)</f>
        <v>0</v>
      </c>
      <c r="L30" s="146">
        <f>SUMPRODUCT(L18,'Assumptions-Retail'!$I$9)*(1+'Assumptions-Overall'!$C$35)^('CashFlow-Retail'!L$7-1)</f>
        <v>0</v>
      </c>
      <c r="M30" s="146">
        <f>SUMPRODUCT(M18,'Assumptions-Retail'!$I$9)*(1+'Assumptions-Overall'!$C$35)^('CashFlow-Retail'!M$7-1)</f>
        <v>0</v>
      </c>
      <c r="N30" s="151">
        <f>SUMPRODUCT(N18,'Assumptions-Retail'!$I$9)*(1+'Assumptions-Overall'!$C$35)^('CashFlow-Retail'!N$7-1)</f>
        <v>0</v>
      </c>
    </row>
    <row r="31" spans="2:14" x14ac:dyDescent="0.65">
      <c r="B31" s="150" t="str">
        <f>'Assumptions-Retail'!$B$11</f>
        <v>Neighborhood</v>
      </c>
      <c r="C31" s="8"/>
      <c r="D31" s="146">
        <f>SUMPRODUCT(D21,'Assumptions-Retail'!$I$9)*(1+'Assumptions-Overall'!$C$35)^('CashFlow-Retail'!D$7-1)</f>
        <v>0</v>
      </c>
      <c r="E31" s="146">
        <f>SUMPRODUCT(E21,'Assumptions-Retail'!$I$9)*(1+'Assumptions-Overall'!$C$35)^('CashFlow-Retail'!E$7-1)</f>
        <v>0</v>
      </c>
      <c r="F31" s="146">
        <f>SUMPRODUCT(F21,'Assumptions-Retail'!$I$9)*(1+'Assumptions-Overall'!$C$35)^('CashFlow-Retail'!F$7-1)</f>
        <v>0</v>
      </c>
      <c r="G31" s="146">
        <f>SUMPRODUCT(G21,'Assumptions-Retail'!$I$9)*(1+'Assumptions-Overall'!$C$35)^('CashFlow-Retail'!G$7-1)</f>
        <v>0</v>
      </c>
      <c r="H31" s="146">
        <f>SUMPRODUCT(H21,'Assumptions-Retail'!$I$9)*(1+'Assumptions-Overall'!$C$35)^('CashFlow-Retail'!H$7-1)</f>
        <v>1600608.5888771999</v>
      </c>
      <c r="I31" s="146">
        <f>SUMPRODUCT(I21,'Assumptions-Retail'!$I$9)*(1+'Assumptions-Overall'!$C$35)^('CashFlow-Retail'!I$7-1)</f>
        <v>1648626.8465435158</v>
      </c>
      <c r="J31" s="146">
        <f>SUMPRODUCT(J21,'Assumptions-Retail'!$I$9)*(1+'Assumptions-Overall'!$C$35)^('CashFlow-Retail'!J$7-1)</f>
        <v>1698085.6519398214</v>
      </c>
      <c r="K31" s="146">
        <f>SUMPRODUCT(K21,'Assumptions-Retail'!$I$9)*(1+'Assumptions-Overall'!$C$35)^('CashFlow-Retail'!K$7-1)</f>
        <v>1749028.221498016</v>
      </c>
      <c r="L31" s="146">
        <f>SUMPRODUCT(L21,'Assumptions-Retail'!$I$9)*(1+'Assumptions-Overall'!$C$35)^('CashFlow-Retail'!L$7-1)</f>
        <v>1801499.0681429564</v>
      </c>
      <c r="M31" s="146">
        <f>SUMPRODUCT(M21,'Assumptions-Retail'!$I$9)*(1+'Assumptions-Overall'!$C$35)^('CashFlow-Retail'!M$7-1)</f>
        <v>1855544.0401872452</v>
      </c>
      <c r="N31" s="151">
        <f>SUMPRODUCT(N21,'Assumptions-Retail'!$I$9)*(1+'Assumptions-Overall'!$C$35)^('CashFlow-Retail'!N$7-1)</f>
        <v>1911210.3613928624</v>
      </c>
    </row>
    <row r="32" spans="2:14" x14ac:dyDescent="0.65">
      <c r="B32" s="150" t="str">
        <f>'Assumptions-Retail'!$B$12</f>
        <v xml:space="preserve">Specialty </v>
      </c>
      <c r="C32" s="8"/>
      <c r="D32" s="144">
        <f>SUMPRODUCT(D24,'Assumptions-Retail'!$I$9)*(1+'Assumptions-Overall'!$C$35)^('CashFlow-Retail'!D$7-1)</f>
        <v>0</v>
      </c>
      <c r="E32" s="144">
        <f>SUMPRODUCT(E24,'Assumptions-Retail'!$I$9)*(1+'Assumptions-Overall'!$C$35)^('CashFlow-Retail'!E$7-1)</f>
        <v>0</v>
      </c>
      <c r="F32" s="144">
        <f>SUMPRODUCT(F24,'Assumptions-Retail'!$I$9)*(1+'Assumptions-Overall'!$C$35)^('CashFlow-Retail'!F$7-1)</f>
        <v>0</v>
      </c>
      <c r="G32" s="144">
        <f>SUMPRODUCT(G24,'Assumptions-Retail'!$I$9)*(1+'Assumptions-Overall'!$C$35)^('CashFlow-Retail'!G$7-1)</f>
        <v>0</v>
      </c>
      <c r="H32" s="144">
        <f>SUMPRODUCT(H24,'Assumptions-Retail'!$I$9)*(1+'Assumptions-Overall'!$C$35)^('CashFlow-Retail'!H$7-1)</f>
        <v>1012957.9289999999</v>
      </c>
      <c r="I32" s="144">
        <f>SUMPRODUCT(I24,'Assumptions-Retail'!$I$9)*(1+'Assumptions-Overall'!$C$35)^('CashFlow-Retail'!I$7-1)</f>
        <v>1043346.6668699998</v>
      </c>
      <c r="J32" s="144">
        <f>SUMPRODUCT(J24,'Assumptions-Retail'!$I$9)*(1+'Assumptions-Overall'!$C$35)^('CashFlow-Retail'!J$7-1)</f>
        <v>1074647.0668760999</v>
      </c>
      <c r="K32" s="144">
        <f>SUMPRODUCT(K24,'Assumptions-Retail'!$I$9)*(1+'Assumptions-Overall'!$C$35)^('CashFlow-Retail'!K$7-1)</f>
        <v>1106886.4788823831</v>
      </c>
      <c r="L32" s="144">
        <f>SUMPRODUCT(L24,'Assumptions-Retail'!$I$9)*(1+'Assumptions-Overall'!$C$35)^('CashFlow-Retail'!L$7-1)</f>
        <v>1140093.0732488544</v>
      </c>
      <c r="M32" s="144">
        <f>SUMPRODUCT(M24,'Assumptions-Retail'!$I$9)*(1+'Assumptions-Overall'!$C$35)^('CashFlow-Retail'!M$7-1)</f>
        <v>1174295.86544632</v>
      </c>
      <c r="N32" s="152">
        <f>SUMPRODUCT(N24,'Assumptions-Retail'!$I$9)*(1+'Assumptions-Overall'!$C$35)^('CashFlow-Retail'!N$7-1)</f>
        <v>1209524.7414097097</v>
      </c>
    </row>
    <row r="33" spans="2:14" x14ac:dyDescent="0.65">
      <c r="B33" s="3" t="s">
        <v>230</v>
      </c>
      <c r="C33" s="8"/>
      <c r="D33" s="146">
        <f>SUM(D$29:D$32)</f>
        <v>0</v>
      </c>
      <c r="E33" s="146">
        <f t="shared" ref="E33:N33" si="7">SUM(E$29:E$32)</f>
        <v>0</v>
      </c>
      <c r="F33" s="146">
        <f t="shared" si="7"/>
        <v>0</v>
      </c>
      <c r="G33" s="146">
        <f t="shared" si="7"/>
        <v>0</v>
      </c>
      <c r="H33" s="146">
        <f t="shared" si="7"/>
        <v>4234299.2042771997</v>
      </c>
      <c r="I33" s="146">
        <f t="shared" si="7"/>
        <v>4361328.1804055152</v>
      </c>
      <c r="J33" s="146">
        <f t="shared" si="7"/>
        <v>4492168.0258176811</v>
      </c>
      <c r="K33" s="146">
        <f t="shared" si="7"/>
        <v>4626933.0665922118</v>
      </c>
      <c r="L33" s="146">
        <f t="shared" si="7"/>
        <v>4765741.0585899781</v>
      </c>
      <c r="M33" s="146">
        <f t="shared" si="7"/>
        <v>4908713.2903476767</v>
      </c>
      <c r="N33" s="151">
        <f t="shared" si="7"/>
        <v>5055974.6890581073</v>
      </c>
    </row>
    <row r="34" spans="2:14" x14ac:dyDescent="0.65">
      <c r="B34" s="3"/>
      <c r="C34" s="8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51"/>
    </row>
    <row r="35" spans="2:14" x14ac:dyDescent="0.65">
      <c r="B35" s="391" t="s">
        <v>231</v>
      </c>
      <c r="C35" s="366"/>
      <c r="D35" s="366"/>
      <c r="E35" s="366"/>
      <c r="F35" s="366"/>
      <c r="G35" s="366"/>
      <c r="H35" s="366"/>
      <c r="I35" s="366"/>
      <c r="J35" s="366"/>
      <c r="K35" s="366"/>
      <c r="L35" s="366"/>
      <c r="M35" s="366"/>
      <c r="N35" s="393"/>
    </row>
    <row r="36" spans="2:14" x14ac:dyDescent="0.65">
      <c r="B36" s="448" t="str">
        <f>'Assumptions-Retail'!$B$9</f>
        <v>Food Hall</v>
      </c>
      <c r="C36" s="993"/>
      <c r="D36" s="446">
        <f>IFERROR(-SUM(D15)/D$11*D$51,0)</f>
        <v>0</v>
      </c>
      <c r="E36" s="446">
        <f t="shared" ref="E36:N36" si="8">IFERROR(-SUM(E15)/E$11*E$51,0)</f>
        <v>0</v>
      </c>
      <c r="F36" s="446">
        <f t="shared" si="8"/>
        <v>0</v>
      </c>
      <c r="G36" s="446">
        <f t="shared" si="8"/>
        <v>0</v>
      </c>
      <c r="H36" s="446">
        <f t="shared" si="8"/>
        <v>1080488.4576000001</v>
      </c>
      <c r="I36" s="446">
        <f t="shared" si="8"/>
        <v>1112903.1113279997</v>
      </c>
      <c r="J36" s="446">
        <f t="shared" si="8"/>
        <v>1146290.2046678399</v>
      </c>
      <c r="K36" s="446">
        <f t="shared" si="8"/>
        <v>1180678.9108078752</v>
      </c>
      <c r="L36" s="446">
        <f t="shared" si="8"/>
        <v>1216099.2781321113</v>
      </c>
      <c r="M36" s="446">
        <f t="shared" si="8"/>
        <v>1252582.2564760747</v>
      </c>
      <c r="N36" s="450">
        <f t="shared" si="8"/>
        <v>1290159.724170357</v>
      </c>
    </row>
    <row r="37" spans="2:14" x14ac:dyDescent="0.65">
      <c r="B37" s="448" t="str">
        <f>'Assumptions-Retail'!$B$10</f>
        <v>Big Box Retail Space</v>
      </c>
      <c r="C37" s="993"/>
      <c r="D37" s="446">
        <f>IFERROR(-SUM(D18)/D$11*D$51,0)</f>
        <v>0</v>
      </c>
      <c r="E37" s="446">
        <f t="shared" ref="E37:N37" si="9">IFERROR(-SUM(E18)/E$11*E$51,0)</f>
        <v>0</v>
      </c>
      <c r="F37" s="446">
        <f t="shared" si="9"/>
        <v>0</v>
      </c>
      <c r="G37" s="446">
        <f t="shared" si="9"/>
        <v>0</v>
      </c>
      <c r="H37" s="446">
        <f t="shared" si="9"/>
        <v>0</v>
      </c>
      <c r="I37" s="446">
        <f t="shared" si="9"/>
        <v>0</v>
      </c>
      <c r="J37" s="446">
        <f t="shared" si="9"/>
        <v>0</v>
      </c>
      <c r="K37" s="446">
        <f t="shared" si="9"/>
        <v>0</v>
      </c>
      <c r="L37" s="446">
        <f t="shared" si="9"/>
        <v>0</v>
      </c>
      <c r="M37" s="446">
        <f t="shared" si="9"/>
        <v>0</v>
      </c>
      <c r="N37" s="450">
        <f t="shared" si="9"/>
        <v>0</v>
      </c>
    </row>
    <row r="38" spans="2:14" s="365" customFormat="1" x14ac:dyDescent="0.65">
      <c r="B38" s="448" t="str">
        <f>'Assumptions-Retail'!$B$11</f>
        <v>Neighborhood</v>
      </c>
      <c r="C38" s="993"/>
      <c r="D38" s="446">
        <f>IFERROR(-SUM(D21)/D$11*D$51,0)</f>
        <v>0</v>
      </c>
      <c r="E38" s="446">
        <f t="shared" ref="E38:N38" si="10">IFERROR(-SUM(E21)/E$11*E$51,0)</f>
        <v>0</v>
      </c>
      <c r="F38" s="446">
        <f t="shared" si="10"/>
        <v>0</v>
      </c>
      <c r="G38" s="446">
        <f t="shared" si="10"/>
        <v>0</v>
      </c>
      <c r="H38" s="446">
        <f t="shared" si="10"/>
        <v>1067072.3925848</v>
      </c>
      <c r="I38" s="446">
        <f t="shared" si="10"/>
        <v>1099084.5643623439</v>
      </c>
      <c r="J38" s="446">
        <f t="shared" si="10"/>
        <v>1132057.1012932141</v>
      </c>
      <c r="K38" s="446">
        <f t="shared" si="10"/>
        <v>1166018.8143320107</v>
      </c>
      <c r="L38" s="446">
        <f t="shared" si="10"/>
        <v>1200999.3787619709</v>
      </c>
      <c r="M38" s="446">
        <f t="shared" si="10"/>
        <v>1237029.3601248302</v>
      </c>
      <c r="N38" s="450">
        <f t="shared" si="10"/>
        <v>1274140.2409285749</v>
      </c>
    </row>
    <row r="39" spans="2:14" x14ac:dyDescent="0.65">
      <c r="B39" s="448" t="str">
        <f>'Assumptions-Retail'!$B$12</f>
        <v xml:space="preserve">Specialty </v>
      </c>
      <c r="C39" s="993"/>
      <c r="D39" s="446">
        <f>IFERROR(-SUM(D24)/D$11*D$51,0)</f>
        <v>0</v>
      </c>
      <c r="E39" s="446">
        <f t="shared" ref="E39:N39" si="11">IFERROR(-SUM(E24)/E$11*E$51,0)</f>
        <v>0</v>
      </c>
      <c r="F39" s="446">
        <f t="shared" si="11"/>
        <v>0</v>
      </c>
      <c r="G39" s="446">
        <f t="shared" si="11"/>
        <v>0</v>
      </c>
      <c r="H39" s="446">
        <f t="shared" si="11"/>
        <v>675305.28599999996</v>
      </c>
      <c r="I39" s="446">
        <f t="shared" si="11"/>
        <v>695564.44457999989</v>
      </c>
      <c r="J39" s="446">
        <f t="shared" si="11"/>
        <v>716431.37791739986</v>
      </c>
      <c r="K39" s="446">
        <f t="shared" si="11"/>
        <v>737924.31925492198</v>
      </c>
      <c r="L39" s="446">
        <f t="shared" si="11"/>
        <v>760062.04883256962</v>
      </c>
      <c r="M39" s="446">
        <f t="shared" si="11"/>
        <v>782863.91029754677</v>
      </c>
      <c r="N39" s="450">
        <f t="shared" si="11"/>
        <v>806349.82760647312</v>
      </c>
    </row>
    <row r="40" spans="2:14" x14ac:dyDescent="0.65">
      <c r="B40" s="391" t="s">
        <v>232</v>
      </c>
      <c r="C40" s="366"/>
      <c r="D40" s="446">
        <f>SUM(D36:D39)</f>
        <v>0</v>
      </c>
      <c r="E40" s="446">
        <f t="shared" ref="E40:N40" si="12">SUM(E36:E39)</f>
        <v>0</v>
      </c>
      <c r="F40" s="446">
        <f t="shared" si="12"/>
        <v>0</v>
      </c>
      <c r="G40" s="446">
        <f t="shared" si="12"/>
        <v>0</v>
      </c>
      <c r="H40" s="446">
        <f t="shared" si="12"/>
        <v>2822866.1361848</v>
      </c>
      <c r="I40" s="446">
        <f t="shared" si="12"/>
        <v>2907552.1202703435</v>
      </c>
      <c r="J40" s="446">
        <f t="shared" si="12"/>
        <v>2994778.6838784534</v>
      </c>
      <c r="K40" s="446">
        <f t="shared" si="12"/>
        <v>3084622.0443948079</v>
      </c>
      <c r="L40" s="446">
        <f t="shared" si="12"/>
        <v>3177160.7057266519</v>
      </c>
      <c r="M40" s="446">
        <f t="shared" si="12"/>
        <v>3272475.5268984511</v>
      </c>
      <c r="N40" s="450">
        <f t="shared" si="12"/>
        <v>3370649.792705405</v>
      </c>
    </row>
    <row r="41" spans="2:14" x14ac:dyDescent="0.65">
      <c r="B41" s="3"/>
      <c r="C41" s="8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51"/>
    </row>
    <row r="42" spans="2:14" x14ac:dyDescent="0.65">
      <c r="B42" s="3" t="s">
        <v>201</v>
      </c>
      <c r="C42" s="8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51"/>
    </row>
    <row r="43" spans="2:14" x14ac:dyDescent="0.65">
      <c r="B43" s="150" t="str">
        <f>'Assumptions-Retail'!$B$9</f>
        <v>Food Hall</v>
      </c>
      <c r="C43" s="8"/>
      <c r="D43" s="146">
        <f>-(D29+D36)*'Assumptions-Retail'!$N8</f>
        <v>0</v>
      </c>
      <c r="E43" s="146">
        <f>-(E29+E36)*'Assumptions-Retail'!$N8</f>
        <v>0</v>
      </c>
      <c r="F43" s="146">
        <f>-(F29+F36)*'Assumptions-Retail'!$N8</f>
        <v>0</v>
      </c>
      <c r="G43" s="146">
        <f>-(G29+G36)*'Assumptions-Retail'!$N8</f>
        <v>0</v>
      </c>
      <c r="H43" s="146">
        <f>-(H29+H36)*'Assumptions-Retail'!$N8</f>
        <v>-270122.11440000002</v>
      </c>
      <c r="I43" s="146">
        <f>-(I29+I36)*'Assumptions-Retail'!$N8</f>
        <v>-278225.77783199999</v>
      </c>
      <c r="J43" s="146">
        <f>-(J29+J36)*'Assumptions-Retail'!$N8</f>
        <v>-286572.55116695998</v>
      </c>
      <c r="K43" s="146">
        <f>-(K29+K36)*'Assumptions-Retail'!$N8</f>
        <v>-295169.7277019688</v>
      </c>
      <c r="L43" s="146">
        <f>-(L29+L36)*'Assumptions-Retail'!$N8</f>
        <v>-304024.81953302782</v>
      </c>
      <c r="M43" s="146">
        <f>-(M29+M36)*'Assumptions-Retail'!$N8</f>
        <v>-313145.56411901867</v>
      </c>
      <c r="N43" s="151">
        <f>-(N29+N36)*'Assumptions-Retail'!$N8</f>
        <v>-322539.93104258925</v>
      </c>
    </row>
    <row r="44" spans="2:14" x14ac:dyDescent="0.65">
      <c r="B44" s="150" t="str">
        <f>'Assumptions-Retail'!$B$10</f>
        <v>Big Box Retail Space</v>
      </c>
      <c r="C44" s="8"/>
      <c r="D44" s="146">
        <f>-(D30+D37)*'Assumptions-Retail'!$N9</f>
        <v>0</v>
      </c>
      <c r="E44" s="146">
        <f>-(E30+E37)*'Assumptions-Retail'!$N9</f>
        <v>0</v>
      </c>
      <c r="F44" s="146">
        <f>-(F30+F37)*'Assumptions-Retail'!$N9</f>
        <v>0</v>
      </c>
      <c r="G44" s="146">
        <f>-(G30+G37)*'Assumptions-Retail'!$N9</f>
        <v>0</v>
      </c>
      <c r="H44" s="146">
        <f>-(H30+H37)*'Assumptions-Retail'!$N9</f>
        <v>0</v>
      </c>
      <c r="I44" s="146">
        <f>-(I30+I37)*'Assumptions-Retail'!$N9</f>
        <v>0</v>
      </c>
      <c r="J44" s="146">
        <f>-(J30+J37)*'Assumptions-Retail'!$N9</f>
        <v>0</v>
      </c>
      <c r="K44" s="146">
        <f>-(K30+K37)*'Assumptions-Retail'!$N9</f>
        <v>0</v>
      </c>
      <c r="L44" s="146">
        <f>-(L30+L37)*'Assumptions-Retail'!$N9</f>
        <v>0</v>
      </c>
      <c r="M44" s="146">
        <f>-(M30+M37)*'Assumptions-Retail'!$N9</f>
        <v>0</v>
      </c>
      <c r="N44" s="151">
        <f>-(N30+N37)*'Assumptions-Retail'!$N9</f>
        <v>0</v>
      </c>
    </row>
    <row r="45" spans="2:14" x14ac:dyDescent="0.65">
      <c r="B45" s="150" t="str">
        <f>'Assumptions-Retail'!$B$11</f>
        <v>Neighborhood</v>
      </c>
      <c r="C45" s="8"/>
      <c r="D45" s="146">
        <f>-(D31+D38)*'Assumptions-Retail'!$N10</f>
        <v>0</v>
      </c>
      <c r="E45" s="146">
        <f>-(E31+E38)*'Assumptions-Retail'!$N10</f>
        <v>0</v>
      </c>
      <c r="F45" s="146">
        <f>-(F31+F38)*'Assumptions-Retail'!$N10</f>
        <v>0</v>
      </c>
      <c r="G45" s="146">
        <f>-(G31+G38)*'Assumptions-Retail'!$N10</f>
        <v>0</v>
      </c>
      <c r="H45" s="146">
        <f>-(H31+H38)*'Assumptions-Retail'!$N10</f>
        <v>-400152.14721929998</v>
      </c>
      <c r="I45" s="146">
        <f>-(I31+I38)*'Assumptions-Retail'!$N10</f>
        <v>-412156.71163587889</v>
      </c>
      <c r="J45" s="146">
        <f>-(J31+J38)*'Assumptions-Retail'!$N10</f>
        <v>-424521.4129849553</v>
      </c>
      <c r="K45" s="146">
        <f>-(K31+K38)*'Assumptions-Retail'!$N10</f>
        <v>-437257.05537450395</v>
      </c>
      <c r="L45" s="146">
        <f>-(L31+L38)*'Assumptions-Retail'!$N10</f>
        <v>-450374.76703573909</v>
      </c>
      <c r="M45" s="146">
        <f>-(M31+M38)*'Assumptions-Retail'!$N10</f>
        <v>-463886.01004681131</v>
      </c>
      <c r="N45" s="151">
        <f>-(N31+N38)*'Assumptions-Retail'!$N10</f>
        <v>-477802.5903482156</v>
      </c>
    </row>
    <row r="46" spans="2:14" x14ac:dyDescent="0.65">
      <c r="B46" s="150" t="str">
        <f>'Assumptions-Retail'!$B$12</f>
        <v xml:space="preserve">Specialty </v>
      </c>
      <c r="C46" s="8"/>
      <c r="D46" s="146">
        <f>-(D32+D39)*'Assumptions-Retail'!$N11</f>
        <v>0</v>
      </c>
      <c r="E46" s="146">
        <f>-(E32+E39)*'Assumptions-Retail'!$N11</f>
        <v>0</v>
      </c>
      <c r="F46" s="146">
        <f>-(F32+F39)*'Assumptions-Retail'!$N11</f>
        <v>0</v>
      </c>
      <c r="G46" s="146">
        <f>-(G32+G39)*'Assumptions-Retail'!$N11</f>
        <v>0</v>
      </c>
      <c r="H46" s="146">
        <f>-(H32+H39)*'Assumptions-Retail'!$N11</f>
        <v>-253239.48224999997</v>
      </c>
      <c r="I46" s="146">
        <f>-(I32+I39)*'Assumptions-Retail'!$N11</f>
        <v>-260836.66671749996</v>
      </c>
      <c r="J46" s="146">
        <f>-(J32+J39)*'Assumptions-Retail'!$N11</f>
        <v>-268661.76671902498</v>
      </c>
      <c r="K46" s="146">
        <f>-(K32+K39)*'Assumptions-Retail'!$N11</f>
        <v>-276721.61972059577</v>
      </c>
      <c r="L46" s="146">
        <f>-(L32+L39)*'Assumptions-Retail'!$N11</f>
        <v>-285023.26831221359</v>
      </c>
      <c r="M46" s="146">
        <f>-(M32+M39)*'Assumptions-Retail'!$N11</f>
        <v>-293573.96636158001</v>
      </c>
      <c r="N46" s="151">
        <f>-(N32+N39)*'Assumptions-Retail'!$N11</f>
        <v>-302381.18535242742</v>
      </c>
    </row>
    <row r="47" spans="2:14" x14ac:dyDescent="0.65">
      <c r="B47" s="3" t="s">
        <v>204</v>
      </c>
      <c r="C47" s="8"/>
      <c r="D47" s="146">
        <f t="shared" ref="D47:N47" si="13">SUM(D43:D46)</f>
        <v>0</v>
      </c>
      <c r="E47" s="146">
        <f t="shared" si="13"/>
        <v>0</v>
      </c>
      <c r="F47" s="146">
        <f t="shared" si="13"/>
        <v>0</v>
      </c>
      <c r="G47" s="146">
        <f t="shared" si="13"/>
        <v>0</v>
      </c>
      <c r="H47" s="146">
        <f t="shared" si="13"/>
        <v>-923513.7438693</v>
      </c>
      <c r="I47" s="146">
        <f t="shared" si="13"/>
        <v>-951219.15618537879</v>
      </c>
      <c r="J47" s="146">
        <f t="shared" si="13"/>
        <v>-979755.73087094026</v>
      </c>
      <c r="K47" s="146">
        <f t="shared" si="13"/>
        <v>-1009148.4027970686</v>
      </c>
      <c r="L47" s="146">
        <f t="shared" si="13"/>
        <v>-1039422.8548809806</v>
      </c>
      <c r="M47" s="146">
        <f t="shared" si="13"/>
        <v>-1070605.5405274099</v>
      </c>
      <c r="N47" s="151">
        <f t="shared" si="13"/>
        <v>-1102723.7067432322</v>
      </c>
    </row>
    <row r="48" spans="2:14" x14ac:dyDescent="0.65">
      <c r="B48" s="3"/>
      <c r="C48" s="8"/>
      <c r="D48" s="146"/>
      <c r="E48" s="146"/>
      <c r="F48" s="146"/>
      <c r="G48" s="146"/>
      <c r="H48" s="128"/>
      <c r="I48" s="146"/>
      <c r="J48" s="146"/>
      <c r="K48" s="146"/>
      <c r="L48" s="146"/>
      <c r="M48" s="146"/>
      <c r="N48" s="151"/>
    </row>
    <row r="49" spans="2:16" x14ac:dyDescent="0.65">
      <c r="B49" s="3" t="s">
        <v>205</v>
      </c>
      <c r="C49" s="8"/>
      <c r="D49" s="145">
        <f>D33+D40+D47</f>
        <v>0</v>
      </c>
      <c r="E49" s="145">
        <f t="shared" ref="E49:N49" si="14">E33+E40+E47</f>
        <v>0</v>
      </c>
      <c r="F49" s="145">
        <f t="shared" si="14"/>
        <v>0</v>
      </c>
      <c r="G49" s="145">
        <f t="shared" si="14"/>
        <v>0</v>
      </c>
      <c r="H49" s="145">
        <f t="shared" si="14"/>
        <v>6133651.5965926992</v>
      </c>
      <c r="I49" s="145">
        <f t="shared" si="14"/>
        <v>6317661.1444904804</v>
      </c>
      <c r="J49" s="145">
        <f t="shared" si="14"/>
        <v>6507190.9788251948</v>
      </c>
      <c r="K49" s="145">
        <f t="shared" si="14"/>
        <v>6702406.7081899513</v>
      </c>
      <c r="L49" s="145">
        <f t="shared" si="14"/>
        <v>6903478.9094356494</v>
      </c>
      <c r="M49" s="145">
        <f t="shared" si="14"/>
        <v>7110583.276718718</v>
      </c>
      <c r="N49" s="153">
        <f t="shared" si="14"/>
        <v>7323900.7750202799</v>
      </c>
    </row>
    <row r="50" spans="2:16" x14ac:dyDescent="0.65">
      <c r="B50" s="3"/>
      <c r="C50" s="8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51"/>
    </row>
    <row r="51" spans="2:16" x14ac:dyDescent="0.65">
      <c r="B51" s="3" t="s">
        <v>207</v>
      </c>
      <c r="C51" s="8"/>
      <c r="D51" s="146">
        <f>-D11*'Assumptions-Retail'!$N$13*(1+'Assumptions-Overall'!$C$39)^('CashFlow-Retail'!D$7-1)</f>
        <v>0</v>
      </c>
      <c r="E51" s="146">
        <f>-E11*'Assumptions-Retail'!$N$13*(1+'Assumptions-Overall'!$C$39)^('CashFlow-Retail'!E$7-1)</f>
        <v>0</v>
      </c>
      <c r="F51" s="146">
        <f>-F11*'Assumptions-Retail'!$N$13*(1+'Assumptions-Overall'!$C$39)^('CashFlow-Retail'!F$7-1)</f>
        <v>0</v>
      </c>
      <c r="G51" s="146">
        <f>-G11*'Assumptions-Retail'!$N$13*(1+'Assumptions-Overall'!$C$39)^('CashFlow-Retail'!G$7-1)</f>
        <v>0</v>
      </c>
      <c r="H51" s="146">
        <f>-H11*'Assumptions-Retail'!$N$13*(1+'Assumptions-Overall'!$C$39)^('CashFlow-Retail'!H$7-1)</f>
        <v>-2822866.1361848</v>
      </c>
      <c r="I51" s="146">
        <f>-I11*'Assumptions-Retail'!$N$13*(1+'Assumptions-Overall'!$C$39)^('CashFlow-Retail'!I$7-1)</f>
        <v>-2907552.1202703435</v>
      </c>
      <c r="J51" s="146">
        <f>-J11*'Assumptions-Retail'!$N$13*(1+'Assumptions-Overall'!$C$39)^('CashFlow-Retail'!J$7-1)</f>
        <v>-2994778.6838784539</v>
      </c>
      <c r="K51" s="146">
        <f>-K11*'Assumptions-Retail'!$N$13*(1+'Assumptions-Overall'!$C$39)^('CashFlow-Retail'!K$7-1)</f>
        <v>-3084622.0443948079</v>
      </c>
      <c r="L51" s="146">
        <f>-L11*'Assumptions-Retail'!$N$13*(1+'Assumptions-Overall'!$C$39)^('CashFlow-Retail'!L$7-1)</f>
        <v>-3177160.7057266519</v>
      </c>
      <c r="M51" s="146">
        <f>-M11*'Assumptions-Retail'!$N$13*(1+'Assumptions-Overall'!$C$39)^('CashFlow-Retail'!M$7-1)</f>
        <v>-3272475.5268984516</v>
      </c>
      <c r="N51" s="151">
        <f>-N11*'Assumptions-Retail'!$N$13*(1+'Assumptions-Overall'!$C$39)^('CashFlow-Retail'!N$7-1)</f>
        <v>-3370649.792705405</v>
      </c>
      <c r="P51" s="171"/>
    </row>
    <row r="52" spans="2:16" x14ac:dyDescent="0.65">
      <c r="B52" s="3"/>
      <c r="C52" s="8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51"/>
    </row>
    <row r="53" spans="2:16" x14ac:dyDescent="0.65">
      <c r="B53" s="3" t="s">
        <v>209</v>
      </c>
      <c r="C53" s="8"/>
      <c r="D53" s="145">
        <f>SUM(D$49:D$51)</f>
        <v>0</v>
      </c>
      <c r="E53" s="145">
        <f>SUM(E$49:E$51)</f>
        <v>0</v>
      </c>
      <c r="F53" s="145">
        <f t="shared" ref="F53:N53" si="15">SUM(F$49:F$51)</f>
        <v>0</v>
      </c>
      <c r="G53" s="145">
        <f t="shared" si="15"/>
        <v>0</v>
      </c>
      <c r="H53" s="145">
        <f t="shared" si="15"/>
        <v>3310785.4604078992</v>
      </c>
      <c r="I53" s="145">
        <f t="shared" si="15"/>
        <v>3410109.0242201369</v>
      </c>
      <c r="J53" s="145">
        <f t="shared" si="15"/>
        <v>3512412.2949467408</v>
      </c>
      <c r="K53" s="145">
        <f t="shared" si="15"/>
        <v>3617784.6637951434</v>
      </c>
      <c r="L53" s="145">
        <f t="shared" si="15"/>
        <v>3726318.2037089975</v>
      </c>
      <c r="M53" s="145">
        <f t="shared" si="15"/>
        <v>3838107.7498202664</v>
      </c>
      <c r="N53" s="153">
        <f t="shared" si="15"/>
        <v>3953250.9823148749</v>
      </c>
    </row>
    <row r="54" spans="2:16" x14ac:dyDescent="0.65">
      <c r="B54" s="3"/>
      <c r="C54" s="8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59"/>
    </row>
    <row r="55" spans="2:16" x14ac:dyDescent="0.65">
      <c r="B55" s="3" t="s">
        <v>189</v>
      </c>
      <c r="C55" s="8"/>
      <c r="D55" s="146">
        <f>-D11*'Assumptions-Retail'!$N$15*(1+'Assumptions-Overall'!$C$40)^('CashFlow-Retail'!D$7-1)</f>
        <v>0</v>
      </c>
      <c r="E55" s="146">
        <f>-E11*'Assumptions-Retail'!$N$15*(1+'Assumptions-Overall'!$C$40)^('CashFlow-Retail'!E$7-1)</f>
        <v>0</v>
      </c>
      <c r="F55" s="146">
        <f>-F11*'Assumptions-Retail'!$N$15*(1+'Assumptions-Overall'!$C$40)^('CashFlow-Retail'!F$7-1)</f>
        <v>0</v>
      </c>
      <c r="G55" s="146">
        <f>-G11*'Assumptions-Retail'!$N$15*(1+'Assumptions-Overall'!$C$40)^('CashFlow-Retail'!G$7-1)</f>
        <v>0</v>
      </c>
      <c r="H55" s="146">
        <f>-H11*'Assumptions-Retail'!$N$15*(1+'Assumptions-Overall'!$C$40)^('CashFlow-Retail'!H$7-1)</f>
        <v>-28228.661361848001</v>
      </c>
      <c r="I55" s="146">
        <f>-I11*'Assumptions-Retail'!$N$15*(1+'Assumptions-Overall'!$C$40)^('CashFlow-Retail'!I$7-1)</f>
        <v>-29075.521202703439</v>
      </c>
      <c r="J55" s="146">
        <f>-J11*'Assumptions-Retail'!$N$15*(1+'Assumptions-Overall'!$C$40)^('CashFlow-Retail'!J$7-1)</f>
        <v>-29947.786838784545</v>
      </c>
      <c r="K55" s="146">
        <f>-K11*'Assumptions-Retail'!$N$15*(1+'Assumptions-Overall'!$C$40)^('CashFlow-Retail'!K$7-1)</f>
        <v>-30846.220443948081</v>
      </c>
      <c r="L55" s="146">
        <f>-L11*'Assumptions-Retail'!$N$15*(1+'Assumptions-Overall'!$C$40)^('CashFlow-Retail'!L$7-1)</f>
        <v>-31771.607057266523</v>
      </c>
      <c r="M55" s="146">
        <f>-M11*'Assumptions-Retail'!$N$15*(1+'Assumptions-Overall'!$C$40)^('CashFlow-Retail'!M$7-1)</f>
        <v>-32724.755268984518</v>
      </c>
      <c r="N55" s="151">
        <f>-N11*'Assumptions-Retail'!$N$15*(1+'Assumptions-Overall'!$C$40)^('CashFlow-Retail'!N$7-1)</f>
        <v>-33706.497927054057</v>
      </c>
    </row>
    <row r="56" spans="2:16" x14ac:dyDescent="0.65">
      <c r="B56" s="3"/>
      <c r="C56" s="8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51"/>
    </row>
    <row r="57" spans="2:16" x14ac:dyDescent="0.65">
      <c r="B57" s="3" t="s">
        <v>208</v>
      </c>
      <c r="C57" s="8"/>
      <c r="D57" s="145">
        <f>SUM(D$53:D$55)</f>
        <v>0</v>
      </c>
      <c r="E57" s="145">
        <f t="shared" ref="E57:N57" si="16">SUM(E$53:E$55)</f>
        <v>0</v>
      </c>
      <c r="F57" s="145">
        <f t="shared" si="16"/>
        <v>0</v>
      </c>
      <c r="G57" s="145">
        <f t="shared" si="16"/>
        <v>0</v>
      </c>
      <c r="H57" s="145">
        <f t="shared" si="16"/>
        <v>3282556.7990460512</v>
      </c>
      <c r="I57" s="145">
        <f t="shared" si="16"/>
        <v>3381033.5030174335</v>
      </c>
      <c r="J57" s="145">
        <f t="shared" si="16"/>
        <v>3482464.5081079565</v>
      </c>
      <c r="K57" s="145">
        <f t="shared" si="16"/>
        <v>3586938.4433511952</v>
      </c>
      <c r="L57" s="145">
        <f t="shared" si="16"/>
        <v>3694546.5966517311</v>
      </c>
      <c r="M57" s="145">
        <f t="shared" si="16"/>
        <v>3805382.9945512819</v>
      </c>
      <c r="N57" s="153">
        <f t="shared" si="16"/>
        <v>3919544.4843878211</v>
      </c>
    </row>
    <row r="58" spans="2:16" x14ac:dyDescent="0.65">
      <c r="B58" s="3"/>
      <c r="C58" s="8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51"/>
    </row>
    <row r="59" spans="2:16" x14ac:dyDescent="0.65">
      <c r="B59" s="36" t="s">
        <v>130</v>
      </c>
      <c r="C59" s="8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51"/>
    </row>
    <row r="60" spans="2:16" x14ac:dyDescent="0.65">
      <c r="B60" s="3" t="s">
        <v>473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  <row r="61" spans="2:16" x14ac:dyDescent="0.65">
      <c r="B61" s="150" t="str">
        <f>'Assumptions-Retail'!$B$9</f>
        <v>Food Hall</v>
      </c>
      <c r="C61" s="8"/>
      <c r="D61" s="146">
        <f>(-(AND(D$8&gt;=YEAR(PhaseIConBegin),D$8&lt;=YEAR(PhaseIConEnd)))*SUM($D16:$N16)*'Assumptions-Overall'!$J16*(1+'Assumptions-Overall'!$C$41)^('CashFlow-Retail'!D$7-1)/(YEAR(PhaseIConEnd)-YEAR(PhaseIConBegin)+1))/(YEAR(PhaseIConEnd)-YEAR(PhaseIConBegin)+1)</f>
        <v>0</v>
      </c>
      <c r="E61" s="146">
        <f>(-(AND(E$8&gt;=YEAR(PhaseIConBegin),E$8&lt;=YEAR(PhaseIConEnd)))*SUM($D16:$N16)*'Assumptions-Overall'!$J16*(1+'Assumptions-Overall'!$C$41)^('CashFlow-Retail'!E$7-1)/(YEAR(PhaseIConEnd)-YEAR(PhaseIConBegin)+1))/(YEAR(PhaseIConEnd)-YEAR(PhaseIConBegin)+1)</f>
        <v>0</v>
      </c>
      <c r="F61" s="146">
        <f>(-(AND(F$8&gt;=YEAR(PhaseIConBegin),F$8&lt;=YEAR(PhaseIConEnd)))*SUM($D16:$N16)*'Assumptions-Overall'!$J16*(1+'Assumptions-Overall'!$C$41)^('CashFlow-Retail'!F$7-1)/(YEAR(PhaseIConEnd)-YEAR(PhaseIConBegin)+1))/(YEAR(PhaseIConEnd)-YEAR(PhaseIConBegin)+1)</f>
        <v>-1909620</v>
      </c>
      <c r="G61" s="146">
        <f>(-(AND(G$8&gt;=YEAR(PhaseIConBegin),G$8&lt;=YEAR(PhaseIConEnd)))*SUM($D16:$N16)*'Assumptions-Overall'!$J16*(1+'Assumptions-Overall'!$C$41)^('CashFlow-Retail'!G$7-1)/(YEAR(PhaseIConEnd)-YEAR(PhaseIConBegin)+1))/(YEAR(PhaseIConEnd)-YEAR(PhaseIConBegin)+1)</f>
        <v>-1966908.6</v>
      </c>
      <c r="H61" s="146">
        <f>(-(AND(H$8&gt;=YEAR(PhaseIConBegin),H$8&lt;=YEAR(PhaseIConEnd)))*SUM($D16:$N16)*'Assumptions-Overall'!$J16*(1+'Assumptions-Overall'!$C$41)^('CashFlow-Retail'!H$7-1)/(YEAR(PhaseIConEnd)-YEAR(PhaseIConBegin)+1))/(YEAR(PhaseIConEnd)-YEAR(PhaseIConBegin)+1)</f>
        <v>0</v>
      </c>
      <c r="I61" s="146">
        <f>(-(AND(I$8&gt;=YEAR(PhaseIConBegin),I$8&lt;=YEAR(PhaseIConEnd)))*SUM($D16:$N16)*'Assumptions-Overall'!$J16*(1+'Assumptions-Overall'!$C$41)^('CashFlow-Retail'!I$7-1)/(YEAR(PhaseIConEnd)-YEAR(PhaseIConBegin)+1))/(YEAR(PhaseIConEnd)-YEAR(PhaseIConBegin)+1)</f>
        <v>0</v>
      </c>
      <c r="J61" s="146">
        <f>(-(AND(J$8&gt;=YEAR(PhaseIConBegin),J$8&lt;=YEAR(PhaseIConEnd)))*SUM($D16:$N16)*'Assumptions-Overall'!$J16*(1+'Assumptions-Overall'!$C$41)^('CashFlow-Retail'!J$7-1)/(YEAR(PhaseIConEnd)-YEAR(PhaseIConBegin)+1))/(YEAR(PhaseIConEnd)-YEAR(PhaseIConBegin)+1)</f>
        <v>0</v>
      </c>
      <c r="K61" s="146">
        <f>(-(AND(K$8&gt;=YEAR(PhaseIConBegin),K$8&lt;=YEAR(PhaseIConEnd)))*SUM($D16:$N16)*'Assumptions-Overall'!$J16*(1+'Assumptions-Overall'!$C$41)^('CashFlow-Retail'!K$7-1)/(YEAR(PhaseIConEnd)-YEAR(PhaseIConBegin)+1))/(YEAR(PhaseIConEnd)-YEAR(PhaseIConBegin)+1)</f>
        <v>0</v>
      </c>
      <c r="L61" s="146">
        <f>(-(AND(L$8&gt;=YEAR(PhaseIConBegin),L$8&lt;=YEAR(PhaseIConEnd)))*SUM($D16:$N16)*'Assumptions-Overall'!$J16*(1+'Assumptions-Overall'!$C$41)^('CashFlow-Retail'!L$7-1)/(YEAR(PhaseIConEnd)-YEAR(PhaseIConBegin)+1))/(YEAR(PhaseIConEnd)-YEAR(PhaseIConBegin)+1)</f>
        <v>0</v>
      </c>
      <c r="M61" s="146">
        <f>(-(AND(M$8&gt;=YEAR(PhaseIConBegin),M$8&lt;=YEAR(PhaseIConEnd)))*SUM($D16:$N16)*'Assumptions-Overall'!$J16*(1+'Assumptions-Overall'!$C$41)^('CashFlow-Retail'!M$7-1)/(YEAR(PhaseIConEnd)-YEAR(PhaseIConBegin)+1))/(YEAR(PhaseIConEnd)-YEAR(PhaseIConBegin)+1)</f>
        <v>0</v>
      </c>
      <c r="N61" s="151">
        <f>(-(AND(N$8&gt;=YEAR(PhaseIConBegin),N$8&lt;=YEAR(PhaseIConEnd)))*SUM($D16:$N16)*'Assumptions-Overall'!$J16*(1+'Assumptions-Overall'!$C$41)^('CashFlow-Retail'!N$7-1)/(YEAR(PhaseIConEnd)-YEAR(PhaseIConBegin)+1))/(YEAR(PhaseIConEnd)-YEAR(PhaseIConBegin)+1)</f>
        <v>0</v>
      </c>
    </row>
    <row r="62" spans="2:16" x14ac:dyDescent="0.65">
      <c r="B62" s="150" t="str">
        <f>'Assumptions-Retail'!$B$10</f>
        <v>Big Box Retail Space</v>
      </c>
      <c r="C62" s="8"/>
      <c r="D62" s="146">
        <f>(-(AND(D$8&gt;=YEAR(PhaseIConBegin),D$8&lt;=YEAR(PhaseIConEnd)))*SUM($D22:$N22)*'Assumptions-Overall'!$J17*(1+'Assumptions-Overall'!$C$41)^('CashFlow-Retail'!D$7-1)/(YEAR(PhaseIConEnd)-YEAR(PhaseIConBegin)+1))/(YEAR(PhaseIConEnd)-YEAR(PhaseIConBegin)+1)</f>
        <v>0</v>
      </c>
      <c r="E62" s="146">
        <f>(-(AND(E$8&gt;=YEAR(PhaseIConBegin),E$8&lt;=YEAR(PhaseIConEnd)))*SUM($D22:$N22)*'Assumptions-Overall'!$J17*(1+'Assumptions-Overall'!$C$41)^('CashFlow-Retail'!E$7-1)/(YEAR(PhaseIConEnd)-YEAR(PhaseIConBegin)+1))/(YEAR(PhaseIConEnd)-YEAR(PhaseIConBegin)+1)</f>
        <v>0</v>
      </c>
      <c r="F62" s="146">
        <f>(-(AND(F$8&gt;=YEAR(PhaseIConBegin),F$8&lt;=YEAR(PhaseIConEnd)))*SUM($D22:$N22)*'Assumptions-Overall'!$J17*(1+'Assumptions-Overall'!$C$41)^('CashFlow-Retail'!F$7-1)/(YEAR(PhaseIConEnd)-YEAR(PhaseIConBegin)+1))/(YEAR(PhaseIConEnd)-YEAR(PhaseIConBegin)+1)</f>
        <v>-1571590.7375</v>
      </c>
      <c r="G62" s="146">
        <f>(-(AND(G$8&gt;=YEAR(PhaseIConBegin),G$8&lt;=YEAR(PhaseIConEnd)))*SUM($D22:$N22)*'Assumptions-Overall'!$J17*(1+'Assumptions-Overall'!$C$41)^('CashFlow-Retail'!G$7-1)/(YEAR(PhaseIConEnd)-YEAR(PhaseIConBegin)+1))/(YEAR(PhaseIConEnd)-YEAR(PhaseIConBegin)+1)</f>
        <v>-1618738.4596249999</v>
      </c>
      <c r="H62" s="146">
        <f>(-(AND(H$8&gt;=YEAR(PhaseIConBegin),H$8&lt;=YEAR(PhaseIConEnd)))*SUM($D22:$N22)*'Assumptions-Overall'!$J17*(1+'Assumptions-Overall'!$C$41)^('CashFlow-Retail'!H$7-1)/(YEAR(PhaseIConEnd)-YEAR(PhaseIConBegin)+1))/(YEAR(PhaseIConEnd)-YEAR(PhaseIConBegin)+1)</f>
        <v>0</v>
      </c>
      <c r="I62" s="146">
        <f>(-(AND(I$8&gt;=YEAR(PhaseIConBegin),I$8&lt;=YEAR(PhaseIConEnd)))*SUM($D22:$N22)*'Assumptions-Overall'!$J17*(1+'Assumptions-Overall'!$C$41)^('CashFlow-Retail'!I$7-1)/(YEAR(PhaseIConEnd)-YEAR(PhaseIConBegin)+1))/(YEAR(PhaseIConEnd)-YEAR(PhaseIConBegin)+1)</f>
        <v>0</v>
      </c>
      <c r="J62" s="146">
        <f>(-(AND(J$8&gt;=YEAR(PhaseIConBegin),J$8&lt;=YEAR(PhaseIConEnd)))*SUM($D22:$N22)*'Assumptions-Overall'!$J17*(1+'Assumptions-Overall'!$C$41)^('CashFlow-Retail'!J$7-1)/(YEAR(PhaseIConEnd)-YEAR(PhaseIConBegin)+1))/(YEAR(PhaseIConEnd)-YEAR(PhaseIConBegin)+1)</f>
        <v>0</v>
      </c>
      <c r="K62" s="146">
        <f>(-(AND(K$8&gt;=YEAR(PhaseIConBegin),K$8&lt;=YEAR(PhaseIConEnd)))*SUM($D22:$N22)*'Assumptions-Overall'!$J17*(1+'Assumptions-Overall'!$C$41)^('CashFlow-Retail'!K$7-1)/(YEAR(PhaseIConEnd)-YEAR(PhaseIConBegin)+1))/(YEAR(PhaseIConEnd)-YEAR(PhaseIConBegin)+1)</f>
        <v>0</v>
      </c>
      <c r="L62" s="146">
        <f>(-(AND(L$8&gt;=YEAR(PhaseIConBegin),L$8&lt;=YEAR(PhaseIConEnd)))*SUM($D22:$N22)*'Assumptions-Overall'!$J17*(1+'Assumptions-Overall'!$C$41)^('CashFlow-Retail'!L$7-1)/(YEAR(PhaseIConEnd)-YEAR(PhaseIConBegin)+1))/(YEAR(PhaseIConEnd)-YEAR(PhaseIConBegin)+1)</f>
        <v>0</v>
      </c>
      <c r="M62" s="146">
        <f>(-(AND(M$8&gt;=YEAR(PhaseIConBegin),M$8&lt;=YEAR(PhaseIConEnd)))*SUM($D22:$N22)*'Assumptions-Overall'!$J17*(1+'Assumptions-Overall'!$C$41)^('CashFlow-Retail'!M$7-1)/(YEAR(PhaseIConEnd)-YEAR(PhaseIConBegin)+1))/(YEAR(PhaseIConEnd)-YEAR(PhaseIConBegin)+1)</f>
        <v>0</v>
      </c>
      <c r="N62" s="151">
        <f>(-(AND(N$8&gt;=YEAR(PhaseIConBegin),N$8&lt;=YEAR(PhaseIConEnd)))*SUM($D22:$N22)*'Assumptions-Overall'!$J17*(1+'Assumptions-Overall'!$C$41)^('CashFlow-Retail'!N$7-1)/(YEAR(PhaseIConEnd)-YEAR(PhaseIConBegin)+1))/(YEAR(PhaseIConEnd)-YEAR(PhaseIConBegin)+1)</f>
        <v>0</v>
      </c>
    </row>
    <row r="63" spans="2:16" x14ac:dyDescent="0.65">
      <c r="B63" s="150" t="str">
        <f>'Assumptions-Retail'!$B$11</f>
        <v>Neighborhood</v>
      </c>
      <c r="C63" s="8"/>
      <c r="D63" s="146">
        <f>(-(AND(D$8&gt;=YEAR(PhaseIConBegin),D$8&lt;=YEAR(PhaseIConEnd)))*SUM($D22:$N22)*'Assumptions-Overall'!$J18*(1+'Assumptions-Overall'!$C$41)^('CashFlow-Retail'!D$7-1)/(YEAR(PhaseIConEnd)-YEAR(PhaseIConBegin)+1))/(YEAR(PhaseIConEnd)-YEAR(PhaseIConBegin)+1)</f>
        <v>0</v>
      </c>
      <c r="E63" s="146">
        <f>(-(AND(E$8&gt;=YEAR(PhaseIConBegin),E$8&lt;=YEAR(PhaseIConEnd)))*SUM($D22:$N22)*'Assumptions-Overall'!$J18*(1+'Assumptions-Overall'!$C$41)^('CashFlow-Retail'!E$7-1)/(YEAR(PhaseIConEnd)-YEAR(PhaseIConBegin)+1))/(YEAR(PhaseIConEnd)-YEAR(PhaseIConBegin)+1)</f>
        <v>0</v>
      </c>
      <c r="F63" s="146">
        <f>(-(AND(F$8&gt;=YEAR(PhaseIConBegin),F$8&lt;=YEAR(PhaseIConEnd)))*SUM($D22:$N22)*'Assumptions-Overall'!$J18*(1+'Assumptions-Overall'!$C$41)^('CashFlow-Retail'!F$7-1)/(YEAR(PhaseIConEnd)-YEAR(PhaseIConBegin)+1))/(YEAR(PhaseIConEnd)-YEAR(PhaseIConBegin)+1)</f>
        <v>-1257272.5899999999</v>
      </c>
      <c r="G63" s="146">
        <f>(-(AND(G$8&gt;=YEAR(PhaseIConBegin),G$8&lt;=YEAR(PhaseIConEnd)))*SUM($D22:$N22)*'Assumptions-Overall'!$J18*(1+'Assumptions-Overall'!$C$41)^('CashFlow-Retail'!G$7-1)/(YEAR(PhaseIConEnd)-YEAR(PhaseIConBegin)+1))/(YEAR(PhaseIConEnd)-YEAR(PhaseIConBegin)+1)</f>
        <v>-1294990.7677</v>
      </c>
      <c r="H63" s="146">
        <f>(-(AND(H$8&gt;=YEAR(PhaseIConBegin),H$8&lt;=YEAR(PhaseIConEnd)))*SUM($D22:$N22)*'Assumptions-Overall'!$J18*(1+'Assumptions-Overall'!$C$41)^('CashFlow-Retail'!H$7-1)/(YEAR(PhaseIConEnd)-YEAR(PhaseIConBegin)+1))/(YEAR(PhaseIConEnd)-YEAR(PhaseIConBegin)+1)</f>
        <v>0</v>
      </c>
      <c r="I63" s="146">
        <f>(-(AND(I$8&gt;=YEAR(PhaseIConBegin),I$8&lt;=YEAR(PhaseIConEnd)))*SUM($D22:$N22)*'Assumptions-Overall'!$J18*(1+'Assumptions-Overall'!$C$41)^('CashFlow-Retail'!I$7-1)/(YEAR(PhaseIConEnd)-YEAR(PhaseIConBegin)+1))/(YEAR(PhaseIConEnd)-YEAR(PhaseIConBegin)+1)</f>
        <v>0</v>
      </c>
      <c r="J63" s="146">
        <f>(-(AND(J$8&gt;=YEAR(PhaseIConBegin),J$8&lt;=YEAR(PhaseIConEnd)))*SUM($D22:$N22)*'Assumptions-Overall'!$J18*(1+'Assumptions-Overall'!$C$41)^('CashFlow-Retail'!J$7-1)/(YEAR(PhaseIConEnd)-YEAR(PhaseIConBegin)+1))/(YEAR(PhaseIConEnd)-YEAR(PhaseIConBegin)+1)</f>
        <v>0</v>
      </c>
      <c r="K63" s="146">
        <f>(-(AND(K$8&gt;=YEAR(PhaseIConBegin),K$8&lt;=YEAR(PhaseIConEnd)))*SUM($D22:$N22)*'Assumptions-Overall'!$J18*(1+'Assumptions-Overall'!$C$41)^('CashFlow-Retail'!K$7-1)/(YEAR(PhaseIConEnd)-YEAR(PhaseIConBegin)+1))/(YEAR(PhaseIConEnd)-YEAR(PhaseIConBegin)+1)</f>
        <v>0</v>
      </c>
      <c r="L63" s="146">
        <f>(-(AND(L$8&gt;=YEAR(PhaseIConBegin),L$8&lt;=YEAR(PhaseIConEnd)))*SUM($D22:$N22)*'Assumptions-Overall'!$J18*(1+'Assumptions-Overall'!$C$41)^('CashFlow-Retail'!L$7-1)/(YEAR(PhaseIConEnd)-YEAR(PhaseIConBegin)+1))/(YEAR(PhaseIConEnd)-YEAR(PhaseIConBegin)+1)</f>
        <v>0</v>
      </c>
      <c r="M63" s="146">
        <f>(-(AND(M$8&gt;=YEAR(PhaseIConBegin),M$8&lt;=YEAR(PhaseIConEnd)))*SUM($D22:$N22)*'Assumptions-Overall'!$J18*(1+'Assumptions-Overall'!$C$41)^('CashFlow-Retail'!M$7-1)/(YEAR(PhaseIConEnd)-YEAR(PhaseIConBegin)+1))/(YEAR(PhaseIConEnd)-YEAR(PhaseIConBegin)+1)</f>
        <v>0</v>
      </c>
      <c r="N63" s="151">
        <f>(-(AND(N$8&gt;=YEAR(PhaseIConBegin),N$8&lt;=YEAR(PhaseIConEnd)))*SUM($D22:$N22)*'Assumptions-Overall'!$J18*(1+'Assumptions-Overall'!$C$41)^('CashFlow-Retail'!N$7-1)/(YEAR(PhaseIConEnd)-YEAR(PhaseIConBegin)+1))/(YEAR(PhaseIConEnd)-YEAR(PhaseIConBegin)+1)</f>
        <v>0</v>
      </c>
    </row>
    <row r="64" spans="2:16" x14ac:dyDescent="0.65">
      <c r="B64" s="150" t="str">
        <f>'Assumptions-Retail'!$B$12</f>
        <v xml:space="preserve">Specialty </v>
      </c>
      <c r="C64" s="8"/>
      <c r="D64" s="146">
        <f>(-(AND(D$8&gt;=YEAR(PhaseIConBegin),D$8&lt;=YEAR(PhaseIConEnd)))*SUM($D25:$N25)*'Assumptions-Overall'!$J19*(1+'Assumptions-Overall'!$C$41)^('CashFlow-Retail'!D$7-1)/(YEAR(PhaseIConEnd)-YEAR(PhaseIConBegin)+1))/(YEAR(PhaseIConEnd)-YEAR(PhaseIConBegin)+1)</f>
        <v>0</v>
      </c>
      <c r="E64" s="146">
        <f>(-(AND(E$8&gt;=YEAR(PhaseIConBegin),E$8&lt;=YEAR(PhaseIConEnd)))*SUM($D25:$N25)*'Assumptions-Overall'!$J19*(1+'Assumptions-Overall'!$C$41)^('CashFlow-Retail'!E$7-1)/(YEAR(PhaseIConEnd)-YEAR(PhaseIConBegin)+1))/(YEAR(PhaseIConEnd)-YEAR(PhaseIConBegin)+1)</f>
        <v>0</v>
      </c>
      <c r="F64" s="146">
        <f>(-(AND(F$8&gt;=YEAR(PhaseIConBegin),F$8&lt;=YEAR(PhaseIConEnd)))*SUM($D25:$N25)*'Assumptions-Overall'!$J19*(1+'Assumptions-Overall'!$C$41)^('CashFlow-Retail'!F$7-1)/(YEAR(PhaseIConEnd)-YEAR(PhaseIConBegin)+1))/(YEAR(PhaseIConEnd)-YEAR(PhaseIConBegin)+1)</f>
        <v>-636540</v>
      </c>
      <c r="G64" s="146">
        <f>(-(AND(G$8&gt;=YEAR(PhaseIConBegin),G$8&lt;=YEAR(PhaseIConEnd)))*SUM($D25:$N25)*'Assumptions-Overall'!$J19*(1+'Assumptions-Overall'!$C$41)^('CashFlow-Retail'!G$7-1)/(YEAR(PhaseIConEnd)-YEAR(PhaseIConBegin)+1))/(YEAR(PhaseIConEnd)-YEAR(PhaseIConBegin)+1)</f>
        <v>-655636.19999999995</v>
      </c>
      <c r="H64" s="146">
        <f>(-(AND(H$8&gt;=YEAR(PhaseIConBegin),H$8&lt;=YEAR(PhaseIConEnd)))*SUM($D25:$N25)*'Assumptions-Overall'!$J19*(1+'Assumptions-Overall'!$C$41)^('CashFlow-Retail'!H$7-1)/(YEAR(PhaseIConEnd)-YEAR(PhaseIConBegin)+1))/(YEAR(PhaseIConEnd)-YEAR(PhaseIConBegin)+1)</f>
        <v>0</v>
      </c>
      <c r="I64" s="146">
        <f>(-(AND(I$8&gt;=YEAR(PhaseIConBegin),I$8&lt;=YEAR(PhaseIConEnd)))*SUM($D25:$N25)*'Assumptions-Overall'!$J19*(1+'Assumptions-Overall'!$C$41)^('CashFlow-Retail'!I$7-1)/(YEAR(PhaseIConEnd)-YEAR(PhaseIConBegin)+1))/(YEAR(PhaseIConEnd)-YEAR(PhaseIConBegin)+1)</f>
        <v>0</v>
      </c>
      <c r="J64" s="146">
        <f>(-(AND(J$8&gt;=YEAR(PhaseIConBegin),J$8&lt;=YEAR(PhaseIConEnd)))*SUM($D25:$N25)*'Assumptions-Overall'!$J19*(1+'Assumptions-Overall'!$C$41)^('CashFlow-Retail'!J$7-1)/(YEAR(PhaseIConEnd)-YEAR(PhaseIConBegin)+1))/(YEAR(PhaseIConEnd)-YEAR(PhaseIConBegin)+1)</f>
        <v>0</v>
      </c>
      <c r="K64" s="146">
        <f>(-(AND(K$8&gt;=YEAR(PhaseIConBegin),K$8&lt;=YEAR(PhaseIConEnd)))*SUM($D25:$N25)*'Assumptions-Overall'!$J19*(1+'Assumptions-Overall'!$C$41)^('CashFlow-Retail'!K$7-1)/(YEAR(PhaseIConEnd)-YEAR(PhaseIConBegin)+1))/(YEAR(PhaseIConEnd)-YEAR(PhaseIConBegin)+1)</f>
        <v>0</v>
      </c>
      <c r="L64" s="146">
        <f>(-(AND(L$8&gt;=YEAR(PhaseIConBegin),L$8&lt;=YEAR(PhaseIConEnd)))*SUM($D25:$N25)*'Assumptions-Overall'!$J19*(1+'Assumptions-Overall'!$C$41)^('CashFlow-Retail'!L$7-1)/(YEAR(PhaseIConEnd)-YEAR(PhaseIConBegin)+1))/(YEAR(PhaseIConEnd)-YEAR(PhaseIConBegin)+1)</f>
        <v>0</v>
      </c>
      <c r="M64" s="146">
        <f>(-(AND(M$8&gt;=YEAR(PhaseIConBegin),M$8&lt;=YEAR(PhaseIConEnd)))*SUM($D25:$N25)*'Assumptions-Overall'!$J19*(1+'Assumptions-Overall'!$C$41)^('CashFlow-Retail'!M$7-1)/(YEAR(PhaseIConEnd)-YEAR(PhaseIConBegin)+1))/(YEAR(PhaseIConEnd)-YEAR(PhaseIConBegin)+1)</f>
        <v>0</v>
      </c>
      <c r="N64" s="151">
        <f>(-(AND(N$8&gt;=YEAR(PhaseIConBegin),N$8&lt;=YEAR(PhaseIConEnd)))*SUM($D25:$N25)*'Assumptions-Overall'!$J19*(1+'Assumptions-Overall'!$C$41)^('CashFlow-Retail'!N$7-1)/(YEAR(PhaseIConEnd)-YEAR(PhaseIConBegin)+1))/(YEAR(PhaseIConEnd)-YEAR(PhaseIConBegin)+1)</f>
        <v>0</v>
      </c>
    </row>
    <row r="65" spans="2:14" x14ac:dyDescent="0.65">
      <c r="B65" s="3" t="s">
        <v>472</v>
      </c>
      <c r="C65" s="8"/>
      <c r="D65" s="446">
        <f>SUM(D61:D64)</f>
        <v>0</v>
      </c>
      <c r="E65" s="446">
        <f>SUM(E61:E64)</f>
        <v>0</v>
      </c>
      <c r="F65" s="446">
        <f t="shared" ref="F65:N65" si="17">SUM(F61:F64)</f>
        <v>-5375023.3274999997</v>
      </c>
      <c r="G65" s="446">
        <f t="shared" si="17"/>
        <v>-5536274.0273249997</v>
      </c>
      <c r="H65" s="446">
        <f t="shared" si="17"/>
        <v>0</v>
      </c>
      <c r="I65" s="446">
        <f t="shared" si="17"/>
        <v>0</v>
      </c>
      <c r="J65" s="446">
        <f t="shared" si="17"/>
        <v>0</v>
      </c>
      <c r="K65" s="446">
        <f t="shared" si="17"/>
        <v>0</v>
      </c>
      <c r="L65" s="446">
        <f t="shared" si="17"/>
        <v>0</v>
      </c>
      <c r="M65" s="446">
        <f t="shared" si="17"/>
        <v>0</v>
      </c>
      <c r="N65" s="450">
        <f t="shared" si="17"/>
        <v>0</v>
      </c>
    </row>
    <row r="66" spans="2:14" x14ac:dyDescent="0.65">
      <c r="B66" s="3" t="s">
        <v>211</v>
      </c>
      <c r="C66" s="8"/>
      <c r="D66" s="146">
        <f>(AND(D$8&gt;=YEAR(PhaseIPreconBegin),D$8&lt;=YEAR(PhaseIConEnd)))*SUM($D65:$N65)*'Assumptions-Overall'!$H$43/(YEAR(PhaseIConEnd)-YEAR(PhaseIPreconBegin)+1)</f>
        <v>-163669.46032237497</v>
      </c>
      <c r="E66" s="146">
        <f>(AND(E$8&gt;=YEAR(PhaseIPreconBegin),E$8&lt;=YEAR(PhaseIConEnd)))*SUM($D65:$N65)*'Assumptions-Overall'!$H$43/(YEAR(PhaseIConEnd)-YEAR(PhaseIPreconBegin)+1)</f>
        <v>-163669.46032237497</v>
      </c>
      <c r="F66" s="146">
        <f>(AND(F$8&gt;=YEAR(PhaseIPreconBegin),F$8&lt;=YEAR(PhaseIConEnd)))*SUM($D65:$N65)*'Assumptions-Overall'!$H$43/(YEAR(PhaseIConEnd)-YEAR(PhaseIPreconBegin)+1)</f>
        <v>-163669.46032237497</v>
      </c>
      <c r="G66" s="146">
        <f>(AND(G$8&gt;=YEAR(PhaseIPreconBegin),G$8&lt;=YEAR(PhaseIConEnd)))*SUM($D65:$N65)*'Assumptions-Overall'!$H$43/(YEAR(PhaseIConEnd)-YEAR(PhaseIPreconBegin)+1)</f>
        <v>-163669.46032237497</v>
      </c>
      <c r="H66" s="146">
        <f>(AND(H$8&gt;=YEAR(PhaseIPreconBegin),H$8&lt;=YEAR(PhaseIConEnd)))*SUM($D65:$N65)*'Assumptions-Overall'!$H$43/(YEAR(PhaseIConEnd)-YEAR(PhaseIPreconBegin)+1)</f>
        <v>0</v>
      </c>
      <c r="I66" s="146">
        <f>(AND(I$8&gt;=YEAR(PhaseIPreconBegin),I$8&lt;=YEAR(PhaseIConEnd)))*SUM($D65:$N65)*'Assumptions-Overall'!$H$43/(YEAR(PhaseIConEnd)-YEAR(PhaseIPreconBegin)+1)</f>
        <v>0</v>
      </c>
      <c r="J66" s="146">
        <f>(AND(J$8&gt;=YEAR(PhaseIPreconBegin),J$8&lt;=YEAR(PhaseIConEnd)))*SUM($D65:$N65)*'Assumptions-Overall'!$H$43/(YEAR(PhaseIConEnd)-YEAR(PhaseIPreconBegin)+1)</f>
        <v>0</v>
      </c>
      <c r="K66" s="146">
        <f>(AND(K$8&gt;=YEAR(PhaseIPreconBegin),K$8&lt;=YEAR(PhaseIConEnd)))*SUM($D65:$N65)*'Assumptions-Overall'!$H$43/(YEAR(PhaseIConEnd)-YEAR(PhaseIPreconBegin)+1)</f>
        <v>0</v>
      </c>
      <c r="L66" s="146">
        <f>(AND(L$8&gt;=YEAR(PhaseIPreconBegin),L$8&lt;=YEAR(PhaseIConEnd)))*SUM($D65:$N65)*'Assumptions-Overall'!$H$43/(YEAR(PhaseIConEnd)-YEAR(PhaseIPreconBegin)+1)</f>
        <v>0</v>
      </c>
      <c r="M66" s="146">
        <f>(AND(M$8&gt;=YEAR(PhaseIPreconBegin),M$8&lt;=YEAR(PhaseIConEnd)))*SUM($D65:$N65)*'Assumptions-Overall'!$H$43/(YEAR(PhaseIConEnd)-YEAR(PhaseIPreconBegin)+1)</f>
        <v>0</v>
      </c>
      <c r="N66" s="151">
        <f>(AND(N$8&gt;=YEAR(PhaseIPreconBegin),N$8&lt;=YEAR(PhaseIConEnd)))*SUM($D65:$N65)*'Assumptions-Overall'!$H$43/(YEAR(PhaseIConEnd)-YEAR(PhaseIPreconBegin)+1)</f>
        <v>0</v>
      </c>
    </row>
    <row r="67" spans="2:14" x14ac:dyDescent="0.65">
      <c r="B67" s="3" t="s">
        <v>115</v>
      </c>
      <c r="C67" s="8"/>
      <c r="D67" s="146">
        <f>(AND(D$8&gt;=YEAR(PhaseIPreconBegin),D$8&lt;=YEAR(PhaseIConEnd)))*SUM($D65:$N65)*'Assumptions-Overall'!$H$44/(YEAR(PhaseIConEnd)-YEAR(PhaseIPreconBegin)+1)</f>
        <v>-272782.43387062498</v>
      </c>
      <c r="E67" s="146">
        <f>(AND(E$8&gt;=YEAR(PhaseIPreconBegin),E$8&lt;=YEAR(PhaseIConEnd)))*SUM($D65:$N65)*'Assumptions-Overall'!$H$44/(YEAR(PhaseIConEnd)-YEAR(PhaseIPreconBegin)+1)</f>
        <v>-272782.43387062498</v>
      </c>
      <c r="F67" s="146">
        <f>(AND(F$8&gt;=YEAR(PhaseIPreconBegin),F$8&lt;=YEAR(PhaseIConEnd)))*SUM($D65:$N65)*'Assumptions-Overall'!$H$44/(YEAR(PhaseIConEnd)-YEAR(PhaseIPreconBegin)+1)</f>
        <v>-272782.43387062498</v>
      </c>
      <c r="G67" s="146">
        <f>(AND(G$8&gt;=YEAR(PhaseIPreconBegin),G$8&lt;=YEAR(PhaseIConEnd)))*SUM($D65:$N65)*'Assumptions-Overall'!$H$44/(YEAR(PhaseIConEnd)-YEAR(PhaseIPreconBegin)+1)</f>
        <v>-272782.43387062498</v>
      </c>
      <c r="H67" s="146">
        <f>(AND(H$8&gt;=YEAR(PhaseIPreconBegin),H$8&lt;=YEAR(PhaseIConEnd)))*SUM($D65:$N65)*'Assumptions-Overall'!$H$44/(YEAR(PhaseIConEnd)-YEAR(PhaseIPreconBegin)+1)</f>
        <v>0</v>
      </c>
      <c r="I67" s="146">
        <f>(AND(I$8&gt;=YEAR(PhaseIPreconBegin),I$8&lt;=YEAR(PhaseIConEnd)))*SUM($D65:$N65)*'Assumptions-Overall'!$H$44/(YEAR(PhaseIConEnd)-YEAR(PhaseIPreconBegin)+1)</f>
        <v>0</v>
      </c>
      <c r="J67" s="146">
        <f>(AND(J$8&gt;=YEAR(PhaseIPreconBegin),J$8&lt;=YEAR(PhaseIConEnd)))*SUM($D65:$N65)*'Assumptions-Overall'!$H$44/(YEAR(PhaseIConEnd)-YEAR(PhaseIPreconBegin)+1)</f>
        <v>0</v>
      </c>
      <c r="K67" s="146">
        <f>(AND(K$8&gt;=YEAR(PhaseIPreconBegin),K$8&lt;=YEAR(PhaseIConEnd)))*SUM($D65:$N65)*'Assumptions-Overall'!$H$44/(YEAR(PhaseIConEnd)-YEAR(PhaseIPreconBegin)+1)</f>
        <v>0</v>
      </c>
      <c r="L67" s="146">
        <f>(AND(L$8&gt;=YEAR(PhaseIPreconBegin),L$8&lt;=YEAR(PhaseIConEnd)))*SUM($D65:$N65)*'Assumptions-Overall'!$H$44/(YEAR(PhaseIConEnd)-YEAR(PhaseIPreconBegin)+1)</f>
        <v>0</v>
      </c>
      <c r="M67" s="146">
        <f>(AND(M$8&gt;=YEAR(PhaseIPreconBegin),M$8&lt;=YEAR(PhaseIConEnd)))*SUM($D65:$N65)*'Assumptions-Overall'!$H$44/(YEAR(PhaseIConEnd)-YEAR(PhaseIPreconBegin)+1)</f>
        <v>0</v>
      </c>
      <c r="N67" s="151">
        <f>(AND(N$8&gt;=YEAR(PhaseIPreconBegin),N$8&lt;=YEAR(PhaseIConEnd)))*SUM($D65:$N65)*'Assumptions-Overall'!$H$44/(YEAR(PhaseIConEnd)-YEAR(PhaseIPreconBegin)+1)</f>
        <v>0</v>
      </c>
    </row>
    <row r="68" spans="2:14" x14ac:dyDescent="0.65">
      <c r="B68" s="3" t="s">
        <v>116</v>
      </c>
      <c r="C68" s="8"/>
      <c r="D68" s="144">
        <f>SUM(D61:D67)*'Assumptions-Overall'!$H$45</f>
        <v>-21822.594709649999</v>
      </c>
      <c r="E68" s="144">
        <f>SUM(E61:E67)*'Assumptions-Overall'!$H$45</f>
        <v>-21822.594709649999</v>
      </c>
      <c r="F68" s="144">
        <f>SUM(F61:F67)*'Assumptions-Overall'!$H$45</f>
        <v>-559324.92745964997</v>
      </c>
      <c r="G68" s="144">
        <f>SUM(G61:G67)*'Assumptions-Overall'!$H$45</f>
        <v>-575449.99744214991</v>
      </c>
      <c r="H68" s="144">
        <f>SUM(H61:H67)*'Assumptions-Overall'!$H$45</f>
        <v>0</v>
      </c>
      <c r="I68" s="144">
        <f>SUM(I61:I67)*'Assumptions-Overall'!$H$45</f>
        <v>0</v>
      </c>
      <c r="J68" s="144">
        <f>SUM(J61:J67)*'Assumptions-Overall'!$H$45</f>
        <v>0</v>
      </c>
      <c r="K68" s="144">
        <f>SUM(K61:K67)*'Assumptions-Overall'!$H$45</f>
        <v>0</v>
      </c>
      <c r="L68" s="144">
        <f>SUM(L61:L67)*'Assumptions-Overall'!$H$45</f>
        <v>0</v>
      </c>
      <c r="M68" s="144">
        <f>SUM(M61:M67)*'Assumptions-Overall'!$H$45</f>
        <v>0</v>
      </c>
      <c r="N68" s="151"/>
    </row>
    <row r="69" spans="2:14" x14ac:dyDescent="0.65">
      <c r="B69" s="3" t="s">
        <v>212</v>
      </c>
      <c r="C69" s="8"/>
      <c r="D69" s="146">
        <f>SUM(D65:D68)</f>
        <v>-458274.4889026499</v>
      </c>
      <c r="E69" s="146">
        <f t="shared" ref="E69:N69" si="18">SUM(E65:E68)</f>
        <v>-458274.4889026499</v>
      </c>
      <c r="F69" s="146">
        <f t="shared" si="18"/>
        <v>-6370800.1491526496</v>
      </c>
      <c r="G69" s="146">
        <f t="shared" si="18"/>
        <v>-6548175.9189601494</v>
      </c>
      <c r="H69" s="146">
        <f t="shared" si="18"/>
        <v>0</v>
      </c>
      <c r="I69" s="146">
        <f t="shared" si="18"/>
        <v>0</v>
      </c>
      <c r="J69" s="146">
        <f t="shared" si="18"/>
        <v>0</v>
      </c>
      <c r="K69" s="146">
        <f t="shared" si="18"/>
        <v>0</v>
      </c>
      <c r="L69" s="146">
        <f t="shared" si="18"/>
        <v>0</v>
      </c>
      <c r="M69" s="146">
        <f t="shared" si="18"/>
        <v>0</v>
      </c>
      <c r="N69" s="151">
        <f t="shared" si="18"/>
        <v>0</v>
      </c>
    </row>
    <row r="70" spans="2:14" x14ac:dyDescent="0.65">
      <c r="B70" s="3"/>
      <c r="C70" s="8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51"/>
    </row>
    <row r="71" spans="2:14" x14ac:dyDescent="0.65">
      <c r="B71" s="36" t="s">
        <v>213</v>
      </c>
      <c r="C71" s="8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51"/>
    </row>
    <row r="72" spans="2:14" x14ac:dyDescent="0.65">
      <c r="B72" s="3" t="s">
        <v>215</v>
      </c>
      <c r="C72" s="8"/>
      <c r="D72" s="146">
        <f>(D$8=YEAR('Assumptions-Overall'!$C$30))*E53/'Assumptions-Overall'!$V$13</f>
        <v>0</v>
      </c>
      <c r="E72" s="146">
        <f>(E$8=YEAR('Assumptions-Overall'!$C$30))*F53/'Assumptions-Overall'!$V$13</f>
        <v>0</v>
      </c>
      <c r="F72" s="146">
        <f>(F$8=YEAR('Assumptions-Overall'!$C$30))*G53/'Assumptions-Overall'!$V$13</f>
        <v>0</v>
      </c>
      <c r="G72" s="146">
        <f>(G$8=YEAR('Assumptions-Overall'!$C$30))*H53/'Assumptions-Overall'!$V$13</f>
        <v>0</v>
      </c>
      <c r="H72" s="146">
        <f>(H$8=YEAR('Assumptions-Overall'!$C$30))*I53/'Assumptions-Overall'!$V$13</f>
        <v>0</v>
      </c>
      <c r="I72" s="146">
        <f>(I$8=YEAR('Assumptions-Overall'!$C$30))*J53/'Assumptions-Overall'!$V$13</f>
        <v>0</v>
      </c>
      <c r="J72" s="146">
        <f>(J$8=YEAR('Assumptions-Overall'!$C$30))*K53/'Assumptions-Overall'!$V$13</f>
        <v>0</v>
      </c>
      <c r="K72" s="146">
        <f>(K$8=YEAR('Assumptions-Overall'!$C$30))*L53/'Assumptions-Overall'!$V$13</f>
        <v>0</v>
      </c>
      <c r="L72" s="146">
        <f>(L$8=YEAR('Assumptions-Overall'!$C$30))*M53/'Assumptions-Overall'!$V$13</f>
        <v>0</v>
      </c>
      <c r="M72" s="146">
        <f>(M$8=YEAR('Assumptions-Overall'!$C$30))*N53/'Assumptions-Overall'!$V$13</f>
        <v>47821584.463486388</v>
      </c>
      <c r="N72" s="151"/>
    </row>
    <row r="73" spans="2:14" x14ac:dyDescent="0.65">
      <c r="B73" s="3" t="s">
        <v>216</v>
      </c>
      <c r="C73" s="8"/>
      <c r="D73" s="144">
        <f>-D72*'Assumptions-Overall'!$R$27</f>
        <v>0</v>
      </c>
      <c r="E73" s="144">
        <f>-E72*'Assumptions-Overall'!$R$27</f>
        <v>0</v>
      </c>
      <c r="F73" s="144">
        <f>-F72*'Assumptions-Overall'!$R$27</f>
        <v>0</v>
      </c>
      <c r="G73" s="144">
        <f>-G72*'Assumptions-Overall'!$R$27</f>
        <v>0</v>
      </c>
      <c r="H73" s="144">
        <f>-H72*'Assumptions-Overall'!$R$27</f>
        <v>0</v>
      </c>
      <c r="I73" s="144">
        <f>-I72*'Assumptions-Overall'!$R$27</f>
        <v>0</v>
      </c>
      <c r="J73" s="144">
        <f>-J72*'Assumptions-Overall'!$R$27</f>
        <v>0</v>
      </c>
      <c r="K73" s="144">
        <f>-K72*'Assumptions-Overall'!$R$27</f>
        <v>0</v>
      </c>
      <c r="L73" s="144">
        <f>-L72*'Assumptions-Overall'!$R$27</f>
        <v>0</v>
      </c>
      <c r="M73" s="144">
        <f>-M72*'Assumptions-Overall'!$R$27</f>
        <v>-956431.68926972779</v>
      </c>
      <c r="N73" s="151"/>
    </row>
    <row r="74" spans="2:14" x14ac:dyDescent="0.65">
      <c r="B74" s="3" t="s">
        <v>217</v>
      </c>
      <c r="C74" s="8"/>
      <c r="D74" s="146">
        <f>SUM(D72:D73)</f>
        <v>0</v>
      </c>
      <c r="E74" s="146">
        <f t="shared" ref="E74:M74" si="19">SUM(E72:E73)</f>
        <v>0</v>
      </c>
      <c r="F74" s="146">
        <f t="shared" si="19"/>
        <v>0</v>
      </c>
      <c r="G74" s="146">
        <f t="shared" si="19"/>
        <v>0</v>
      </c>
      <c r="H74" s="146">
        <f t="shared" si="19"/>
        <v>0</v>
      </c>
      <c r="I74" s="146">
        <f t="shared" si="19"/>
        <v>0</v>
      </c>
      <c r="J74" s="146">
        <f t="shared" si="19"/>
        <v>0</v>
      </c>
      <c r="K74" s="146">
        <f t="shared" si="19"/>
        <v>0</v>
      </c>
      <c r="L74" s="146">
        <f t="shared" si="19"/>
        <v>0</v>
      </c>
      <c r="M74" s="146">
        <f t="shared" si="19"/>
        <v>46865152.774216659</v>
      </c>
      <c r="N74" s="151"/>
    </row>
    <row r="75" spans="2:14" x14ac:dyDescent="0.65">
      <c r="B75" s="3"/>
      <c r="C75" s="8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51"/>
    </row>
    <row r="76" spans="2:14" x14ac:dyDescent="0.65">
      <c r="B76" s="3" t="s">
        <v>214</v>
      </c>
      <c r="C76" s="8"/>
      <c r="D76" s="146">
        <f t="shared" ref="D76:M76" si="20">D57+D69+D74</f>
        <v>-458274.4889026499</v>
      </c>
      <c r="E76" s="146">
        <f t="shared" si="20"/>
        <v>-458274.4889026499</v>
      </c>
      <c r="F76" s="146">
        <f t="shared" si="20"/>
        <v>-6370800.1491526496</v>
      </c>
      <c r="G76" s="146">
        <f t="shared" si="20"/>
        <v>-6548175.9189601494</v>
      </c>
      <c r="H76" s="146">
        <f t="shared" si="20"/>
        <v>3282556.7990460512</v>
      </c>
      <c r="I76" s="146">
        <f t="shared" si="20"/>
        <v>3381033.5030174335</v>
      </c>
      <c r="J76" s="146">
        <f t="shared" si="20"/>
        <v>3482464.5081079565</v>
      </c>
      <c r="K76" s="146">
        <f t="shared" si="20"/>
        <v>3586938.4433511952</v>
      </c>
      <c r="L76" s="146">
        <f t="shared" si="20"/>
        <v>3694546.5966517311</v>
      </c>
      <c r="M76" s="146">
        <f t="shared" si="20"/>
        <v>50670535.768767938</v>
      </c>
      <c r="N76" s="151"/>
    </row>
    <row r="77" spans="2:14" x14ac:dyDescent="0.65">
      <c r="B77" s="3" t="s">
        <v>218</v>
      </c>
      <c r="C77" s="158">
        <f>IFERROR(IRR(D76:M76),"n/a")</f>
        <v>0.33210043208021855</v>
      </c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51"/>
    </row>
    <row r="78" spans="2:14" ht="13" thickBot="1" x14ac:dyDescent="0.8">
      <c r="B78" s="5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1"/>
    </row>
    <row r="79" spans="2:14" x14ac:dyDescent="0.65">
      <c r="B79" s="154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6"/>
    </row>
    <row r="80" spans="2:14" x14ac:dyDescent="0.65">
      <c r="B80" s="147" t="s">
        <v>197</v>
      </c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9"/>
    </row>
    <row r="81" spans="2:14" x14ac:dyDescent="0.65">
      <c r="B81" s="3" t="s">
        <v>194</v>
      </c>
      <c r="C81" s="8"/>
      <c r="D81" s="148">
        <f>D85+D88+D91+D94</f>
        <v>0</v>
      </c>
      <c r="E81" s="148">
        <f t="shared" ref="E81:N81" si="21">E85+E88+E91+E94</f>
        <v>0</v>
      </c>
      <c r="F81" s="148">
        <f t="shared" si="21"/>
        <v>0</v>
      </c>
      <c r="G81" s="148">
        <f t="shared" si="21"/>
        <v>377900</v>
      </c>
      <c r="H81" s="148">
        <f t="shared" si="21"/>
        <v>377900</v>
      </c>
      <c r="I81" s="148">
        <f t="shared" si="21"/>
        <v>377900</v>
      </c>
      <c r="J81" s="148">
        <f t="shared" si="21"/>
        <v>377900</v>
      </c>
      <c r="K81" s="148">
        <f t="shared" si="21"/>
        <v>377900</v>
      </c>
      <c r="L81" s="148">
        <f t="shared" si="21"/>
        <v>377900</v>
      </c>
      <c r="M81" s="148">
        <f t="shared" si="21"/>
        <v>377900</v>
      </c>
      <c r="N81" s="148">
        <f t="shared" si="21"/>
        <v>377900</v>
      </c>
    </row>
    <row r="82" spans="2:14" x14ac:dyDescent="0.65">
      <c r="B82" s="3" t="s">
        <v>195</v>
      </c>
      <c r="C82" s="8"/>
      <c r="D82" s="148">
        <f>D81-C81</f>
        <v>0</v>
      </c>
      <c r="E82" s="148">
        <f t="shared" ref="E82" si="22">E81-D81</f>
        <v>0</v>
      </c>
      <c r="F82" s="148">
        <f t="shared" ref="F82" si="23">F81-E81</f>
        <v>0</v>
      </c>
      <c r="G82" s="148">
        <f t="shared" ref="G82" si="24">G81-F81</f>
        <v>377900</v>
      </c>
      <c r="H82" s="148">
        <f t="shared" ref="H82" si="25">H81-G81</f>
        <v>0</v>
      </c>
      <c r="I82" s="148">
        <f t="shared" ref="I82" si="26">I81-H81</f>
        <v>0</v>
      </c>
      <c r="J82" s="148">
        <f t="shared" ref="J82" si="27">J81-I81</f>
        <v>0</v>
      </c>
      <c r="K82" s="148">
        <f t="shared" ref="K82" si="28">K81-J81</f>
        <v>0</v>
      </c>
      <c r="L82" s="148">
        <f t="shared" ref="L82" si="29">L81-K81</f>
        <v>0</v>
      </c>
      <c r="M82" s="148">
        <f t="shared" ref="M82" si="30">M81-L81</f>
        <v>0</v>
      </c>
      <c r="N82" s="149">
        <f t="shared" ref="N82" si="31">N81-M81</f>
        <v>0</v>
      </c>
    </row>
    <row r="83" spans="2:14" x14ac:dyDescent="0.65">
      <c r="B83" s="3"/>
      <c r="C83" s="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9"/>
    </row>
    <row r="84" spans="2:14" x14ac:dyDescent="0.65">
      <c r="B84" s="36" t="s">
        <v>227</v>
      </c>
      <c r="C84" s="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9"/>
    </row>
    <row r="85" spans="2:14" x14ac:dyDescent="0.65">
      <c r="B85" s="3" t="str">
        <f>B15</f>
        <v>Food Hall</v>
      </c>
      <c r="C85" s="8"/>
      <c r="D85" s="148">
        <f>(D$8&gt;=YEAR(PhaseIIComplete))*'Assumptions-Retail'!$E$9</f>
        <v>0</v>
      </c>
      <c r="E85" s="148">
        <f>(E$8&gt;=YEAR(PhaseIIComplete))*'Assumptions-Retail'!$E$9</f>
        <v>0</v>
      </c>
      <c r="F85" s="148">
        <f>(F$8&gt;=YEAR(PhaseIIComplete))*'Assumptions-Retail'!$E$9</f>
        <v>0</v>
      </c>
      <c r="G85" s="148">
        <f>(G$8&gt;=YEAR(PhaseIIComplete))*'Assumptions-Retail'!$E$9</f>
        <v>0</v>
      </c>
      <c r="H85" s="148">
        <f>(H$8&gt;=YEAR(PhaseIIComplete))*'Assumptions-Retail'!$E$9</f>
        <v>0</v>
      </c>
      <c r="I85" s="148">
        <f>(I$8&gt;=YEAR(PhaseIIComplete))*'Assumptions-Retail'!$E$9</f>
        <v>0</v>
      </c>
      <c r="J85" s="148">
        <f>(J$8&gt;=YEAR(PhaseIIComplete))*'Assumptions-Retail'!$E$9</f>
        <v>0</v>
      </c>
      <c r="K85" s="148">
        <f>(K$8&gt;=YEAR(PhaseIIComplete))*'Assumptions-Retail'!$E$9</f>
        <v>0</v>
      </c>
      <c r="L85" s="148">
        <f>(L$8&gt;=YEAR(PhaseIIComplete))*'Assumptions-Retail'!$E$9</f>
        <v>0</v>
      </c>
      <c r="M85" s="148">
        <f>(M$8&gt;=YEAR(PhaseIIComplete))*'Assumptions-Retail'!$E$9</f>
        <v>0</v>
      </c>
      <c r="N85" s="149">
        <f>(N$8&gt;=YEAR(PhaseIIComplete))*'Assumptions-Retail'!$E$9</f>
        <v>0</v>
      </c>
    </row>
    <row r="86" spans="2:14" x14ac:dyDescent="0.65">
      <c r="B86" s="3" t="s">
        <v>478</v>
      </c>
      <c r="C86" s="8"/>
      <c r="D86" s="148">
        <f>D85-C85</f>
        <v>0</v>
      </c>
      <c r="E86" s="148">
        <f t="shared" ref="E86:N86" si="32">E85-D85</f>
        <v>0</v>
      </c>
      <c r="F86" s="148">
        <f t="shared" si="32"/>
        <v>0</v>
      </c>
      <c r="G86" s="148">
        <f t="shared" si="32"/>
        <v>0</v>
      </c>
      <c r="H86" s="148">
        <f t="shared" si="32"/>
        <v>0</v>
      </c>
      <c r="I86" s="148">
        <f t="shared" si="32"/>
        <v>0</v>
      </c>
      <c r="J86" s="148">
        <f t="shared" si="32"/>
        <v>0</v>
      </c>
      <c r="K86" s="148">
        <f t="shared" si="32"/>
        <v>0</v>
      </c>
      <c r="L86" s="148">
        <f t="shared" si="32"/>
        <v>0</v>
      </c>
      <c r="M86" s="148">
        <f t="shared" si="32"/>
        <v>0</v>
      </c>
      <c r="N86" s="149">
        <f t="shared" si="32"/>
        <v>0</v>
      </c>
    </row>
    <row r="87" spans="2:14" x14ac:dyDescent="0.65">
      <c r="B87" s="3"/>
      <c r="C87" s="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9"/>
    </row>
    <row r="88" spans="2:14" x14ac:dyDescent="0.65">
      <c r="B88" s="3" t="str">
        <f>B18</f>
        <v>Big Box Retail Space</v>
      </c>
      <c r="C88" s="8"/>
      <c r="D88" s="148">
        <f>(D$8&gt;=YEAR(PhaseIIComplete))*'Assumptions-Retail'!$E$10</f>
        <v>0</v>
      </c>
      <c r="E88" s="148">
        <f>(E$8&gt;=YEAR(PhaseIIComplete))*'Assumptions-Retail'!$E$10</f>
        <v>0</v>
      </c>
      <c r="F88" s="148">
        <f>(F$8&gt;=YEAR(PhaseIIComplete))*'Assumptions-Retail'!$E$10</f>
        <v>0</v>
      </c>
      <c r="G88" s="148">
        <f>(G$8&gt;=YEAR(PhaseIIComplete))*'Assumptions-Retail'!$E$10</f>
        <v>350000</v>
      </c>
      <c r="H88" s="148">
        <f>(H$8&gt;=YEAR(PhaseIIComplete))*'Assumptions-Retail'!$E$10</f>
        <v>350000</v>
      </c>
      <c r="I88" s="148">
        <f>(I$8&gt;=YEAR(PhaseIIComplete))*'Assumptions-Retail'!$E$10</f>
        <v>350000</v>
      </c>
      <c r="J88" s="148">
        <f>(J$8&gt;=YEAR(PhaseIIComplete))*'Assumptions-Retail'!$E$10</f>
        <v>350000</v>
      </c>
      <c r="K88" s="148">
        <f>(K$8&gt;=YEAR(PhaseIIComplete))*'Assumptions-Retail'!$E$10</f>
        <v>350000</v>
      </c>
      <c r="L88" s="148">
        <f>(L$8&gt;=YEAR(PhaseIIComplete))*'Assumptions-Retail'!$E$10</f>
        <v>350000</v>
      </c>
      <c r="M88" s="148">
        <f>(M$8&gt;=YEAR(PhaseIIComplete))*'Assumptions-Retail'!$E$10</f>
        <v>350000</v>
      </c>
      <c r="N88" s="149">
        <f>(N$8&gt;=YEAR(PhaseIIComplete))*'Assumptions-Retail'!$E$10</f>
        <v>350000</v>
      </c>
    </row>
    <row r="89" spans="2:14" x14ac:dyDescent="0.65">
      <c r="B89" s="3" t="s">
        <v>479</v>
      </c>
      <c r="C89" s="8"/>
      <c r="D89" s="148">
        <f>D88-C88</f>
        <v>0</v>
      </c>
      <c r="E89" s="148">
        <f t="shared" ref="E89:N89" si="33">E88-D88</f>
        <v>0</v>
      </c>
      <c r="F89" s="148">
        <f t="shared" si="33"/>
        <v>0</v>
      </c>
      <c r="G89" s="148">
        <f t="shared" si="33"/>
        <v>350000</v>
      </c>
      <c r="H89" s="148">
        <f t="shared" si="33"/>
        <v>0</v>
      </c>
      <c r="I89" s="148">
        <f t="shared" si="33"/>
        <v>0</v>
      </c>
      <c r="J89" s="148">
        <f t="shared" si="33"/>
        <v>0</v>
      </c>
      <c r="K89" s="148">
        <f t="shared" si="33"/>
        <v>0</v>
      </c>
      <c r="L89" s="148">
        <f t="shared" si="33"/>
        <v>0</v>
      </c>
      <c r="M89" s="148">
        <f t="shared" si="33"/>
        <v>0</v>
      </c>
      <c r="N89" s="149">
        <f t="shared" si="33"/>
        <v>0</v>
      </c>
    </row>
    <row r="90" spans="2:14" x14ac:dyDescent="0.65">
      <c r="B90" s="3"/>
      <c r="C90" s="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9"/>
    </row>
    <row r="91" spans="2:14" x14ac:dyDescent="0.65">
      <c r="B91" s="3" t="str">
        <f>B21</f>
        <v>Neighborhood</v>
      </c>
      <c r="C91" s="8"/>
      <c r="D91" s="148">
        <f>(D$8&gt;=YEAR(PhaseIIComplete))*'Assumptions-Retail'!$E$11</f>
        <v>0</v>
      </c>
      <c r="E91" s="148">
        <f>(E$8&gt;=YEAR(PhaseIIComplete))*'Assumptions-Retail'!$E$11</f>
        <v>0</v>
      </c>
      <c r="F91" s="148">
        <f>(F$8&gt;=YEAR(PhaseIIComplete))*'Assumptions-Retail'!$E$11</f>
        <v>0</v>
      </c>
      <c r="G91" s="148">
        <f>(G$8&gt;=YEAR(PhaseIIComplete))*'Assumptions-Retail'!$E$11</f>
        <v>4500</v>
      </c>
      <c r="H91" s="148">
        <f>(H$8&gt;=YEAR(PhaseIIComplete))*'Assumptions-Retail'!$E$11</f>
        <v>4500</v>
      </c>
      <c r="I91" s="148">
        <f>(I$8&gt;=YEAR(PhaseIIComplete))*'Assumptions-Retail'!$E$11</f>
        <v>4500</v>
      </c>
      <c r="J91" s="148">
        <f>(J$8&gt;=YEAR(PhaseIIComplete))*'Assumptions-Retail'!$E$11</f>
        <v>4500</v>
      </c>
      <c r="K91" s="148">
        <f>(K$8&gt;=YEAR(PhaseIIComplete))*'Assumptions-Retail'!$E$11</f>
        <v>4500</v>
      </c>
      <c r="L91" s="148">
        <f>(L$8&gt;=YEAR(PhaseIIComplete))*'Assumptions-Retail'!$E$11</f>
        <v>4500</v>
      </c>
      <c r="M91" s="148">
        <f>(M$8&gt;=YEAR(PhaseIIComplete))*'Assumptions-Retail'!$E$11</f>
        <v>4500</v>
      </c>
      <c r="N91" s="149">
        <f>(N$8&gt;=YEAR(PhaseIIComplete))*'Assumptions-Retail'!$E$11</f>
        <v>4500</v>
      </c>
    </row>
    <row r="92" spans="2:14" x14ac:dyDescent="0.65">
      <c r="B92" s="3" t="s">
        <v>476</v>
      </c>
      <c r="C92" s="8"/>
      <c r="D92" s="148">
        <f>D91-C91</f>
        <v>0</v>
      </c>
      <c r="E92" s="148">
        <f t="shared" ref="E92:N92" si="34">E91-D91</f>
        <v>0</v>
      </c>
      <c r="F92" s="148">
        <f t="shared" si="34"/>
        <v>0</v>
      </c>
      <c r="G92" s="148">
        <f t="shared" si="34"/>
        <v>4500</v>
      </c>
      <c r="H92" s="148">
        <f t="shared" si="34"/>
        <v>0</v>
      </c>
      <c r="I92" s="148">
        <f t="shared" si="34"/>
        <v>0</v>
      </c>
      <c r="J92" s="148">
        <f t="shared" si="34"/>
        <v>0</v>
      </c>
      <c r="K92" s="148">
        <f t="shared" si="34"/>
        <v>0</v>
      </c>
      <c r="L92" s="148">
        <f t="shared" si="34"/>
        <v>0</v>
      </c>
      <c r="M92" s="148">
        <f t="shared" si="34"/>
        <v>0</v>
      </c>
      <c r="N92" s="149">
        <f t="shared" si="34"/>
        <v>0</v>
      </c>
    </row>
    <row r="93" spans="2:14" x14ac:dyDescent="0.65">
      <c r="B93" s="3"/>
      <c r="C93" s="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9"/>
    </row>
    <row r="94" spans="2:14" x14ac:dyDescent="0.65">
      <c r="B94" s="3" t="str">
        <f>B24</f>
        <v xml:space="preserve">Specialty </v>
      </c>
      <c r="C94" s="8"/>
      <c r="D94" s="148">
        <f>(D$8&gt;=YEAR(PhaseIIComplete))*'Assumptions-Retail'!$E$12</f>
        <v>0</v>
      </c>
      <c r="E94" s="148">
        <f>(E$8&gt;=YEAR(PhaseIIComplete))*'Assumptions-Retail'!$E$12</f>
        <v>0</v>
      </c>
      <c r="F94" s="148">
        <f>(F$8&gt;=YEAR(PhaseIIComplete))*'Assumptions-Retail'!$E$12</f>
        <v>0</v>
      </c>
      <c r="G94" s="148">
        <f>(G$8&gt;=YEAR(PhaseIIComplete))*'Assumptions-Retail'!$E$12</f>
        <v>23400</v>
      </c>
      <c r="H94" s="148">
        <f>(H$8&gt;=YEAR(PhaseIIComplete))*'Assumptions-Retail'!$E$12</f>
        <v>23400</v>
      </c>
      <c r="I94" s="148">
        <f>(I$8&gt;=YEAR(PhaseIIComplete))*'Assumptions-Retail'!$E$12</f>
        <v>23400</v>
      </c>
      <c r="J94" s="148">
        <f>(J$8&gt;=YEAR(PhaseIIComplete))*'Assumptions-Retail'!$E$12</f>
        <v>23400</v>
      </c>
      <c r="K94" s="148">
        <f>(K$8&gt;=YEAR(PhaseIIComplete))*'Assumptions-Retail'!$E$12</f>
        <v>23400</v>
      </c>
      <c r="L94" s="148">
        <f>(L$8&gt;=YEAR(PhaseIIComplete))*'Assumptions-Retail'!$E$12</f>
        <v>23400</v>
      </c>
      <c r="M94" s="148">
        <f>(M$8&gt;=YEAR(PhaseIIComplete))*'Assumptions-Retail'!$E$12</f>
        <v>23400</v>
      </c>
      <c r="N94" s="149">
        <f>(N$8&gt;=YEAR(PhaseIIComplete))*'Assumptions-Retail'!$E$12</f>
        <v>23400</v>
      </c>
    </row>
    <row r="95" spans="2:14" x14ac:dyDescent="0.65">
      <c r="B95" s="3" t="s">
        <v>477</v>
      </c>
      <c r="C95" s="8"/>
      <c r="D95" s="148">
        <f>D94-C94</f>
        <v>0</v>
      </c>
      <c r="E95" s="148">
        <f t="shared" ref="E95:N95" si="35">E94-D94</f>
        <v>0</v>
      </c>
      <c r="F95" s="148">
        <f t="shared" si="35"/>
        <v>0</v>
      </c>
      <c r="G95" s="148">
        <f t="shared" si="35"/>
        <v>23400</v>
      </c>
      <c r="H95" s="148">
        <f t="shared" si="35"/>
        <v>0</v>
      </c>
      <c r="I95" s="148">
        <f t="shared" si="35"/>
        <v>0</v>
      </c>
      <c r="J95" s="148">
        <f t="shared" si="35"/>
        <v>0</v>
      </c>
      <c r="K95" s="148">
        <f t="shared" si="35"/>
        <v>0</v>
      </c>
      <c r="L95" s="148">
        <f t="shared" si="35"/>
        <v>0</v>
      </c>
      <c r="M95" s="148">
        <f t="shared" si="35"/>
        <v>0</v>
      </c>
      <c r="N95" s="149">
        <f t="shared" si="35"/>
        <v>0</v>
      </c>
    </row>
    <row r="96" spans="2:14" x14ac:dyDescent="0.65">
      <c r="B96" s="3"/>
      <c r="C96" s="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9"/>
    </row>
    <row r="97" spans="2:14" x14ac:dyDescent="0.65">
      <c r="B97" s="36" t="s">
        <v>206</v>
      </c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9"/>
    </row>
    <row r="98" spans="2:14" x14ac:dyDescent="0.65">
      <c r="B98" s="3" t="s">
        <v>229</v>
      </c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9"/>
    </row>
    <row r="99" spans="2:14" x14ac:dyDescent="0.65">
      <c r="B99" s="150" t="str">
        <f>'Assumptions-Retail'!$B$9</f>
        <v>Food Hall</v>
      </c>
      <c r="C99" s="8"/>
      <c r="D99" s="146">
        <f>SUMPRODUCT(D85,'Assumptions-Retail'!$I$9)*(1+'Assumptions-Overall'!$C$35)^('CashFlow-Retail'!D$7-1)</f>
        <v>0</v>
      </c>
      <c r="E99" s="146">
        <f>SUMPRODUCT(E85,'Assumptions-Retail'!$I$9)*(1+'Assumptions-Overall'!$C$35)^('CashFlow-Retail'!E$7-1)</f>
        <v>0</v>
      </c>
      <c r="F99" s="146">
        <f>SUMPRODUCT(F85,'Assumptions-Retail'!$I$9)*(1+'Assumptions-Overall'!$C$35)^('CashFlow-Retail'!F$7-1)</f>
        <v>0</v>
      </c>
      <c r="G99" s="146">
        <f>SUMPRODUCT(G85,'Assumptions-Retail'!$I$9)*(1+'Assumptions-Overall'!$C$35)^('CashFlow-Retail'!G$7-1)</f>
        <v>0</v>
      </c>
      <c r="H99" s="146">
        <f>SUMPRODUCT(H85,'Assumptions-Retail'!$I$9)*(1+'Assumptions-Overall'!$C$35)^('CashFlow-Retail'!H$7-1)</f>
        <v>0</v>
      </c>
      <c r="I99" s="146">
        <f>SUMPRODUCT(I85,'Assumptions-Retail'!$I$9)*(1+'Assumptions-Overall'!$C$35)^('CashFlow-Retail'!I$7-1)</f>
        <v>0</v>
      </c>
      <c r="J99" s="146">
        <f>SUMPRODUCT(J85,'Assumptions-Retail'!$I$9)*(1+'Assumptions-Overall'!$C$35)^('CashFlow-Retail'!J$7-1)</f>
        <v>0</v>
      </c>
      <c r="K99" s="146">
        <f>SUMPRODUCT(K85,'Assumptions-Retail'!$I$9)*(1+'Assumptions-Overall'!$C$35)^('CashFlow-Retail'!K$7-1)</f>
        <v>0</v>
      </c>
      <c r="L99" s="146">
        <f>SUMPRODUCT(L85,'Assumptions-Retail'!$I$9)*(1+'Assumptions-Overall'!$C$35)^('CashFlow-Retail'!L$7-1)</f>
        <v>0</v>
      </c>
      <c r="M99" s="146">
        <f>SUMPRODUCT(M85,'Assumptions-Retail'!$I$9)*(1+'Assumptions-Overall'!$C$35)^('CashFlow-Retail'!M$7-1)</f>
        <v>0</v>
      </c>
      <c r="N99" s="151">
        <f>SUMPRODUCT(N85,'Assumptions-Retail'!$I$9)*(1+'Assumptions-Overall'!$C$35)^('CashFlow-Retail'!N$7-1)</f>
        <v>0</v>
      </c>
    </row>
    <row r="100" spans="2:14" x14ac:dyDescent="0.65">
      <c r="B100" s="150" t="str">
        <f>'Assumptions-Retail'!$B$10</f>
        <v>Big Box Retail Space</v>
      </c>
      <c r="C100" s="8"/>
      <c r="D100" s="146">
        <f>SUMPRODUCT(D88,'Assumptions-Retail'!$I$9)*(1+'Assumptions-Overall'!$C$35)^('CashFlow-Retail'!D$7-1)</f>
        <v>0</v>
      </c>
      <c r="E100" s="146">
        <f>SUMPRODUCT(E88,'Assumptions-Retail'!$I$9)*(1+'Assumptions-Overall'!$C$35)^('CashFlow-Retail'!E$7-1)</f>
        <v>0</v>
      </c>
      <c r="F100" s="146">
        <f>SUMPRODUCT(F88,'Assumptions-Retail'!$I$9)*(1+'Assumptions-Overall'!$C$35)^('CashFlow-Retail'!F$7-1)</f>
        <v>0</v>
      </c>
      <c r="G100" s="146">
        <f>SUMPRODUCT(G88,'Assumptions-Retail'!$I$9)*(1+'Assumptions-Overall'!$C$35)^('CashFlow-Retail'!G$7-1)</f>
        <v>11473633.5</v>
      </c>
      <c r="H100" s="146">
        <f>SUMPRODUCT(H88,'Assumptions-Retail'!$I$9)*(1+'Assumptions-Overall'!$C$35)^('CashFlow-Retail'!H$7-1)</f>
        <v>11817842.504999999</v>
      </c>
      <c r="I100" s="146">
        <f>SUMPRODUCT(I88,'Assumptions-Retail'!$I$9)*(1+'Assumptions-Overall'!$C$35)^('CashFlow-Retail'!I$7-1)</f>
        <v>12172377.780149998</v>
      </c>
      <c r="J100" s="146">
        <f>SUMPRODUCT(J88,'Assumptions-Retail'!$I$9)*(1+'Assumptions-Overall'!$C$35)^('CashFlow-Retail'!J$7-1)</f>
        <v>12537549.113554498</v>
      </c>
      <c r="K100" s="146">
        <f>SUMPRODUCT(K88,'Assumptions-Retail'!$I$9)*(1+'Assumptions-Overall'!$C$35)^('CashFlow-Retail'!K$7-1)</f>
        <v>12913675.586961135</v>
      </c>
      <c r="L100" s="146">
        <f>SUMPRODUCT(L88,'Assumptions-Retail'!$I$9)*(1+'Assumptions-Overall'!$C$35)^('CashFlow-Retail'!L$7-1)</f>
        <v>13301085.854569968</v>
      </c>
      <c r="M100" s="146">
        <f>SUMPRODUCT(M88,'Assumptions-Retail'!$I$9)*(1+'Assumptions-Overall'!$C$35)^('CashFlow-Retail'!M$7-1)</f>
        <v>13700118.430207066</v>
      </c>
      <c r="N100" s="151">
        <f>SUMPRODUCT(N88,'Assumptions-Retail'!$I$9)*(1+'Assumptions-Overall'!$C$35)^('CashFlow-Retail'!N$7-1)</f>
        <v>14111121.98311328</v>
      </c>
    </row>
    <row r="101" spans="2:14" x14ac:dyDescent="0.65">
      <c r="B101" s="150" t="str">
        <f>'Assumptions-Retail'!$B$11</f>
        <v>Neighborhood</v>
      </c>
      <c r="C101" s="8"/>
      <c r="D101" s="146">
        <f>SUMPRODUCT(D91,'Assumptions-Retail'!$I$9)*(1+'Assumptions-Overall'!$C$35)^('CashFlow-Retail'!D$7-1)</f>
        <v>0</v>
      </c>
      <c r="E101" s="146">
        <f>SUMPRODUCT(E91,'Assumptions-Retail'!$I$9)*(1+'Assumptions-Overall'!$C$35)^('CashFlow-Retail'!E$7-1)</f>
        <v>0</v>
      </c>
      <c r="F101" s="146">
        <f>SUMPRODUCT(F91,'Assumptions-Retail'!$I$9)*(1+'Assumptions-Overall'!$C$35)^('CashFlow-Retail'!F$7-1)</f>
        <v>0</v>
      </c>
      <c r="G101" s="146">
        <f>SUMPRODUCT(G91,'Assumptions-Retail'!$I$9)*(1+'Assumptions-Overall'!$C$35)^('CashFlow-Retail'!G$7-1)</f>
        <v>147518.14499999999</v>
      </c>
      <c r="H101" s="146">
        <f>SUMPRODUCT(H91,'Assumptions-Retail'!$I$9)*(1+'Assumptions-Overall'!$C$35)^('CashFlow-Retail'!H$7-1)</f>
        <v>151943.68935</v>
      </c>
      <c r="I101" s="146">
        <f>SUMPRODUCT(I91,'Assumptions-Retail'!$I$9)*(1+'Assumptions-Overall'!$C$35)^('CashFlow-Retail'!I$7-1)</f>
        <v>156502.00003049997</v>
      </c>
      <c r="J101" s="146">
        <f>SUMPRODUCT(J91,'Assumptions-Retail'!$I$9)*(1+'Assumptions-Overall'!$C$35)^('CashFlow-Retail'!J$7-1)</f>
        <v>161197.06003141499</v>
      </c>
      <c r="K101" s="146">
        <f>SUMPRODUCT(K91,'Assumptions-Retail'!$I$9)*(1+'Assumptions-Overall'!$C$35)^('CashFlow-Retail'!K$7-1)</f>
        <v>166032.97183235743</v>
      </c>
      <c r="L101" s="146">
        <f>SUMPRODUCT(L91,'Assumptions-Retail'!$I$9)*(1+'Assumptions-Overall'!$C$35)^('CashFlow-Retail'!L$7-1)</f>
        <v>171013.96098732814</v>
      </c>
      <c r="M101" s="146">
        <f>SUMPRODUCT(M91,'Assumptions-Retail'!$I$9)*(1+'Assumptions-Overall'!$C$35)^('CashFlow-Retail'!M$7-1)</f>
        <v>176144.379816948</v>
      </c>
      <c r="N101" s="151">
        <f>SUMPRODUCT(N91,'Assumptions-Retail'!$I$9)*(1+'Assumptions-Overall'!$C$35)^('CashFlow-Retail'!N$7-1)</f>
        <v>181428.71121145645</v>
      </c>
    </row>
    <row r="102" spans="2:14" x14ac:dyDescent="0.65">
      <c r="B102" s="150" t="str">
        <f>'Assumptions-Retail'!$B$12</f>
        <v xml:space="preserve">Specialty </v>
      </c>
      <c r="C102" s="8"/>
      <c r="D102" s="144">
        <f>SUMPRODUCT(D94,'Assumptions-Retail'!$I$9)*(1+'Assumptions-Overall'!$C$35)^('CashFlow-Retail'!D$7-1)</f>
        <v>0</v>
      </c>
      <c r="E102" s="144">
        <f>SUMPRODUCT(E94,'Assumptions-Retail'!$I$9)*(1+'Assumptions-Overall'!$C$35)^('CashFlow-Retail'!E$7-1)</f>
        <v>0</v>
      </c>
      <c r="F102" s="144">
        <f>SUMPRODUCT(F94,'Assumptions-Retail'!$I$9)*(1+'Assumptions-Overall'!$C$35)^('CashFlow-Retail'!F$7-1)</f>
        <v>0</v>
      </c>
      <c r="G102" s="144">
        <f>SUMPRODUCT(G94,'Assumptions-Retail'!$I$9)*(1+'Assumptions-Overall'!$C$35)^('CashFlow-Retail'!G$7-1)</f>
        <v>767094.35400000005</v>
      </c>
      <c r="H102" s="144">
        <f>SUMPRODUCT(H94,'Assumptions-Retail'!$I$9)*(1+'Assumptions-Overall'!$C$35)^('CashFlow-Retail'!H$7-1)</f>
        <v>790107.18461999996</v>
      </c>
      <c r="I102" s="144">
        <f>SUMPRODUCT(I94,'Assumptions-Retail'!$I$9)*(1+'Assumptions-Overall'!$C$35)^('CashFlow-Retail'!I$7-1)</f>
        <v>813810.40015859983</v>
      </c>
      <c r="J102" s="144">
        <f>SUMPRODUCT(J94,'Assumptions-Retail'!$I$9)*(1+'Assumptions-Overall'!$C$35)^('CashFlow-Retail'!J$7-1)</f>
        <v>838224.712163358</v>
      </c>
      <c r="K102" s="144">
        <f>SUMPRODUCT(K94,'Assumptions-Retail'!$I$9)*(1+'Assumptions-Overall'!$C$35)^('CashFlow-Retail'!K$7-1)</f>
        <v>863371.45352825872</v>
      </c>
      <c r="L102" s="144">
        <f>SUMPRODUCT(L94,'Assumptions-Retail'!$I$9)*(1+'Assumptions-Overall'!$C$35)^('CashFlow-Retail'!L$7-1)</f>
        <v>889272.59713410633</v>
      </c>
      <c r="M102" s="144">
        <f>SUMPRODUCT(M94,'Assumptions-Retail'!$I$9)*(1+'Assumptions-Overall'!$C$35)^('CashFlow-Retail'!M$7-1)</f>
        <v>915950.77504812961</v>
      </c>
      <c r="N102" s="152">
        <f>SUMPRODUCT(N94,'Assumptions-Retail'!$I$9)*(1+'Assumptions-Overall'!$C$35)^('CashFlow-Retail'!N$7-1)</f>
        <v>943429.29829957348</v>
      </c>
    </row>
    <row r="103" spans="2:14" x14ac:dyDescent="0.65">
      <c r="B103" s="3" t="s">
        <v>230</v>
      </c>
      <c r="C103" s="8"/>
      <c r="D103" s="146">
        <f>SUM(D$99:D$102)</f>
        <v>0</v>
      </c>
      <c r="E103" s="146">
        <f t="shared" ref="E103:N103" si="36">SUM(E$99:E$102)</f>
        <v>0</v>
      </c>
      <c r="F103" s="146">
        <f t="shared" si="36"/>
        <v>0</v>
      </c>
      <c r="G103" s="146">
        <f t="shared" si="36"/>
        <v>12388245.999</v>
      </c>
      <c r="H103" s="146">
        <f t="shared" si="36"/>
        <v>12759893.378969999</v>
      </c>
      <c r="I103" s="146">
        <f t="shared" si="36"/>
        <v>13142690.180339098</v>
      </c>
      <c r="J103" s="146">
        <f t="shared" si="36"/>
        <v>13536970.885749273</v>
      </c>
      <c r="K103" s="146">
        <f t="shared" si="36"/>
        <v>13943080.012321752</v>
      </c>
      <c r="L103" s="146">
        <f t="shared" si="36"/>
        <v>14361372.412691401</v>
      </c>
      <c r="M103" s="146">
        <f t="shared" si="36"/>
        <v>14792213.585072143</v>
      </c>
      <c r="N103" s="151">
        <f t="shared" si="36"/>
        <v>15235979.992624309</v>
      </c>
    </row>
    <row r="104" spans="2:14" x14ac:dyDescent="0.65">
      <c r="B104" s="3"/>
      <c r="C104" s="8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51"/>
    </row>
    <row r="105" spans="2:14" x14ac:dyDescent="0.65">
      <c r="B105" s="449" t="s">
        <v>231</v>
      </c>
      <c r="C105" s="366"/>
      <c r="D105" s="366"/>
      <c r="E105" s="366"/>
      <c r="F105" s="366"/>
      <c r="G105" s="366"/>
      <c r="H105" s="366"/>
      <c r="I105" s="366"/>
      <c r="J105" s="366"/>
      <c r="K105" s="366"/>
      <c r="L105" s="366"/>
      <c r="M105" s="366"/>
      <c r="N105" s="393"/>
    </row>
    <row r="106" spans="2:14" x14ac:dyDescent="0.65">
      <c r="B106" s="448" t="str">
        <f>'Assumptions-Retail'!$B$9</f>
        <v>Food Hall</v>
      </c>
      <c r="C106" s="463"/>
      <c r="D106" s="446">
        <f>IFERROR(-SUM(D85)/D$81*D$121,0)</f>
        <v>0</v>
      </c>
      <c r="E106" s="446">
        <f t="shared" ref="E106:N106" si="37">IFERROR(-SUM(E85)/E$81*E$121,0)</f>
        <v>0</v>
      </c>
      <c r="F106" s="446">
        <f t="shared" si="37"/>
        <v>0</v>
      </c>
      <c r="G106" s="446">
        <f t="shared" si="37"/>
        <v>0</v>
      </c>
      <c r="H106" s="446">
        <f t="shared" si="37"/>
        <v>0</v>
      </c>
      <c r="I106" s="446">
        <f t="shared" si="37"/>
        <v>0</v>
      </c>
      <c r="J106" s="446">
        <f t="shared" si="37"/>
        <v>0</v>
      </c>
      <c r="K106" s="446">
        <f t="shared" si="37"/>
        <v>0</v>
      </c>
      <c r="L106" s="446">
        <f t="shared" si="37"/>
        <v>0</v>
      </c>
      <c r="M106" s="446">
        <f t="shared" si="37"/>
        <v>0</v>
      </c>
      <c r="N106" s="450">
        <f t="shared" si="37"/>
        <v>0</v>
      </c>
    </row>
    <row r="107" spans="2:14" x14ac:dyDescent="0.65">
      <c r="B107" s="448" t="str">
        <f>'Assumptions-Retail'!$B$10</f>
        <v>Big Box Retail Space</v>
      </c>
      <c r="C107" s="463"/>
      <c r="D107" s="446">
        <f>IFERROR(-SUM(D88)/D$81*D$121,0)</f>
        <v>0</v>
      </c>
      <c r="E107" s="446">
        <f t="shared" ref="E107:N107" si="38">IFERROR(-SUM(E88)/E$81*E$121,0)</f>
        <v>0</v>
      </c>
      <c r="F107" s="446">
        <f t="shared" si="38"/>
        <v>0</v>
      </c>
      <c r="G107" s="446">
        <f t="shared" si="38"/>
        <v>7649089</v>
      </c>
      <c r="H107" s="446">
        <f t="shared" si="38"/>
        <v>7878561.6699999999</v>
      </c>
      <c r="I107" s="446">
        <f t="shared" si="38"/>
        <v>8114918.5200999985</v>
      </c>
      <c r="J107" s="446">
        <f t="shared" si="38"/>
        <v>8358366.0757029988</v>
      </c>
      <c r="K107" s="446">
        <f t="shared" si="38"/>
        <v>8609117.0579740908</v>
      </c>
      <c r="L107" s="446">
        <f t="shared" si="38"/>
        <v>8867390.5697133113</v>
      </c>
      <c r="M107" s="446">
        <f t="shared" si="38"/>
        <v>9133412.2868047114</v>
      </c>
      <c r="N107" s="450">
        <f t="shared" si="38"/>
        <v>9407414.6554088518</v>
      </c>
    </row>
    <row r="108" spans="2:14" x14ac:dyDescent="0.65">
      <c r="B108" s="448" t="str">
        <f>'Assumptions-Retail'!$B$11</f>
        <v>Neighborhood</v>
      </c>
      <c r="C108" s="463"/>
      <c r="D108" s="446">
        <f>IFERROR(-SUM(D91)/D$81*D$121,0)</f>
        <v>0</v>
      </c>
      <c r="E108" s="446">
        <f t="shared" ref="E108:N108" si="39">IFERROR(-SUM(E91)/E$81*E$121,0)</f>
        <v>0</v>
      </c>
      <c r="F108" s="446">
        <f t="shared" si="39"/>
        <v>0</v>
      </c>
      <c r="G108" s="446">
        <f t="shared" si="39"/>
        <v>98345.430000000008</v>
      </c>
      <c r="H108" s="446">
        <f t="shared" si="39"/>
        <v>101295.7929</v>
      </c>
      <c r="I108" s="446">
        <f t="shared" si="39"/>
        <v>104334.66668699999</v>
      </c>
      <c r="J108" s="446">
        <f t="shared" si="39"/>
        <v>107464.70668761</v>
      </c>
      <c r="K108" s="446">
        <f t="shared" si="39"/>
        <v>110688.64788823831</v>
      </c>
      <c r="L108" s="446">
        <f t="shared" si="39"/>
        <v>114009.30732488543</v>
      </c>
      <c r="M108" s="446">
        <f t="shared" si="39"/>
        <v>117429.58654463201</v>
      </c>
      <c r="N108" s="450">
        <f t="shared" si="39"/>
        <v>120952.47414097097</v>
      </c>
    </row>
    <row r="109" spans="2:14" x14ac:dyDescent="0.65">
      <c r="B109" s="448" t="str">
        <f>'Assumptions-Retail'!$B$12</f>
        <v xml:space="preserve">Specialty </v>
      </c>
      <c r="C109" s="463"/>
      <c r="D109" s="446">
        <f>IFERROR(-SUM(D94)/D$81*D$121,0)</f>
        <v>0</v>
      </c>
      <c r="E109" s="446">
        <f t="shared" ref="E109:N109" si="40">IFERROR(-SUM(E94)/E$81*E$121,0)</f>
        <v>0</v>
      </c>
      <c r="F109" s="446">
        <f t="shared" si="40"/>
        <v>0</v>
      </c>
      <c r="G109" s="446">
        <f t="shared" si="40"/>
        <v>511396.23600000003</v>
      </c>
      <c r="H109" s="446">
        <f t="shared" si="40"/>
        <v>526738.12308000005</v>
      </c>
      <c r="I109" s="446">
        <f t="shared" si="40"/>
        <v>542540.26677239989</v>
      </c>
      <c r="J109" s="446">
        <f t="shared" si="40"/>
        <v>558816.47477557196</v>
      </c>
      <c r="K109" s="446">
        <f t="shared" si="40"/>
        <v>575580.96901883918</v>
      </c>
      <c r="L109" s="446">
        <f t="shared" si="40"/>
        <v>592848.39808940422</v>
      </c>
      <c r="M109" s="446">
        <f t="shared" si="40"/>
        <v>610633.85003208648</v>
      </c>
      <c r="N109" s="450">
        <f t="shared" si="40"/>
        <v>628952.86553304899</v>
      </c>
    </row>
    <row r="110" spans="2:14" x14ac:dyDescent="0.65">
      <c r="B110" s="391" t="s">
        <v>232</v>
      </c>
      <c r="C110" s="366"/>
      <c r="D110" s="446">
        <f>SUM(D106:D109)</f>
        <v>0</v>
      </c>
      <c r="E110" s="446">
        <f t="shared" ref="E110:N110" si="41">SUM(E106:E109)</f>
        <v>0</v>
      </c>
      <c r="F110" s="446">
        <f t="shared" si="41"/>
        <v>0</v>
      </c>
      <c r="G110" s="446">
        <f t="shared" si="41"/>
        <v>8258830.6659999993</v>
      </c>
      <c r="H110" s="446">
        <f>SUM(H106:H109)</f>
        <v>8506595.58598</v>
      </c>
      <c r="I110" s="446">
        <f t="shared" si="41"/>
        <v>8761793.4535593987</v>
      </c>
      <c r="J110" s="446">
        <f t="shared" si="41"/>
        <v>9024647.2571661808</v>
      </c>
      <c r="K110" s="446">
        <f t="shared" si="41"/>
        <v>9295386.6748811677</v>
      </c>
      <c r="L110" s="446">
        <f t="shared" si="41"/>
        <v>9574248.2751276009</v>
      </c>
      <c r="M110" s="446">
        <f t="shared" si="41"/>
        <v>9861475.7233814299</v>
      </c>
      <c r="N110" s="450">
        <f t="shared" si="41"/>
        <v>10157319.995082872</v>
      </c>
    </row>
    <row r="111" spans="2:14" x14ac:dyDescent="0.65">
      <c r="B111" s="3"/>
      <c r="C111" s="8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51"/>
    </row>
    <row r="112" spans="2:14" x14ac:dyDescent="0.65">
      <c r="B112" s="3" t="s">
        <v>201</v>
      </c>
      <c r="C112" s="8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51"/>
    </row>
    <row r="113" spans="2:14" x14ac:dyDescent="0.65">
      <c r="B113" s="150" t="str">
        <f>'Assumptions-Retail'!$B$9</f>
        <v>Food Hall</v>
      </c>
      <c r="C113" s="8"/>
      <c r="D113" s="146">
        <f>-(D99+D106)*'Assumptions-Retail'!$N8</f>
        <v>0</v>
      </c>
      <c r="E113" s="146">
        <f>-(E99+E106)*'Assumptions-Retail'!$N8</f>
        <v>0</v>
      </c>
      <c r="F113" s="146">
        <f>-(F99+F106)*'Assumptions-Retail'!$N8</f>
        <v>0</v>
      </c>
      <c r="G113" s="146">
        <f>-(G99+G106)*'Assumptions-Retail'!$N8</f>
        <v>0</v>
      </c>
      <c r="H113" s="146">
        <f>-(H99+H106)*'Assumptions-Retail'!$N8</f>
        <v>0</v>
      </c>
      <c r="I113" s="146">
        <f>-(I99+I106)*'Assumptions-Retail'!$N8</f>
        <v>0</v>
      </c>
      <c r="J113" s="146">
        <f>-(J99+J106)*'Assumptions-Retail'!$N8</f>
        <v>0</v>
      </c>
      <c r="K113" s="146">
        <f>-(K99+K106)*'Assumptions-Retail'!$N8</f>
        <v>0</v>
      </c>
      <c r="L113" s="146">
        <f>-(L99+L106)*'Assumptions-Retail'!$N8</f>
        <v>0</v>
      </c>
      <c r="M113" s="146">
        <f>-(M99+M106)*'Assumptions-Retail'!$N8</f>
        <v>0</v>
      </c>
      <c r="N113" s="151"/>
    </row>
    <row r="114" spans="2:14" x14ac:dyDescent="0.65">
      <c r="B114" s="150" t="str">
        <f>'Assumptions-Retail'!$B$10</f>
        <v>Big Box Retail Space</v>
      </c>
      <c r="C114" s="8"/>
      <c r="D114" s="146">
        <f>-(D100+D107)*'Assumptions-Retail'!$N9</f>
        <v>0</v>
      </c>
      <c r="E114" s="146">
        <f>-(E100+E107)*'Assumptions-Retail'!$N9</f>
        <v>0</v>
      </c>
      <c r="F114" s="146">
        <f>-(F100+F107)*'Assumptions-Retail'!$N9</f>
        <v>0</v>
      </c>
      <c r="G114" s="146">
        <f>-(G100+G107)*'Assumptions-Retail'!$N9</f>
        <v>-956136.125</v>
      </c>
      <c r="H114" s="146">
        <f>-(H100+H107)*'Assumptions-Retail'!$N9</f>
        <v>-984820.20874999987</v>
      </c>
      <c r="I114" s="146">
        <f>-(I100+I107)*'Assumptions-Retail'!$N9</f>
        <v>-1014364.8150124999</v>
      </c>
      <c r="J114" s="146">
        <f>-(J100+J107)*'Assumptions-Retail'!$N9</f>
        <v>-1044795.7594628748</v>
      </c>
      <c r="K114" s="146">
        <f>-(K100+K107)*'Assumptions-Retail'!$N9</f>
        <v>-1076139.6322467613</v>
      </c>
      <c r="L114" s="146">
        <f>-(L100+L107)*'Assumptions-Retail'!$N9</f>
        <v>-1108423.8212141641</v>
      </c>
      <c r="M114" s="146">
        <f>-(M100+M107)*'Assumptions-Retail'!$N9</f>
        <v>-1141676.5358505889</v>
      </c>
      <c r="N114" s="151">
        <f>-(N100+N107)*'Assumptions-Retail'!$N9</f>
        <v>-1175926.8319261067</v>
      </c>
    </row>
    <row r="115" spans="2:14" x14ac:dyDescent="0.65">
      <c r="B115" s="150" t="str">
        <f>'Assumptions-Retail'!$B$11</f>
        <v>Neighborhood</v>
      </c>
      <c r="C115" s="8"/>
      <c r="D115" s="146">
        <f>-(D101+D108)*'Assumptions-Retail'!$N10</f>
        <v>0</v>
      </c>
      <c r="E115" s="146">
        <f>-(E101+E108)*'Assumptions-Retail'!$N10</f>
        <v>0</v>
      </c>
      <c r="F115" s="146">
        <f>-(F101+F108)*'Assumptions-Retail'!$N10</f>
        <v>0</v>
      </c>
      <c r="G115" s="146">
        <f>-(G101+G108)*'Assumptions-Retail'!$N10</f>
        <v>-36879.536249999997</v>
      </c>
      <c r="H115" s="146">
        <f>-(H101+H108)*'Assumptions-Retail'!$N10</f>
        <v>-37985.9223375</v>
      </c>
      <c r="I115" s="146">
        <f>-(I101+I108)*'Assumptions-Retail'!$N10</f>
        <v>-39125.500007624993</v>
      </c>
      <c r="J115" s="146">
        <f>-(J101+J108)*'Assumptions-Retail'!$N10</f>
        <v>-40299.265007853748</v>
      </c>
      <c r="K115" s="146">
        <f>-(K101+K108)*'Assumptions-Retail'!$N10</f>
        <v>-41508.242958089366</v>
      </c>
      <c r="L115" s="146">
        <f>-(L101+L108)*'Assumptions-Retail'!$N10</f>
        <v>-42753.490246832036</v>
      </c>
      <c r="M115" s="146">
        <f>-(M101+M108)*'Assumptions-Retail'!$N10</f>
        <v>-44036.094954237</v>
      </c>
      <c r="N115" s="151">
        <f>-(N101+N108)*'Assumptions-Retail'!$N10</f>
        <v>-45357.177802864113</v>
      </c>
    </row>
    <row r="116" spans="2:14" x14ac:dyDescent="0.65">
      <c r="B116" s="150" t="str">
        <f>'Assumptions-Retail'!$B$12</f>
        <v xml:space="preserve">Specialty </v>
      </c>
      <c r="C116" s="8"/>
      <c r="D116" s="146">
        <f>-(D102+D109)*'Assumptions-Retail'!$N11</f>
        <v>0</v>
      </c>
      <c r="E116" s="146">
        <f>-(E102+E109)*'Assumptions-Retail'!$N11</f>
        <v>0</v>
      </c>
      <c r="F116" s="146">
        <f>-(F102+F109)*'Assumptions-Retail'!$N11</f>
        <v>0</v>
      </c>
      <c r="G116" s="146">
        <f>-(G102+G109)*'Assumptions-Retail'!$N11</f>
        <v>-191773.58850000001</v>
      </c>
      <c r="H116" s="146">
        <f>-(H102+H109)*'Assumptions-Retail'!$N11</f>
        <v>-197526.79615499999</v>
      </c>
      <c r="I116" s="146">
        <f>-(I102+I109)*'Assumptions-Retail'!$N11</f>
        <v>-203452.60003964993</v>
      </c>
      <c r="J116" s="146">
        <f>-(J102+J109)*'Assumptions-Retail'!$N11</f>
        <v>-209556.17804083947</v>
      </c>
      <c r="K116" s="146">
        <f>-(K102+K109)*'Assumptions-Retail'!$N11</f>
        <v>-215842.86338206465</v>
      </c>
      <c r="L116" s="146">
        <f>-(L102+L109)*'Assumptions-Retail'!$N11</f>
        <v>-222318.14928352658</v>
      </c>
      <c r="M116" s="146">
        <f>-(M102+M109)*'Assumptions-Retail'!$N11</f>
        <v>-228987.69376203243</v>
      </c>
      <c r="N116" s="151">
        <f>-(N102+N109)*'Assumptions-Retail'!$N11</f>
        <v>-235857.32457489337</v>
      </c>
    </row>
    <row r="117" spans="2:14" x14ac:dyDescent="0.65">
      <c r="B117" s="3" t="s">
        <v>204</v>
      </c>
      <c r="C117" s="8"/>
      <c r="D117" s="146">
        <f t="shared" ref="D117:N117" si="42">SUM(D113:D116)</f>
        <v>0</v>
      </c>
      <c r="E117" s="146">
        <f t="shared" si="42"/>
        <v>0</v>
      </c>
      <c r="F117" s="146">
        <f t="shared" si="42"/>
        <v>0</v>
      </c>
      <c r="G117" s="146">
        <f t="shared" si="42"/>
        <v>-1184789.24975</v>
      </c>
      <c r="H117" s="146">
        <f t="shared" si="42"/>
        <v>-1220332.9272424998</v>
      </c>
      <c r="I117" s="146">
        <f t="shared" si="42"/>
        <v>-1256942.9150597749</v>
      </c>
      <c r="J117" s="146">
        <f t="shared" si="42"/>
        <v>-1294651.2025115681</v>
      </c>
      <c r="K117" s="146">
        <f t="shared" si="42"/>
        <v>-1333490.7385869154</v>
      </c>
      <c r="L117" s="146">
        <f t="shared" si="42"/>
        <v>-1373495.460744523</v>
      </c>
      <c r="M117" s="146">
        <f t="shared" si="42"/>
        <v>-1414700.3245668584</v>
      </c>
      <c r="N117" s="151">
        <f t="shared" si="42"/>
        <v>-1457141.3343038643</v>
      </c>
    </row>
    <row r="118" spans="2:14" x14ac:dyDescent="0.65">
      <c r="B118" s="3"/>
      <c r="C118" s="8"/>
      <c r="D118" s="146"/>
      <c r="E118" s="146"/>
      <c r="F118" s="146"/>
      <c r="G118" s="146"/>
      <c r="H118" s="128"/>
      <c r="I118" s="146"/>
      <c r="J118" s="146"/>
      <c r="K118" s="146"/>
      <c r="L118" s="146"/>
      <c r="M118" s="146"/>
      <c r="N118" s="151"/>
    </row>
    <row r="119" spans="2:14" x14ac:dyDescent="0.65">
      <c r="B119" s="3" t="s">
        <v>205</v>
      </c>
      <c r="C119" s="8"/>
      <c r="D119" s="145">
        <f>D103+D110+D117</f>
        <v>0</v>
      </c>
      <c r="E119" s="145">
        <f t="shared" ref="E119:N119" si="43">E103+E110+E117</f>
        <v>0</v>
      </c>
      <c r="F119" s="145">
        <f t="shared" si="43"/>
        <v>0</v>
      </c>
      <c r="G119" s="145">
        <f t="shared" si="43"/>
        <v>19462287.41525</v>
      </c>
      <c r="H119" s="145">
        <f t="shared" si="43"/>
        <v>20046156.0377075</v>
      </c>
      <c r="I119" s="145">
        <f t="shared" si="43"/>
        <v>20647540.718838722</v>
      </c>
      <c r="J119" s="145">
        <f t="shared" si="43"/>
        <v>21266966.940403886</v>
      </c>
      <c r="K119" s="145">
        <f t="shared" si="43"/>
        <v>21904975.948616005</v>
      </c>
      <c r="L119" s="145">
        <f t="shared" si="43"/>
        <v>22562125.227074482</v>
      </c>
      <c r="M119" s="145">
        <f t="shared" si="43"/>
        <v>23238988.983886715</v>
      </c>
      <c r="N119" s="153">
        <f t="shared" si="43"/>
        <v>23936158.653403319</v>
      </c>
    </row>
    <row r="120" spans="2:14" x14ac:dyDescent="0.65">
      <c r="B120" s="3"/>
      <c r="C120" s="8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51"/>
    </row>
    <row r="121" spans="2:14" x14ac:dyDescent="0.65">
      <c r="B121" s="3" t="s">
        <v>207</v>
      </c>
      <c r="C121" s="8"/>
      <c r="D121" s="146">
        <f>-D81*'Assumptions-Retail'!$N$13*(1+'Assumptions-Overall'!$C$39)^('CashFlow-Retail'!D$7-1)</f>
        <v>0</v>
      </c>
      <c r="E121" s="146">
        <f>-E81*'Assumptions-Retail'!$N$13*(1+'Assumptions-Overall'!$C$39)^('CashFlow-Retail'!E$7-1)</f>
        <v>0</v>
      </c>
      <c r="F121" s="146">
        <f>-F81*'Assumptions-Retail'!$N$13*(1+'Assumptions-Overall'!$C$39)^('CashFlow-Retail'!F$7-1)</f>
        <v>0</v>
      </c>
      <c r="G121" s="146">
        <f>-G81*'Assumptions-Retail'!$N$13*(1+'Assumptions-Overall'!$C$39)^('CashFlow-Retail'!G$7-1)</f>
        <v>-8258830.6660000002</v>
      </c>
      <c r="H121" s="146">
        <f>-H81*'Assumptions-Retail'!$N$13*(1+'Assumptions-Overall'!$C$39)^('CashFlow-Retail'!H$7-1)</f>
        <v>-8506595.58598</v>
      </c>
      <c r="I121" s="146">
        <f>-I81*'Assumptions-Retail'!$N$13*(1+'Assumptions-Overall'!$C$39)^('CashFlow-Retail'!I$7-1)</f>
        <v>-8761793.4535593987</v>
      </c>
      <c r="J121" s="146">
        <f>-J81*'Assumptions-Retail'!$N$13*(1+'Assumptions-Overall'!$C$39)^('CashFlow-Retail'!J$7-1)</f>
        <v>-9024647.2571661808</v>
      </c>
      <c r="K121" s="146">
        <f>-K81*'Assumptions-Retail'!$N$13*(1+'Assumptions-Overall'!$C$39)^('CashFlow-Retail'!K$7-1)</f>
        <v>-9295386.6748811677</v>
      </c>
      <c r="L121" s="146">
        <f>-L81*'Assumptions-Retail'!$N$13*(1+'Assumptions-Overall'!$C$39)^('CashFlow-Retail'!L$7-1)</f>
        <v>-9574248.2751276009</v>
      </c>
      <c r="M121" s="146">
        <f>-M81*'Assumptions-Retail'!$N$13*(1+'Assumptions-Overall'!$C$39)^('CashFlow-Retail'!M$7-1)</f>
        <v>-9861475.7233814299</v>
      </c>
      <c r="N121" s="151">
        <f>-N81*'Assumptions-Retail'!$N$13*(1+'Assumptions-Overall'!$C$39)^('CashFlow-Retail'!N$7-1)</f>
        <v>-10157319.995082872</v>
      </c>
    </row>
    <row r="122" spans="2:14" x14ac:dyDescent="0.65">
      <c r="B122" s="3"/>
      <c r="C122" s="8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51"/>
    </row>
    <row r="123" spans="2:14" x14ac:dyDescent="0.65">
      <c r="B123" s="3" t="s">
        <v>209</v>
      </c>
      <c r="C123" s="8"/>
      <c r="D123" s="145">
        <f t="shared" ref="D123:N123" si="44">SUM(D$119:D$121)</f>
        <v>0</v>
      </c>
      <c r="E123" s="145">
        <f t="shared" si="44"/>
        <v>0</v>
      </c>
      <c r="F123" s="145">
        <f t="shared" si="44"/>
        <v>0</v>
      </c>
      <c r="G123" s="145">
        <f t="shared" si="44"/>
        <v>11203456.749249998</v>
      </c>
      <c r="H123" s="145">
        <f t="shared" si="44"/>
        <v>11539560.4517275</v>
      </c>
      <c r="I123" s="145">
        <f t="shared" si="44"/>
        <v>11885747.265279323</v>
      </c>
      <c r="J123" s="145">
        <f t="shared" si="44"/>
        <v>12242319.683237705</v>
      </c>
      <c r="K123" s="145">
        <f t="shared" si="44"/>
        <v>12609589.273734838</v>
      </c>
      <c r="L123" s="145">
        <f t="shared" si="44"/>
        <v>12987876.951946881</v>
      </c>
      <c r="M123" s="145">
        <f t="shared" si="44"/>
        <v>13377513.260505285</v>
      </c>
      <c r="N123" s="153">
        <f t="shared" si="44"/>
        <v>13778838.658320447</v>
      </c>
    </row>
    <row r="124" spans="2:14" x14ac:dyDescent="0.65">
      <c r="B124" s="3"/>
      <c r="C124" s="8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59"/>
    </row>
    <row r="125" spans="2:14" x14ac:dyDescent="0.65">
      <c r="B125" s="3" t="s">
        <v>189</v>
      </c>
      <c r="C125" s="8"/>
      <c r="D125" s="146">
        <f>-D81*'Assumptions-Retail'!$N$15*(1+'Assumptions-Overall'!$C$40)^('CashFlow-Retail'!D$7-1)</f>
        <v>0</v>
      </c>
      <c r="E125" s="146">
        <f>-E81*'Assumptions-Retail'!$N$15*(1+'Assumptions-Overall'!$C$40)^('CashFlow-Retail'!E$7-1)</f>
        <v>0</v>
      </c>
      <c r="F125" s="146">
        <f>-F81*'Assumptions-Retail'!$N$15*(1+'Assumptions-Overall'!$C$40)^('CashFlow-Retail'!F$7-1)</f>
        <v>0</v>
      </c>
      <c r="G125" s="146">
        <f>-G81*'Assumptions-Retail'!$N$15*(1+'Assumptions-Overall'!$C$40)^('CashFlow-Retail'!G$7-1)</f>
        <v>-82588.306660000002</v>
      </c>
      <c r="H125" s="146">
        <f>-H81*'Assumptions-Retail'!$N$15*(1+'Assumptions-Overall'!$C$40)^('CashFlow-Retail'!H$7-1)</f>
        <v>-85065.9558598</v>
      </c>
      <c r="I125" s="146">
        <f>-I81*'Assumptions-Retail'!$N$15*(1+'Assumptions-Overall'!$C$40)^('CashFlow-Retail'!I$7-1)</f>
        <v>-87617.934535593988</v>
      </c>
      <c r="J125" s="146">
        <f>-J81*'Assumptions-Retail'!$N$15*(1+'Assumptions-Overall'!$C$40)^('CashFlow-Retail'!J$7-1)</f>
        <v>-90246.472571661812</v>
      </c>
      <c r="K125" s="146">
        <f>-K81*'Assumptions-Retail'!$N$15*(1+'Assumptions-Overall'!$C$40)^('CashFlow-Retail'!K$7-1)</f>
        <v>-92953.866748811677</v>
      </c>
      <c r="L125" s="146">
        <f>-L81*'Assumptions-Retail'!$N$15*(1+'Assumptions-Overall'!$C$40)^('CashFlow-Retail'!L$7-1)</f>
        <v>-95742.482751276009</v>
      </c>
      <c r="M125" s="146">
        <f>-M81*'Assumptions-Retail'!$N$15*(1+'Assumptions-Overall'!$C$40)^('CashFlow-Retail'!M$7-1)</f>
        <v>-98614.757233814293</v>
      </c>
      <c r="N125" s="151"/>
    </row>
    <row r="126" spans="2:14" x14ac:dyDescent="0.65">
      <c r="B126" s="3"/>
      <c r="C126" s="8"/>
      <c r="D126" s="146"/>
      <c r="E126" s="146"/>
      <c r="F126" s="146"/>
      <c r="G126" s="146"/>
      <c r="H126" s="146"/>
      <c r="I126" s="146"/>
      <c r="J126" s="146"/>
      <c r="K126" s="146"/>
      <c r="L126" s="146"/>
      <c r="M126" s="146"/>
      <c r="N126" s="151"/>
    </row>
    <row r="127" spans="2:14" x14ac:dyDescent="0.65">
      <c r="B127" s="3" t="s">
        <v>208</v>
      </c>
      <c r="C127" s="8"/>
      <c r="D127" s="145">
        <f t="shared" ref="D127:M127" si="45">SUM(D$123:D$125)</f>
        <v>0</v>
      </c>
      <c r="E127" s="145">
        <f t="shared" si="45"/>
        <v>0</v>
      </c>
      <c r="F127" s="145">
        <f t="shared" si="45"/>
        <v>0</v>
      </c>
      <c r="G127" s="145">
        <f t="shared" si="45"/>
        <v>11120868.442589998</v>
      </c>
      <c r="H127" s="145">
        <f t="shared" si="45"/>
        <v>11454494.495867699</v>
      </c>
      <c r="I127" s="145">
        <f t="shared" si="45"/>
        <v>11798129.330743728</v>
      </c>
      <c r="J127" s="145">
        <f t="shared" si="45"/>
        <v>12152073.210666044</v>
      </c>
      <c r="K127" s="145">
        <f t="shared" si="45"/>
        <v>12516635.406986026</v>
      </c>
      <c r="L127" s="145">
        <f t="shared" si="45"/>
        <v>12892134.469195604</v>
      </c>
      <c r="M127" s="145">
        <f t="shared" si="45"/>
        <v>13278898.503271472</v>
      </c>
      <c r="N127" s="153"/>
    </row>
    <row r="128" spans="2:14" x14ac:dyDescent="0.65">
      <c r="B128" s="3"/>
      <c r="C128" s="8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51"/>
    </row>
    <row r="129" spans="2:14" x14ac:dyDescent="0.65">
      <c r="B129" s="36" t="s">
        <v>130</v>
      </c>
      <c r="C129" s="8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51"/>
    </row>
    <row r="130" spans="2:14" x14ac:dyDescent="0.65">
      <c r="B130" s="3" t="s">
        <v>473</v>
      </c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9"/>
    </row>
    <row r="131" spans="2:14" x14ac:dyDescent="0.65">
      <c r="B131" s="150" t="str">
        <f>'Assumptions-Retail'!$B$9</f>
        <v>Food Hall</v>
      </c>
      <c r="C131" s="8"/>
      <c r="D131" s="146">
        <f>(-(AND(D$8&gt;=YEAR(PhaseIIConBegin),D$8&lt;=YEAR(PhaseIIConEnd)))*SUM($D85:$N85)*'Assumptions-Overall'!$J16*(1+'Assumptions-Overall'!$C$41)^('CashFlow-Retail'!D$7-1)/(YEAR(PhaseIIConEnd)-YEAR(PhaseIIConBegin)+1))/(YEAR(PhaseIIConEnd)-YEAR(PhaseIIConBegin)+1)</f>
        <v>0</v>
      </c>
      <c r="E131" s="146">
        <f>(-(AND(E$8&gt;=YEAR(PhaseIIConBegin),E$8&lt;=YEAR(PhaseIIConEnd)))*SUM($D85:$N85)*'Assumptions-Overall'!$J16*(1+'Assumptions-Overall'!$C$41)^('CashFlow-Retail'!E$7-1)/(YEAR(PhaseIIConEnd)-YEAR(PhaseIIConBegin)+1))/(YEAR(PhaseIIConEnd)-YEAR(PhaseIIConBegin)+1)</f>
        <v>0</v>
      </c>
      <c r="F131" s="146">
        <f>(-(AND(F$8&gt;=YEAR(PhaseIIConBegin),F$8&lt;=YEAR(PhaseIIConEnd)))*SUM($D85:$N85)*'Assumptions-Overall'!$J16*(1+'Assumptions-Overall'!$C$41)^('CashFlow-Retail'!F$7-1)/(YEAR(PhaseIIConEnd)-YEAR(PhaseIIConBegin)+1))/(YEAR(PhaseIIConEnd)-YEAR(PhaseIIConBegin)+1)</f>
        <v>0</v>
      </c>
      <c r="G131" s="146">
        <f>(-(AND(G$8&gt;=YEAR(PhaseIIConBegin),G$8&lt;=YEAR(PhaseIIConEnd)))*SUM($D85:$N85)*'Assumptions-Overall'!$J16*(1+'Assumptions-Overall'!$C$41)^('CashFlow-Retail'!G$7-1)/(YEAR(PhaseIIConEnd)-YEAR(PhaseIIConBegin)+1))/(YEAR(PhaseIIConEnd)-YEAR(PhaseIIConBegin)+1)</f>
        <v>0</v>
      </c>
      <c r="H131" s="146">
        <f>(-(AND(H$8&gt;=YEAR(PhaseIIConBegin),H$8&lt;=YEAR(PhaseIIConEnd)))*SUM($D85:$N85)*'Assumptions-Overall'!$J16*(1+'Assumptions-Overall'!$C$41)^('CashFlow-Retail'!H$7-1)/(YEAR(PhaseIIConEnd)-YEAR(PhaseIIConBegin)+1))/(YEAR(PhaseIIConEnd)-YEAR(PhaseIIConBegin)+1)</f>
        <v>0</v>
      </c>
      <c r="I131" s="146">
        <f>(-(AND(I$8&gt;=YEAR(PhaseIIConBegin),I$8&lt;=YEAR(PhaseIIConEnd)))*SUM($D85:$N85)*'Assumptions-Overall'!$J16*(1+'Assumptions-Overall'!$C$41)^('CashFlow-Retail'!I$7-1)/(YEAR(PhaseIIConEnd)-YEAR(PhaseIIConBegin)+1))/(YEAR(PhaseIIConEnd)-YEAR(PhaseIIConBegin)+1)</f>
        <v>0</v>
      </c>
      <c r="J131" s="146">
        <f>(-(AND(J$8&gt;=YEAR(PhaseIIConBegin),J$8&lt;=YEAR(PhaseIIConEnd)))*SUM($D85:$N85)*'Assumptions-Overall'!$J16*(1+'Assumptions-Overall'!$C$41)^('CashFlow-Retail'!J$7-1)/(YEAR(PhaseIIConEnd)-YEAR(PhaseIIConBegin)+1))/(YEAR(PhaseIIConEnd)-YEAR(PhaseIIConBegin)+1)</f>
        <v>0</v>
      </c>
      <c r="K131" s="146">
        <f>(-(AND(K$8&gt;=YEAR(PhaseIIConBegin),K$8&lt;=YEAR(PhaseIIConEnd)))*SUM($D85:$N85)*'Assumptions-Overall'!$J16*(1+'Assumptions-Overall'!$C$41)^('CashFlow-Retail'!K$7-1)/(YEAR(PhaseIIConEnd)-YEAR(PhaseIIConBegin)+1))/(YEAR(PhaseIIConEnd)-YEAR(PhaseIIConBegin)+1)</f>
        <v>0</v>
      </c>
      <c r="L131" s="146">
        <f>(-(AND(L$8&gt;=YEAR(PhaseIIConBegin),L$8&lt;=YEAR(PhaseIIConEnd)))*SUM($D85:$N85)*'Assumptions-Overall'!$J16*(1+'Assumptions-Overall'!$C$41)^('CashFlow-Retail'!L$7-1)/(YEAR(PhaseIIConEnd)-YEAR(PhaseIIConBegin)+1))/(YEAR(PhaseIIConEnd)-YEAR(PhaseIIConBegin)+1)</f>
        <v>0</v>
      </c>
      <c r="M131" s="146">
        <f>(-(AND(M$8&gt;=YEAR(PhaseIIConBegin),M$8&lt;=YEAR(PhaseIIConEnd)))*SUM($D85:$N85)*'Assumptions-Overall'!$J16*(1+'Assumptions-Overall'!$C$41)^('CashFlow-Retail'!M$7-1)/(YEAR(PhaseIIConEnd)-YEAR(PhaseIIConBegin)+1))/(YEAR(PhaseIIConEnd)-YEAR(PhaseIIConBegin)+1)</f>
        <v>0</v>
      </c>
      <c r="N131" s="151"/>
    </row>
    <row r="132" spans="2:14" x14ac:dyDescent="0.65">
      <c r="B132" s="150" t="str">
        <f>'Assumptions-Retail'!$B$10</f>
        <v>Big Box Retail Space</v>
      </c>
      <c r="C132" s="8"/>
      <c r="D132" s="146">
        <f>(-(AND(D$8&gt;=YEAR(PhaseIIConBegin),D$8&lt;=YEAR(PhaseIIConEnd)))*SUM($D88:$N88)*'Assumptions-Overall'!$J18*(1+'Assumptions-Overall'!$C$41)^('CashFlow-Retail'!D$7-1)/(YEAR(PhaseIIConEnd)-YEAR(PhaseIIConBegin)+1))/(YEAR(PhaseIIConEnd)-YEAR(PhaseIIConBegin)+1)</f>
        <v>0</v>
      </c>
      <c r="E132" s="146">
        <f>(-(AND(E$8&gt;=YEAR(PhaseIIConBegin),E$8&lt;=YEAR(PhaseIIConEnd)))*SUM($D88:$N88)*'Assumptions-Overall'!$J18*(1+'Assumptions-Overall'!$C$41)^('CashFlow-Retail'!E$7-1)/(YEAR(PhaseIIConEnd)-YEAR(PhaseIIConBegin)+1))/(YEAR(PhaseIIConEnd)-YEAR(PhaseIIConBegin)+1)</f>
        <v>0</v>
      </c>
      <c r="F132" s="146">
        <f>(-(AND(F$8&gt;=YEAR(PhaseIIConBegin),F$8&lt;=YEAR(PhaseIIConEnd)))*SUM($D89:$N89)*'Assumptions-Overall'!$J18*(1+'Assumptions-Overall'!$C$41)^('CashFlow-Retail'!F$7-1)/(YEAR(PhaseIIConEnd)-YEAR(PhaseIIConBegin)+1))/(YEAR(PhaseIIConEnd)-YEAR(PhaseIIConBegin)+1)</f>
        <v>-9282875</v>
      </c>
      <c r="G132" s="146">
        <f>(-(AND(G$8&gt;=YEAR(PhaseIIConBegin),G$8&lt;=YEAR(PhaseIIConEnd)))*SUM($D89:$N89)*'Assumptions-Overall'!$J18*(1+'Assumptions-Overall'!$C$41)^('CashFlow-Retail'!G$7-1)/(YEAR(PhaseIIConEnd)-YEAR(PhaseIIConBegin)+1))/(YEAR(PhaseIIConEnd)-YEAR(PhaseIIConBegin)+1)</f>
        <v>-9561361.25</v>
      </c>
      <c r="H132" s="146">
        <f>(-(AND(H$8&gt;=YEAR(PhaseIIConBegin),H$8&lt;=YEAR(PhaseIIConEnd)))*SUM($D88:$N88)*'Assumptions-Overall'!$J18*(1+'Assumptions-Overall'!$C$41)^('CashFlow-Retail'!H$7-1)/(YEAR(PhaseIIConEnd)-YEAR(PhaseIIConBegin)+1))/(YEAR(PhaseIIConEnd)-YEAR(PhaseIIConBegin)+1)</f>
        <v>0</v>
      </c>
      <c r="I132" s="146">
        <f>(-(AND(I$8&gt;=YEAR(PhaseIIConBegin),I$8&lt;=YEAR(PhaseIIConEnd)))*SUM($D88:$N88)*'Assumptions-Overall'!$J18*(1+'Assumptions-Overall'!$C$41)^('CashFlow-Retail'!I$7-1)/(YEAR(PhaseIIConEnd)-YEAR(PhaseIIConBegin)+1))/(YEAR(PhaseIIConEnd)-YEAR(PhaseIIConBegin)+1)</f>
        <v>0</v>
      </c>
      <c r="J132" s="146">
        <f>(-(AND(J$8&gt;=YEAR(PhaseIIConBegin),J$8&lt;=YEAR(PhaseIIConEnd)))*SUM($D88:$N88)*'Assumptions-Overall'!$J18*(1+'Assumptions-Overall'!$C$41)^('CashFlow-Retail'!J$7-1)/(YEAR(PhaseIIConEnd)-YEAR(PhaseIIConBegin)+1))/(YEAR(PhaseIIConEnd)-YEAR(PhaseIIConBegin)+1)</f>
        <v>0</v>
      </c>
      <c r="K132" s="146">
        <f>(-(AND(K$8&gt;=YEAR(PhaseIIConBegin),K$8&lt;=YEAR(PhaseIIConEnd)))*SUM($D88:$N88)*'Assumptions-Overall'!$J18*(1+'Assumptions-Overall'!$C$41)^('CashFlow-Retail'!K$7-1)/(YEAR(PhaseIIConEnd)-YEAR(PhaseIIConBegin)+1))/(YEAR(PhaseIIConEnd)-YEAR(PhaseIIConBegin)+1)</f>
        <v>0</v>
      </c>
      <c r="L132" s="146">
        <f>(-(AND(L$8&gt;=YEAR(PhaseIIConBegin),L$8&lt;=YEAR(PhaseIIConEnd)))*SUM($D88:$N88)*'Assumptions-Overall'!$J18*(1+'Assumptions-Overall'!$C$41)^('CashFlow-Retail'!L$7-1)/(YEAR(PhaseIIConEnd)-YEAR(PhaseIIConBegin)+1))/(YEAR(PhaseIIConEnd)-YEAR(PhaseIIConBegin)+1)</f>
        <v>0</v>
      </c>
      <c r="M132" s="146">
        <f>(-(AND(M$8&gt;=YEAR(PhaseIIConBegin),M$8&lt;=YEAR(PhaseIIConEnd)))*SUM($D88:$N88)*'Assumptions-Overall'!$J18*(1+'Assumptions-Overall'!$C$41)^('CashFlow-Retail'!M$7-1)/(YEAR(PhaseIIConEnd)-YEAR(PhaseIIConBegin)+1))/(YEAR(PhaseIIConEnd)-YEAR(PhaseIIConBegin)+1)</f>
        <v>0</v>
      </c>
      <c r="N132" s="151"/>
    </row>
    <row r="133" spans="2:14" x14ac:dyDescent="0.65">
      <c r="B133" s="150" t="str">
        <f>'Assumptions-Retail'!$B$11</f>
        <v>Neighborhood</v>
      </c>
      <c r="C133" s="8"/>
      <c r="D133" s="146">
        <f>(-(AND(D$8&gt;=YEAR(PhaseIIConBegin),D$8&lt;=YEAR(PhaseIIConEnd)))*SUM($D91:$N91)*'Assumptions-Overall'!$J17*(1+'Assumptions-Overall'!$C$41)^('CashFlow-Retail'!D$7-1)/(YEAR(PhaseIIConEnd)-YEAR(PhaseIIConBegin)+1))/(YEAR(PhaseIIConEnd)-YEAR(PhaseIIConBegin)+1)</f>
        <v>0</v>
      </c>
      <c r="E133" s="146">
        <f>(-(AND(E$8&gt;=YEAR(PhaseIIConBegin),E$8&lt;=YEAR(PhaseIIConEnd)))*SUM($D91:$N91)*'Assumptions-Overall'!$J17*(1+'Assumptions-Overall'!$C$41)^('CashFlow-Retail'!E$7-1)/(YEAR(PhaseIIConEnd)-YEAR(PhaseIIConBegin)+1))/(YEAR(PhaseIIConEnd)-YEAR(PhaseIIConBegin)+1)</f>
        <v>0</v>
      </c>
      <c r="F133" s="146">
        <f>(-(AND(F$8&gt;=YEAR(PhaseIIConBegin),F$8&lt;=YEAR(PhaseIIConEnd)))*SUM($D91:$N91)*'Assumptions-Overall'!$J17*(1+'Assumptions-Overall'!$C$41)^('CashFlow-Retail'!F$7-1)/(YEAR(PhaseIIConEnd)-YEAR(PhaseIIConBegin)+1))/(YEAR(PhaseIIConEnd)-YEAR(PhaseIIConBegin)+1)</f>
        <v>-1193512.5</v>
      </c>
      <c r="G133" s="146">
        <f>(-(AND(G$8&gt;=YEAR(PhaseIIConBegin),G$8&lt;=YEAR(PhaseIIConEnd)))*SUM($D91:$N91)*'Assumptions-Overall'!$J17*(1+'Assumptions-Overall'!$C$41)^('CashFlow-Retail'!G$7-1)/(YEAR(PhaseIIConEnd)-YEAR(PhaseIIConBegin)+1))/(YEAR(PhaseIIConEnd)-YEAR(PhaseIIConBegin)+1)</f>
        <v>-1229317.875</v>
      </c>
      <c r="H133" s="146">
        <f>(-(AND(H$8&gt;=YEAR(PhaseIIConBegin),H$8&lt;=YEAR(PhaseIIConEnd)))*SUM($D91:$N91)*'Assumptions-Overall'!$J17*(1+'Assumptions-Overall'!$C$41)^('CashFlow-Retail'!H$7-1)/(YEAR(PhaseIIConEnd)-YEAR(PhaseIIConBegin)+1))/(YEAR(PhaseIIConEnd)-YEAR(PhaseIIConBegin)+1)</f>
        <v>0</v>
      </c>
      <c r="I133" s="146">
        <f>(-(AND(I$8&gt;=YEAR(PhaseIIConBegin),I$8&lt;=YEAR(PhaseIIConEnd)))*SUM($D91:$N91)*'Assumptions-Overall'!$J17*(1+'Assumptions-Overall'!$C$41)^('CashFlow-Retail'!I$7-1)/(YEAR(PhaseIIConEnd)-YEAR(PhaseIIConBegin)+1))/(YEAR(PhaseIIConEnd)-YEAR(PhaseIIConBegin)+1)</f>
        <v>0</v>
      </c>
      <c r="J133" s="146">
        <f>(-(AND(J$8&gt;=YEAR(PhaseIIConBegin),J$8&lt;=YEAR(PhaseIIConEnd)))*SUM($D91:$N91)*'Assumptions-Overall'!$J17*(1+'Assumptions-Overall'!$C$41)^('CashFlow-Retail'!J$7-1)/(YEAR(PhaseIIConEnd)-YEAR(PhaseIIConBegin)+1))/(YEAR(PhaseIIConEnd)-YEAR(PhaseIIConBegin)+1)</f>
        <v>0</v>
      </c>
      <c r="K133" s="146">
        <f>(-(AND(K$8&gt;=YEAR(PhaseIIConBegin),K$8&lt;=YEAR(PhaseIIConEnd)))*SUM($D91:$N91)*'Assumptions-Overall'!$J17*(1+'Assumptions-Overall'!$C$41)^('CashFlow-Retail'!K$7-1)/(YEAR(PhaseIIConEnd)-YEAR(PhaseIIConBegin)+1))/(YEAR(PhaseIIConEnd)-YEAR(PhaseIIConBegin)+1)</f>
        <v>0</v>
      </c>
      <c r="L133" s="146">
        <f>(-(AND(L$8&gt;=YEAR(PhaseIIConBegin),L$8&lt;=YEAR(PhaseIIConEnd)))*SUM($D91:$N91)*'Assumptions-Overall'!$J17*(1+'Assumptions-Overall'!$C$41)^('CashFlow-Retail'!L$7-1)/(YEAR(PhaseIIConEnd)-YEAR(PhaseIIConBegin)+1))/(YEAR(PhaseIIConEnd)-YEAR(PhaseIIConBegin)+1)</f>
        <v>0</v>
      </c>
      <c r="M133" s="146">
        <f>(-(AND(M$8&gt;=YEAR(PhaseIIConBegin),M$8&lt;=YEAR(PhaseIIConEnd)))*SUM($D91:$N91)*'Assumptions-Overall'!$J17*(1+'Assumptions-Overall'!$C$41)^('CashFlow-Retail'!M$7-1)/(YEAR(PhaseIIConEnd)-YEAR(PhaseIIConBegin)+1))/(YEAR(PhaseIIConEnd)-YEAR(PhaseIIConBegin)+1)</f>
        <v>0</v>
      </c>
      <c r="N133" s="151"/>
    </row>
    <row r="134" spans="2:14" x14ac:dyDescent="0.65">
      <c r="B134" s="150" t="str">
        <f>'Assumptions-Retail'!$B$12</f>
        <v xml:space="preserve">Specialty </v>
      </c>
      <c r="C134" s="8"/>
      <c r="D134" s="146">
        <f>(-(AND(D$8&gt;=YEAR(PhaseIIConBegin),D$8&lt;=YEAR(PhaseIIConEnd)))*SUM($D94:$N94)*'Assumptions-Overall'!$J19*(1+'Assumptions-Overall'!$C$41)^('CashFlow-Retail'!D$7-1)/(YEAR(PhaseIIConEnd)-YEAR(PhaseIIConBegin)+1))/(YEAR(PhaseIIConEnd)-YEAR(PhaseIIConBegin)+1)</f>
        <v>0</v>
      </c>
      <c r="E134" s="146">
        <f>(-(AND(E$8&gt;=YEAR(PhaseIIConBegin),E$8&lt;=YEAR(PhaseIIConEnd)))*SUM($D94:$N94)*'Assumptions-Overall'!$J19*(1+'Assumptions-Overall'!$C$41)^('CashFlow-Retail'!E$7-1)/(YEAR(PhaseIIConEnd)-YEAR(PhaseIIConBegin)+1))/(YEAR(PhaseIIConEnd)-YEAR(PhaseIIConBegin)+1)</f>
        <v>0</v>
      </c>
      <c r="F134" s="146">
        <f>(-(AND(F$8&gt;=YEAR(PhaseIIConBegin),F$8&lt;=YEAR(PhaseIIConEnd)))*SUM($D94:$N94)*'Assumptions-Overall'!$J19*(1+'Assumptions-Overall'!$C$41)^('CashFlow-Retail'!F$7-1)/(YEAR(PhaseIIConEnd)-YEAR(PhaseIIConBegin)+1))/(YEAR(PhaseIIConEnd)-YEAR(PhaseIIConBegin)+1)</f>
        <v>-3972009.5999999996</v>
      </c>
      <c r="G134" s="146">
        <f>(-(AND(G$8&gt;=YEAR(PhaseIIConBegin),G$8&lt;=YEAR(PhaseIIConEnd)))*SUM($D94:$N94)*'Assumptions-Overall'!$J19*(1+'Assumptions-Overall'!$C$41)^('CashFlow-Retail'!G$7-1)/(YEAR(PhaseIIConEnd)-YEAR(PhaseIIConBegin)+1))/(YEAR(PhaseIIConEnd)-YEAR(PhaseIIConBegin)+1)</f>
        <v>-4091169.8879999998</v>
      </c>
      <c r="H134" s="146">
        <f>(-(AND(H$8&gt;=YEAR(PhaseIIConBegin),H$8&lt;=YEAR(PhaseIIConEnd)))*SUM($D94:$N94)*'Assumptions-Overall'!$J19*(1+'Assumptions-Overall'!$C$41)^('CashFlow-Retail'!H$7-1)/(YEAR(PhaseIIConEnd)-YEAR(PhaseIIConBegin)+1))/(YEAR(PhaseIIConEnd)-YEAR(PhaseIIConBegin)+1)</f>
        <v>0</v>
      </c>
      <c r="I134" s="146">
        <f>(-(AND(I$8&gt;=YEAR(PhaseIIConBegin),I$8&lt;=YEAR(PhaseIIConEnd)))*SUM($D94:$N94)*'Assumptions-Overall'!$J19*(1+'Assumptions-Overall'!$C$41)^('CashFlow-Retail'!I$7-1)/(YEAR(PhaseIIConEnd)-YEAR(PhaseIIConBegin)+1))/(YEAR(PhaseIIConEnd)-YEAR(PhaseIIConBegin)+1)</f>
        <v>0</v>
      </c>
      <c r="J134" s="146">
        <f>(-(AND(J$8&gt;=YEAR(PhaseIIConBegin),J$8&lt;=YEAR(PhaseIIConEnd)))*SUM($D94:$N94)*'Assumptions-Overall'!$J19*(1+'Assumptions-Overall'!$C$41)^('CashFlow-Retail'!J$7-1)/(YEAR(PhaseIIConEnd)-YEAR(PhaseIIConBegin)+1))/(YEAR(PhaseIIConEnd)-YEAR(PhaseIIConBegin)+1)</f>
        <v>0</v>
      </c>
      <c r="K134" s="146">
        <f>(-(AND(K$8&gt;=YEAR(PhaseIIConBegin),K$8&lt;=YEAR(PhaseIIConEnd)))*SUM($D94:$N94)*'Assumptions-Overall'!$J19*(1+'Assumptions-Overall'!$C$41)^('CashFlow-Retail'!K$7-1)/(YEAR(PhaseIIConEnd)-YEAR(PhaseIIConBegin)+1))/(YEAR(PhaseIIConEnd)-YEAR(PhaseIIConBegin)+1)</f>
        <v>0</v>
      </c>
      <c r="L134" s="146">
        <f>(-(AND(L$8&gt;=YEAR(PhaseIIConBegin),L$8&lt;=YEAR(PhaseIIConEnd)))*SUM($D94:$N94)*'Assumptions-Overall'!$J19*(1+'Assumptions-Overall'!$C$41)^('CashFlow-Retail'!L$7-1)/(YEAR(PhaseIIConEnd)-YEAR(PhaseIIConBegin)+1))/(YEAR(PhaseIIConEnd)-YEAR(PhaseIIConBegin)+1)</f>
        <v>0</v>
      </c>
      <c r="M134" s="146">
        <f>(-(AND(M$8&gt;=YEAR(PhaseIIConBegin),M$8&lt;=YEAR(PhaseIIConEnd)))*SUM($D94:$N94)*'Assumptions-Overall'!$J19*(1+'Assumptions-Overall'!$C$41)^('CashFlow-Retail'!M$7-1)/(YEAR(PhaseIIConEnd)-YEAR(PhaseIIConBegin)+1))/(YEAR(PhaseIIConEnd)-YEAR(PhaseIIConBegin)+1)</f>
        <v>0</v>
      </c>
      <c r="N134" s="151"/>
    </row>
    <row r="135" spans="2:14" x14ac:dyDescent="0.65">
      <c r="B135" s="3" t="s">
        <v>472</v>
      </c>
      <c r="C135" s="8"/>
      <c r="D135" s="446">
        <f>SUM(D131:D134)</f>
        <v>0</v>
      </c>
      <c r="E135" s="446">
        <f>SUM(E131:E134)</f>
        <v>0</v>
      </c>
      <c r="F135" s="446">
        <f t="shared" ref="F135:M135" si="46">SUM(F131:F134)</f>
        <v>-14448397.1</v>
      </c>
      <c r="G135" s="446">
        <f t="shared" si="46"/>
        <v>-14881849.013</v>
      </c>
      <c r="H135" s="446">
        <f t="shared" si="46"/>
        <v>0</v>
      </c>
      <c r="I135" s="446">
        <f t="shared" si="46"/>
        <v>0</v>
      </c>
      <c r="J135" s="446">
        <f t="shared" si="46"/>
        <v>0</v>
      </c>
      <c r="K135" s="446">
        <f t="shared" si="46"/>
        <v>0</v>
      </c>
      <c r="L135" s="446">
        <f t="shared" si="46"/>
        <v>0</v>
      </c>
      <c r="M135" s="446">
        <f t="shared" si="46"/>
        <v>0</v>
      </c>
      <c r="N135" s="450"/>
    </row>
    <row r="136" spans="2:14" x14ac:dyDescent="0.65">
      <c r="B136" s="3" t="s">
        <v>211</v>
      </c>
      <c r="C136" s="8"/>
      <c r="D136" s="146">
        <f>(AND(D$8&gt;=YEAR(PhaseIIPreconBegin),D$8&lt;=YEAR(PhaseIIConEnd)))*SUM($D135:$N135)*'Assumptions-Overall'!$H$43/(YEAR(PhaseIIConEnd)-YEAR(PhaseIIPreconBegin)+1)</f>
        <v>0</v>
      </c>
      <c r="E136" s="146">
        <f>(AND(E$8&gt;=YEAR(PhaseIIPreconBegin),E$8&lt;=YEAR(PhaseIIConEnd)))*SUM($D135:$N135)*'Assumptions-Overall'!$H$43/(YEAR(PhaseIIConEnd)-YEAR(PhaseIIPreconBegin)+1)</f>
        <v>-586604.9222599999</v>
      </c>
      <c r="F136" s="146">
        <f>(AND(F$8&gt;=YEAR(PhaseIIPreconBegin),F$8&lt;=YEAR(PhaseIIConEnd)))*SUM($D135:$N135)*'Assumptions-Overall'!$H$43/(YEAR(PhaseIIConEnd)-YEAR(PhaseIIPreconBegin)+1)</f>
        <v>-586604.9222599999</v>
      </c>
      <c r="G136" s="146">
        <f>(AND(G$8&gt;=YEAR(PhaseIIPreconBegin),G$8&lt;=YEAR(PhaseIIConEnd)))*SUM($D135:$N135)*'Assumptions-Overall'!$H$43/(YEAR(PhaseIIConEnd)-YEAR(PhaseIIPreconBegin)+1)</f>
        <v>-586604.9222599999</v>
      </c>
      <c r="H136" s="146">
        <f>(AND(H$8&gt;=YEAR(PhaseIIPreconBegin),H$8&lt;=YEAR(PhaseIIConEnd)))*SUM($D135:$N135)*'Assumptions-Overall'!$H$43/(YEAR(PhaseIIConEnd)-YEAR(PhaseIIPreconBegin)+1)</f>
        <v>0</v>
      </c>
      <c r="I136" s="146">
        <f>(AND(I$8&gt;=YEAR(PhaseIIPreconBegin),I$8&lt;=YEAR(PhaseIIConEnd)))*SUM($D135:$N135)*'Assumptions-Overall'!$H$43/(YEAR(PhaseIIConEnd)-YEAR(PhaseIIPreconBegin)+1)</f>
        <v>0</v>
      </c>
      <c r="J136" s="146">
        <f>(AND(J$8&gt;=YEAR(PhaseIIPreconBegin),J$8&lt;=YEAR(PhaseIIConEnd)))*SUM($D135:$N135)*'Assumptions-Overall'!$H$43/(YEAR(PhaseIIConEnd)-YEAR(PhaseIIPreconBegin)+1)</f>
        <v>0</v>
      </c>
      <c r="K136" s="146">
        <f>(AND(K$8&gt;=YEAR(PhaseIIPreconBegin),K$8&lt;=YEAR(PhaseIIConEnd)))*SUM($D135:$N135)*'Assumptions-Overall'!$H$43/(YEAR(PhaseIIConEnd)-YEAR(PhaseIIPreconBegin)+1)</f>
        <v>0</v>
      </c>
      <c r="L136" s="146">
        <f>(AND(L$8&gt;=YEAR(PhaseIIPreconBegin),L$8&lt;=YEAR(PhaseIIConEnd)))*SUM($D135:$N135)*'Assumptions-Overall'!$H$43/(YEAR(PhaseIIConEnd)-YEAR(PhaseIIPreconBegin)+1)</f>
        <v>0</v>
      </c>
      <c r="M136" s="146">
        <f>(AND(M$8&gt;=YEAR(PhaseIIPreconBegin),M$8&lt;=YEAR(PhaseIIConEnd)))*SUM($D135:$N135)*'Assumptions-Overall'!$H$43/(YEAR(PhaseIIConEnd)-YEAR(PhaseIIPreconBegin)+1)</f>
        <v>0</v>
      </c>
      <c r="N136" s="151"/>
    </row>
    <row r="137" spans="2:14" x14ac:dyDescent="0.65">
      <c r="B137" s="3" t="s">
        <v>115</v>
      </c>
      <c r="C137" s="8"/>
      <c r="D137" s="146">
        <f>(AND(D$8&gt;=YEAR(PhaseIIPreconBegin),D$8&lt;=YEAR(PhaseIIConEnd)))*SUM($D135:$N135)*'Assumptions-Overall'!$H$44/(YEAR(PhaseIIConEnd)-YEAR(PhaseIIPreconBegin)+1)</f>
        <v>0</v>
      </c>
      <c r="E137" s="146">
        <f>(AND(E$8&gt;=YEAR(PhaseIIPreconBegin),E$8&lt;=YEAR(PhaseIIConEnd)))*SUM($D135:$N135)*'Assumptions-Overall'!$H$44/(YEAR(PhaseIIConEnd)-YEAR(PhaseIIPreconBegin)+1)</f>
        <v>-977674.87043333333</v>
      </c>
      <c r="F137" s="146">
        <f>(AND(F$8&gt;=YEAR(PhaseIIPreconBegin),F$8&lt;=YEAR(PhaseIIConEnd)))*SUM($D135:$N135)*'Assumptions-Overall'!$H$44/(YEAR(PhaseIIConEnd)-YEAR(PhaseIIPreconBegin)+1)</f>
        <v>-977674.87043333333</v>
      </c>
      <c r="G137" s="146">
        <f>(AND(G$8&gt;=YEAR(PhaseIIPreconBegin),G$8&lt;=YEAR(PhaseIIConEnd)))*SUM($D135:$N135)*'Assumptions-Overall'!$H$44/(YEAR(PhaseIIConEnd)-YEAR(PhaseIIPreconBegin)+1)</f>
        <v>-977674.87043333333</v>
      </c>
      <c r="H137" s="146">
        <f>(AND(H$8&gt;=YEAR(PhaseIIPreconBegin),H$8&lt;=YEAR(PhaseIIConEnd)))*SUM($D135:$N135)*'Assumptions-Overall'!$H$44/(YEAR(PhaseIIConEnd)-YEAR(PhaseIIPreconBegin)+1)</f>
        <v>0</v>
      </c>
      <c r="I137" s="146">
        <f>(AND(I$8&gt;=YEAR(PhaseIIPreconBegin),I$8&lt;=YEAR(PhaseIIConEnd)))*SUM($D135:$N135)*'Assumptions-Overall'!$H$44/(YEAR(PhaseIIConEnd)-YEAR(PhaseIIPreconBegin)+1)</f>
        <v>0</v>
      </c>
      <c r="J137" s="146">
        <f>(AND(J$8&gt;=YEAR(PhaseIIPreconBegin),J$8&lt;=YEAR(PhaseIIConEnd)))*SUM($D135:$N135)*'Assumptions-Overall'!$H$44/(YEAR(PhaseIIConEnd)-YEAR(PhaseIIPreconBegin)+1)</f>
        <v>0</v>
      </c>
      <c r="K137" s="146">
        <f>(AND(K$8&gt;=YEAR(PhaseIIPreconBegin),K$8&lt;=YEAR(PhaseIIConEnd)))*SUM($D135:$N135)*'Assumptions-Overall'!$H$44/(YEAR(PhaseIIConEnd)-YEAR(PhaseIIPreconBegin)+1)</f>
        <v>0</v>
      </c>
      <c r="L137" s="146">
        <f>(AND(L$8&gt;=YEAR(PhaseIIPreconBegin),L$8&lt;=YEAR(PhaseIIConEnd)))*SUM($D135:$N135)*'Assumptions-Overall'!$H$44/(YEAR(PhaseIIConEnd)-YEAR(PhaseIIPreconBegin)+1)</f>
        <v>0</v>
      </c>
      <c r="M137" s="146">
        <f>(AND(M$8&gt;=YEAR(PhaseIIPreconBegin),M$8&lt;=YEAR(PhaseIIConEnd)))*SUM($D135:$N135)*'Assumptions-Overall'!$H$44/(YEAR(PhaseIIConEnd)-YEAR(PhaseIIPreconBegin)+1)</f>
        <v>0</v>
      </c>
      <c r="N137" s="151"/>
    </row>
    <row r="138" spans="2:14" x14ac:dyDescent="0.65">
      <c r="B138" s="3" t="s">
        <v>116</v>
      </c>
      <c r="C138" s="8"/>
      <c r="D138" s="144">
        <f>SUM(D131:D137)*'Assumptions-Overall'!$H$45</f>
        <v>0</v>
      </c>
      <c r="E138" s="144">
        <f>SUM(E131:E137)*'Assumptions-Overall'!$H$45</f>
        <v>-78213.989634666665</v>
      </c>
      <c r="F138" s="144">
        <f>SUM(F131:F137)*'Assumptions-Overall'!$H$45</f>
        <v>-1523053.6996346668</v>
      </c>
      <c r="G138" s="144">
        <f>SUM(G131:G137)*'Assumptions-Overall'!$H$45</f>
        <v>-1566398.8909346669</v>
      </c>
      <c r="H138" s="144">
        <f>SUM(H131:H137)*'Assumptions-Overall'!$H$45</f>
        <v>0</v>
      </c>
      <c r="I138" s="144">
        <f>SUM(I131:I137)*'Assumptions-Overall'!$H$45</f>
        <v>0</v>
      </c>
      <c r="J138" s="144">
        <f>SUM(J131:J137)*'Assumptions-Overall'!$H$45</f>
        <v>0</v>
      </c>
      <c r="K138" s="144">
        <f>SUM(K131:K137)*'Assumptions-Overall'!$H$45</f>
        <v>0</v>
      </c>
      <c r="L138" s="144">
        <f>SUM(L131:L137)*'Assumptions-Overall'!$H$45</f>
        <v>0</v>
      </c>
      <c r="M138" s="144">
        <f>SUM(M131:M137)*'Assumptions-Overall'!$H$45</f>
        <v>0</v>
      </c>
      <c r="N138" s="151"/>
    </row>
    <row r="139" spans="2:14" x14ac:dyDescent="0.65">
      <c r="B139" s="3" t="s">
        <v>212</v>
      </c>
      <c r="C139" s="8"/>
      <c r="D139" s="446">
        <f>SUM(D135:D138)</f>
        <v>0</v>
      </c>
      <c r="E139" s="146">
        <f t="shared" ref="E139" si="47">SUM(E135:E138)</f>
        <v>-1642493.7823279998</v>
      </c>
      <c r="F139" s="146">
        <f t="shared" ref="F139" si="48">SUM(F135:F138)</f>
        <v>-17535730.592328001</v>
      </c>
      <c r="G139" s="146">
        <f t="shared" ref="G139" si="49">SUM(G135:G138)</f>
        <v>-18012527.696628001</v>
      </c>
      <c r="H139" s="146">
        <f t="shared" ref="H139" si="50">SUM(H135:H138)</f>
        <v>0</v>
      </c>
      <c r="I139" s="146">
        <f t="shared" ref="I139" si="51">SUM(I135:I138)</f>
        <v>0</v>
      </c>
      <c r="J139" s="146">
        <f t="shared" ref="J139" si="52">SUM(J135:J138)</f>
        <v>0</v>
      </c>
      <c r="K139" s="146">
        <f t="shared" ref="K139" si="53">SUM(K135:K138)</f>
        <v>0</v>
      </c>
      <c r="L139" s="146">
        <f t="shared" ref="L139" si="54">SUM(L135:L138)</f>
        <v>0</v>
      </c>
      <c r="M139" s="146">
        <f t="shared" ref="M139" si="55">SUM(M135:M138)</f>
        <v>0</v>
      </c>
      <c r="N139" s="151"/>
    </row>
    <row r="140" spans="2:14" x14ac:dyDescent="0.65">
      <c r="B140" s="3"/>
      <c r="C140" s="8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51"/>
    </row>
    <row r="141" spans="2:14" x14ac:dyDescent="0.65">
      <c r="B141" s="36" t="s">
        <v>213</v>
      </c>
      <c r="C141" s="8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51"/>
    </row>
    <row r="142" spans="2:14" x14ac:dyDescent="0.65">
      <c r="B142" s="3" t="s">
        <v>215</v>
      </c>
      <c r="C142" s="8"/>
      <c r="D142" s="146">
        <f>(D$8=YEAR('Assumptions-Overall'!$C$30))*E123/'Assumptions-Overall'!$V$13</f>
        <v>0</v>
      </c>
      <c r="E142" s="146">
        <f>(E$8=YEAR('Assumptions-Overall'!$C$30))*F123/'Assumptions-Overall'!$V$13</f>
        <v>0</v>
      </c>
      <c r="F142" s="146">
        <f>(F$8=YEAR('Assumptions-Overall'!$C$30))*G123/'Assumptions-Overall'!$V$13</f>
        <v>0</v>
      </c>
      <c r="G142" s="146">
        <f>(G$8=YEAR('Assumptions-Overall'!$C$30))*H123/'Assumptions-Overall'!$V$13</f>
        <v>0</v>
      </c>
      <c r="H142" s="146">
        <f>(H$8=YEAR('Assumptions-Overall'!$C$30))*I123/'Assumptions-Overall'!$V$13</f>
        <v>0</v>
      </c>
      <c r="I142" s="146">
        <f>(I$8=YEAR('Assumptions-Overall'!$C$30))*J123/'Assumptions-Overall'!$V$13</f>
        <v>0</v>
      </c>
      <c r="J142" s="146">
        <f>(J$8=YEAR('Assumptions-Overall'!$C$30))*K123/'Assumptions-Overall'!$V$13</f>
        <v>0</v>
      </c>
      <c r="K142" s="146">
        <f>(K$8=YEAR('Assumptions-Overall'!$C$30))*L123/'Assumptions-Overall'!$V$13</f>
        <v>0</v>
      </c>
      <c r="L142" s="146">
        <f>(L$8=YEAR('Assumptions-Overall'!$C$30))*M123/'Assumptions-Overall'!$V$13</f>
        <v>0</v>
      </c>
      <c r="M142" s="146">
        <f>(M$8=YEAR('Assumptions-Overall'!$C$30))*N123/'Assumptions-Overall'!$V$13</f>
        <v>166679499.89903766</v>
      </c>
      <c r="N142" s="151"/>
    </row>
    <row r="143" spans="2:14" x14ac:dyDescent="0.65">
      <c r="B143" s="3" t="s">
        <v>216</v>
      </c>
      <c r="C143" s="8"/>
      <c r="D143" s="144">
        <f>-D142*'Assumptions-Overall'!$R$27</f>
        <v>0</v>
      </c>
      <c r="E143" s="144">
        <f>-E142*'Assumptions-Overall'!$R$27</f>
        <v>0</v>
      </c>
      <c r="F143" s="144">
        <f>-F142*'Assumptions-Overall'!$R$27</f>
        <v>0</v>
      </c>
      <c r="G143" s="144">
        <f>-G142*'Assumptions-Overall'!$R$27</f>
        <v>0</v>
      </c>
      <c r="H143" s="144">
        <f>-H142*'Assumptions-Overall'!$R$27</f>
        <v>0</v>
      </c>
      <c r="I143" s="144">
        <f>-I142*'Assumptions-Overall'!$R$27</f>
        <v>0</v>
      </c>
      <c r="J143" s="144">
        <f>-J142*'Assumptions-Overall'!$R$27</f>
        <v>0</v>
      </c>
      <c r="K143" s="144">
        <f>-K142*'Assumptions-Overall'!$R$27</f>
        <v>0</v>
      </c>
      <c r="L143" s="144">
        <f>-L142*'Assumptions-Overall'!$R$27</f>
        <v>0</v>
      </c>
      <c r="M143" s="144">
        <f>-M142*'Assumptions-Overall'!$R$27</f>
        <v>-3333589.9979807534</v>
      </c>
      <c r="N143" s="151"/>
    </row>
    <row r="144" spans="2:14" x14ac:dyDescent="0.65">
      <c r="B144" s="3" t="s">
        <v>217</v>
      </c>
      <c r="C144" s="8"/>
      <c r="D144" s="146">
        <f>SUM(D142:D143)</f>
        <v>0</v>
      </c>
      <c r="E144" s="146">
        <f t="shared" ref="E144:M144" si="56">SUM(E142:E143)</f>
        <v>0</v>
      </c>
      <c r="F144" s="146">
        <f t="shared" si="56"/>
        <v>0</v>
      </c>
      <c r="G144" s="146">
        <f t="shared" si="56"/>
        <v>0</v>
      </c>
      <c r="H144" s="146">
        <f t="shared" si="56"/>
        <v>0</v>
      </c>
      <c r="I144" s="146">
        <f t="shared" si="56"/>
        <v>0</v>
      </c>
      <c r="J144" s="146">
        <f t="shared" si="56"/>
        <v>0</v>
      </c>
      <c r="K144" s="146">
        <f t="shared" si="56"/>
        <v>0</v>
      </c>
      <c r="L144" s="146">
        <f t="shared" si="56"/>
        <v>0</v>
      </c>
      <c r="M144" s="146">
        <f t="shared" si="56"/>
        <v>163345909.90105692</v>
      </c>
      <c r="N144" s="151"/>
    </row>
    <row r="145" spans="2:14" x14ac:dyDescent="0.65">
      <c r="B145" s="3"/>
      <c r="C145" s="8"/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51"/>
    </row>
    <row r="146" spans="2:14" x14ac:dyDescent="0.65">
      <c r="B146" s="3" t="s">
        <v>214</v>
      </c>
      <c r="C146" s="8"/>
      <c r="D146" s="146">
        <f t="shared" ref="D146:M146" si="57">D127+D139+D144</f>
        <v>0</v>
      </c>
      <c r="E146" s="146">
        <f t="shared" si="57"/>
        <v>-1642493.7823279998</v>
      </c>
      <c r="F146" s="146">
        <f t="shared" si="57"/>
        <v>-17535730.592328001</v>
      </c>
      <c r="G146" s="146">
        <f t="shared" si="57"/>
        <v>-6891659.2540380023</v>
      </c>
      <c r="H146" s="146">
        <f t="shared" si="57"/>
        <v>11454494.495867699</v>
      </c>
      <c r="I146" s="146">
        <f t="shared" si="57"/>
        <v>11798129.330743728</v>
      </c>
      <c r="J146" s="146">
        <f t="shared" si="57"/>
        <v>12152073.210666044</v>
      </c>
      <c r="K146" s="146">
        <f t="shared" si="57"/>
        <v>12516635.406986026</v>
      </c>
      <c r="L146" s="146">
        <f t="shared" si="57"/>
        <v>12892134.469195604</v>
      </c>
      <c r="M146" s="146">
        <f t="shared" si="57"/>
        <v>176624808.40432838</v>
      </c>
      <c r="N146" s="151"/>
    </row>
    <row r="147" spans="2:14" x14ac:dyDescent="0.65">
      <c r="B147" s="3" t="s">
        <v>218</v>
      </c>
      <c r="C147" s="158">
        <f>IFERROR(IRR(D146:M146),"n/a")</f>
        <v>0.49373702011812282</v>
      </c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51"/>
    </row>
    <row r="148" spans="2:14" ht="13" thickBot="1" x14ac:dyDescent="0.8">
      <c r="B148" s="5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1"/>
    </row>
    <row r="149" spans="2:14" x14ac:dyDescent="0.65">
      <c r="B149" s="154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6"/>
    </row>
    <row r="150" spans="2:14" x14ac:dyDescent="0.65">
      <c r="B150" s="147" t="s">
        <v>198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9"/>
    </row>
    <row r="151" spans="2:14" x14ac:dyDescent="0.65">
      <c r="B151" s="3" t="s">
        <v>194</v>
      </c>
      <c r="C151" s="8"/>
      <c r="D151" s="148">
        <f>D155+D158+D161+D164</f>
        <v>0</v>
      </c>
      <c r="E151" s="148">
        <f t="shared" ref="E151:N151" si="58">E155+E158+E161+E164</f>
        <v>0</v>
      </c>
      <c r="F151" s="148">
        <f t="shared" si="58"/>
        <v>0</v>
      </c>
      <c r="G151" s="148">
        <f t="shared" si="58"/>
        <v>0</v>
      </c>
      <c r="H151" s="148">
        <f t="shared" si="58"/>
        <v>0</v>
      </c>
      <c r="I151" s="148">
        <f t="shared" si="58"/>
        <v>0</v>
      </c>
      <c r="J151" s="148">
        <f t="shared" si="58"/>
        <v>0</v>
      </c>
      <c r="K151" s="148">
        <f t="shared" si="58"/>
        <v>0</v>
      </c>
      <c r="L151" s="148">
        <f t="shared" si="58"/>
        <v>0</v>
      </c>
      <c r="M151" s="148">
        <f t="shared" si="58"/>
        <v>237507</v>
      </c>
      <c r="N151" s="148">
        <f t="shared" si="58"/>
        <v>237507</v>
      </c>
    </row>
    <row r="152" spans="2:14" x14ac:dyDescent="0.65">
      <c r="B152" s="3" t="s">
        <v>195</v>
      </c>
      <c r="C152" s="8"/>
      <c r="D152" s="148">
        <f>D151-C151</f>
        <v>0</v>
      </c>
      <c r="E152" s="148">
        <f t="shared" ref="E152" si="59">E151-D151</f>
        <v>0</v>
      </c>
      <c r="F152" s="148">
        <f t="shared" ref="F152" si="60">F151-E151</f>
        <v>0</v>
      </c>
      <c r="G152" s="148">
        <f t="shared" ref="G152" si="61">G151-F151</f>
        <v>0</v>
      </c>
      <c r="H152" s="148">
        <f t="shared" ref="H152" si="62">H151-G151</f>
        <v>0</v>
      </c>
      <c r="I152" s="148">
        <f t="shared" ref="I152" si="63">I151-H151</f>
        <v>0</v>
      </c>
      <c r="J152" s="148">
        <f t="shared" ref="J152" si="64">J151-I151</f>
        <v>0</v>
      </c>
      <c r="K152" s="148">
        <f t="shared" ref="K152" si="65">K151-J151</f>
        <v>0</v>
      </c>
      <c r="L152" s="148">
        <f t="shared" ref="L152" si="66">L151-K151</f>
        <v>0</v>
      </c>
      <c r="M152" s="148">
        <f t="shared" ref="M152" si="67">M151-L151</f>
        <v>237507</v>
      </c>
      <c r="N152" s="149">
        <f t="shared" ref="N152" si="68">N151-M151</f>
        <v>0</v>
      </c>
    </row>
    <row r="153" spans="2:14" x14ac:dyDescent="0.65">
      <c r="B153" s="3"/>
      <c r="C153" s="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9"/>
    </row>
    <row r="154" spans="2:14" x14ac:dyDescent="0.65">
      <c r="B154" s="36" t="s">
        <v>227</v>
      </c>
      <c r="C154" s="8"/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9"/>
    </row>
    <row r="155" spans="2:14" x14ac:dyDescent="0.65">
      <c r="B155" s="36" t="str">
        <f>'Assumptions-Retail'!$B$9</f>
        <v>Food Hall</v>
      </c>
      <c r="C155" s="8"/>
      <c r="D155" s="148">
        <f>(D$8&gt;=YEAR(PhaseIIIComplete))*'Assumptions-Retail'!$F$9</f>
        <v>0</v>
      </c>
      <c r="E155" s="148">
        <f>(E$8&gt;=YEAR(PhaseIIIComplete))*'Assumptions-Retail'!$F$9</f>
        <v>0</v>
      </c>
      <c r="F155" s="148">
        <f>(F$8&gt;=YEAR(PhaseIIIComplete))*'Assumptions-Retail'!$F$9</f>
        <v>0</v>
      </c>
      <c r="G155" s="148">
        <f>(G$8&gt;=YEAR(PhaseIIIComplete))*'Assumptions-Retail'!$F$9</f>
        <v>0</v>
      </c>
      <c r="H155" s="148">
        <f>(H$8&gt;=YEAR(PhaseIIIComplete))*'Assumptions-Retail'!$F$9</f>
        <v>0</v>
      </c>
      <c r="I155" s="148">
        <f>(I$8&gt;=YEAR(PhaseIIIComplete))*'Assumptions-Retail'!$F$9</f>
        <v>0</v>
      </c>
      <c r="J155" s="148">
        <f>(J$8&gt;=YEAR(PhaseIIIComplete))*'Assumptions-Retail'!$F$9</f>
        <v>0</v>
      </c>
      <c r="K155" s="148">
        <f>(K$8&gt;=YEAR(PhaseIIIComplete))*'Assumptions-Retail'!$F$9</f>
        <v>0</v>
      </c>
      <c r="L155" s="148">
        <f>(L$8&gt;=YEAR(PhaseIIIComplete))*'Assumptions-Retail'!$F$9</f>
        <v>0</v>
      </c>
      <c r="M155" s="148">
        <f>(M$8&gt;=YEAR(PhaseIIIComplete))*'Assumptions-Retail'!$F$9</f>
        <v>0</v>
      </c>
      <c r="N155" s="149">
        <f>(N$8&gt;=YEAR(PhaseIIIComplete))*'Assumptions-Retail'!$F$9</f>
        <v>0</v>
      </c>
    </row>
    <row r="156" spans="2:14" x14ac:dyDescent="0.65">
      <c r="B156" s="3" t="s">
        <v>474</v>
      </c>
      <c r="C156" s="8"/>
      <c r="D156" s="148">
        <f>D155-C155</f>
        <v>0</v>
      </c>
      <c r="E156" s="148">
        <f>E155-D155</f>
        <v>0</v>
      </c>
      <c r="F156" s="148">
        <f t="shared" ref="F156" si="69">F155-E155</f>
        <v>0</v>
      </c>
      <c r="G156" s="148">
        <f t="shared" ref="G156" si="70">G155-F155</f>
        <v>0</v>
      </c>
      <c r="H156" s="148">
        <f t="shared" ref="H156" si="71">H155-G155</f>
        <v>0</v>
      </c>
      <c r="I156" s="148">
        <f t="shared" ref="I156" si="72">I155-H155</f>
        <v>0</v>
      </c>
      <c r="J156" s="148">
        <f t="shared" ref="J156" si="73">J155-I155</f>
        <v>0</v>
      </c>
      <c r="K156" s="148">
        <f t="shared" ref="K156" si="74">K155-J155</f>
        <v>0</v>
      </c>
      <c r="L156" s="148">
        <f t="shared" ref="L156" si="75">L155-K155</f>
        <v>0</v>
      </c>
      <c r="M156" s="148">
        <f t="shared" ref="M156" si="76">M155-L155</f>
        <v>0</v>
      </c>
      <c r="N156" s="149">
        <f t="shared" ref="N156" si="77">N155-M155</f>
        <v>0</v>
      </c>
    </row>
    <row r="157" spans="2:14" x14ac:dyDescent="0.65">
      <c r="B157" s="3"/>
      <c r="C157" s="8"/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9"/>
    </row>
    <row r="158" spans="2:14" x14ac:dyDescent="0.65">
      <c r="B158" s="3" t="str">
        <f>'Assumptions-Retail'!$B$10</f>
        <v>Big Box Retail Space</v>
      </c>
      <c r="C158" s="8"/>
      <c r="D158" s="148">
        <f>(D$8&gt;=YEAR(PhaseIIIComplete))*'Assumptions-Retail'!$F$10</f>
        <v>0</v>
      </c>
      <c r="E158" s="148">
        <f>(E$8&gt;=YEAR(PhaseIIIComplete))*'Assumptions-Retail'!$F$10</f>
        <v>0</v>
      </c>
      <c r="F158" s="148">
        <f>(F$8&gt;=YEAR(PhaseIIIComplete))*'Assumptions-Retail'!$F$10</f>
        <v>0</v>
      </c>
      <c r="G158" s="148">
        <f>(G$8&gt;=YEAR(PhaseIIIComplete))*'Assumptions-Retail'!$F$10</f>
        <v>0</v>
      </c>
      <c r="H158" s="148">
        <f>(H$8&gt;=YEAR(PhaseIIIComplete))*'Assumptions-Retail'!$F$10</f>
        <v>0</v>
      </c>
      <c r="I158" s="148">
        <f>(I$8&gt;=YEAR(PhaseIIIComplete))*'Assumptions-Retail'!$F$10</f>
        <v>0</v>
      </c>
      <c r="J158" s="148">
        <f>(J$8&gt;=YEAR(PhaseIIIComplete))*'Assumptions-Retail'!$F$10</f>
        <v>0</v>
      </c>
      <c r="K158" s="148">
        <f>(K$8&gt;=YEAR(PhaseIIIComplete))*'Assumptions-Retail'!$F$10</f>
        <v>0</v>
      </c>
      <c r="L158" s="148">
        <f>(L$8&gt;=YEAR(PhaseIIIComplete))*'Assumptions-Retail'!$F$10</f>
        <v>0</v>
      </c>
      <c r="M158" s="148">
        <f>(M$8&gt;=YEAR(PhaseIIIComplete))*'Assumptions-Retail'!$F$10</f>
        <v>215000</v>
      </c>
      <c r="N158" s="149">
        <f>(N$8&gt;=YEAR(PhaseIIIComplete))*'Assumptions-Retail'!$F$10</f>
        <v>215000</v>
      </c>
    </row>
    <row r="159" spans="2:14" x14ac:dyDescent="0.65">
      <c r="B159" s="3" t="s">
        <v>475</v>
      </c>
      <c r="C159" s="8"/>
      <c r="D159" s="148">
        <f>D158-C158</f>
        <v>0</v>
      </c>
      <c r="E159" s="148">
        <f t="shared" ref="E159" si="78">E158-D158</f>
        <v>0</v>
      </c>
      <c r="F159" s="148">
        <f t="shared" ref="F159" si="79">F158-E158</f>
        <v>0</v>
      </c>
      <c r="G159" s="148">
        <f t="shared" ref="G159" si="80">G158-F158</f>
        <v>0</v>
      </c>
      <c r="H159" s="148">
        <f t="shared" ref="H159" si="81">H158-G158</f>
        <v>0</v>
      </c>
      <c r="I159" s="148">
        <f t="shared" ref="I159" si="82">I158-H158</f>
        <v>0</v>
      </c>
      <c r="J159" s="148">
        <f t="shared" ref="J159" si="83">J158-I158</f>
        <v>0</v>
      </c>
      <c r="K159" s="148">
        <f t="shared" ref="K159" si="84">K158-J158</f>
        <v>0</v>
      </c>
      <c r="L159" s="148">
        <f t="shared" ref="L159" si="85">L158-K158</f>
        <v>0</v>
      </c>
      <c r="M159" s="148">
        <f t="shared" ref="M159" si="86">M158-L158</f>
        <v>215000</v>
      </c>
      <c r="N159" s="149">
        <f t="shared" ref="N159" si="87">N158-M158</f>
        <v>0</v>
      </c>
    </row>
    <row r="160" spans="2:14" x14ac:dyDescent="0.65">
      <c r="B160" s="3"/>
      <c r="C160" s="8"/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9"/>
    </row>
    <row r="161" spans="2:14" x14ac:dyDescent="0.65">
      <c r="B161" s="3" t="str">
        <f>'Assumptions-Retail'!$B$11</f>
        <v>Neighborhood</v>
      </c>
      <c r="C161" s="8"/>
      <c r="D161" s="148">
        <f>(D$8&gt;=YEAR(PhaseIIIComplete))*'Assumptions-Retail'!$F$11</f>
        <v>0</v>
      </c>
      <c r="E161" s="148">
        <f>(E$8&gt;=YEAR(PhaseIIIComplete))*'Assumptions-Retail'!$F$11</f>
        <v>0</v>
      </c>
      <c r="F161" s="148">
        <f>(F$8&gt;=YEAR(PhaseIIIComplete))*'Assumptions-Retail'!$F$11</f>
        <v>0</v>
      </c>
      <c r="G161" s="148">
        <f>(G$8&gt;=YEAR(PhaseIIIComplete))*'Assumptions-Retail'!$F$11</f>
        <v>0</v>
      </c>
      <c r="H161" s="148">
        <f>(H$8&gt;=YEAR(PhaseIIIComplete))*'Assumptions-Retail'!$F$11</f>
        <v>0</v>
      </c>
      <c r="I161" s="148">
        <f>(I$8&gt;=YEAR(PhaseIIIComplete))*'Assumptions-Retail'!$F$11</f>
        <v>0</v>
      </c>
      <c r="J161" s="148">
        <f>(J$8&gt;=YEAR(PhaseIIIComplete))*'Assumptions-Retail'!$F$11</f>
        <v>0</v>
      </c>
      <c r="K161" s="148">
        <f>(K$8&gt;=YEAR(PhaseIIIComplete))*'Assumptions-Retail'!$F$11</f>
        <v>0</v>
      </c>
      <c r="L161" s="148">
        <f>(L$8&gt;=YEAR(PhaseIIIComplete))*'Assumptions-Retail'!$F$11</f>
        <v>0</v>
      </c>
      <c r="M161" s="148">
        <f>(M$8&gt;=YEAR(PhaseIIIComplete))*'Assumptions-Retail'!$F$11</f>
        <v>17507</v>
      </c>
      <c r="N161" s="149">
        <f>(N$8&gt;=YEAR(PhaseIIIComplete))*'Assumptions-Retail'!$F$11</f>
        <v>17507</v>
      </c>
    </row>
    <row r="162" spans="2:14" x14ac:dyDescent="0.65">
      <c r="B162" s="3" t="s">
        <v>476</v>
      </c>
      <c r="C162" s="8"/>
      <c r="D162" s="148">
        <f>D161-C161</f>
        <v>0</v>
      </c>
      <c r="E162" s="148">
        <f t="shared" ref="E162" si="88">E161-D161</f>
        <v>0</v>
      </c>
      <c r="F162" s="148">
        <f t="shared" ref="F162" si="89">F161-E161</f>
        <v>0</v>
      </c>
      <c r="G162" s="148">
        <f t="shared" ref="G162" si="90">G161-F161</f>
        <v>0</v>
      </c>
      <c r="H162" s="148">
        <f t="shared" ref="H162" si="91">H161-G161</f>
        <v>0</v>
      </c>
      <c r="I162" s="148">
        <f t="shared" ref="I162" si="92">I161-H161</f>
        <v>0</v>
      </c>
      <c r="J162" s="148">
        <f t="shared" ref="J162" si="93">J161-I161</f>
        <v>0</v>
      </c>
      <c r="K162" s="148">
        <f t="shared" ref="K162" si="94">K161-J161</f>
        <v>0</v>
      </c>
      <c r="L162" s="148">
        <f t="shared" ref="L162" si="95">L161-K161</f>
        <v>0</v>
      </c>
      <c r="M162" s="148">
        <f t="shared" ref="M162" si="96">M161-L161</f>
        <v>17507</v>
      </c>
      <c r="N162" s="149">
        <f t="shared" ref="N162" si="97">N161-M161</f>
        <v>0</v>
      </c>
    </row>
    <row r="163" spans="2:14" x14ac:dyDescent="0.65">
      <c r="B163" s="3"/>
      <c r="C163" s="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9"/>
    </row>
    <row r="164" spans="2:14" x14ac:dyDescent="0.65">
      <c r="B164" s="3" t="str">
        <f>'Assumptions-Retail'!$B$12</f>
        <v xml:space="preserve">Specialty </v>
      </c>
      <c r="C164" s="8"/>
      <c r="D164" s="148">
        <f>(D$8&gt;=YEAR(PhaseIIIComplete))*'Assumptions-Retail'!$F$12</f>
        <v>0</v>
      </c>
      <c r="E164" s="148">
        <f>(E$8&gt;=YEAR(PhaseIIIComplete))*'Assumptions-Retail'!$F$12</f>
        <v>0</v>
      </c>
      <c r="F164" s="148">
        <f>(F$8&gt;=YEAR(PhaseIIIComplete))*'Assumptions-Retail'!$F$12</f>
        <v>0</v>
      </c>
      <c r="G164" s="148">
        <f>(G$8&gt;=YEAR(PhaseIIIComplete))*'Assumptions-Retail'!$F$12</f>
        <v>0</v>
      </c>
      <c r="H164" s="148">
        <f>(H$8&gt;=YEAR(PhaseIIIComplete))*'Assumptions-Retail'!$F$12</f>
        <v>0</v>
      </c>
      <c r="I164" s="148">
        <f>(I$8&gt;=YEAR(PhaseIIIComplete))*'Assumptions-Retail'!$F$12</f>
        <v>0</v>
      </c>
      <c r="J164" s="148">
        <f>(J$8&gt;=YEAR(PhaseIIIComplete))*'Assumptions-Retail'!$F$12</f>
        <v>0</v>
      </c>
      <c r="K164" s="148">
        <f>(K$8&gt;=YEAR(PhaseIIIComplete))*'Assumptions-Retail'!$F$12</f>
        <v>0</v>
      </c>
      <c r="L164" s="148">
        <f>(L$8&gt;=YEAR(PhaseIIIComplete))*'Assumptions-Retail'!$F$12</f>
        <v>0</v>
      </c>
      <c r="M164" s="148">
        <f>(M$8&gt;=YEAR(PhaseIIIComplete))*'Assumptions-Retail'!$F$12</f>
        <v>5000</v>
      </c>
      <c r="N164" s="149">
        <f>(N$8&gt;=YEAR(PhaseIIIComplete))*'Assumptions-Retail'!$F$12</f>
        <v>5000</v>
      </c>
    </row>
    <row r="165" spans="2:14" x14ac:dyDescent="0.65">
      <c r="B165" s="3" t="s">
        <v>477</v>
      </c>
      <c r="C165" s="8"/>
      <c r="D165" s="148">
        <f>D164-C164</f>
        <v>0</v>
      </c>
      <c r="E165" s="148">
        <f t="shared" ref="E165" si="98">E164-D164</f>
        <v>0</v>
      </c>
      <c r="F165" s="148">
        <f t="shared" ref="F165" si="99">F164-E164</f>
        <v>0</v>
      </c>
      <c r="G165" s="148">
        <f t="shared" ref="G165" si="100">G164-F164</f>
        <v>0</v>
      </c>
      <c r="H165" s="148">
        <f t="shared" ref="H165" si="101">H164-G164</f>
        <v>0</v>
      </c>
      <c r="I165" s="148">
        <f t="shared" ref="I165" si="102">I164-H164</f>
        <v>0</v>
      </c>
      <c r="J165" s="148">
        <f t="shared" ref="J165" si="103">J164-I164</f>
        <v>0</v>
      </c>
      <c r="K165" s="148">
        <f t="shared" ref="K165" si="104">K164-J164</f>
        <v>0</v>
      </c>
      <c r="L165" s="148">
        <f t="shared" ref="L165" si="105">L164-K164</f>
        <v>0</v>
      </c>
      <c r="M165" s="148">
        <f t="shared" ref="M165" si="106">M164-L164</f>
        <v>5000</v>
      </c>
      <c r="N165" s="149">
        <f t="shared" ref="N165" si="107">N164-M164</f>
        <v>0</v>
      </c>
    </row>
    <row r="166" spans="2:14" x14ac:dyDescent="0.65">
      <c r="B166" s="3"/>
      <c r="C166" s="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9"/>
    </row>
    <row r="167" spans="2:14" x14ac:dyDescent="0.65">
      <c r="B167" s="36" t="s">
        <v>206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9"/>
    </row>
    <row r="168" spans="2:14" x14ac:dyDescent="0.65">
      <c r="B168" s="3" t="s">
        <v>229</v>
      </c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9"/>
    </row>
    <row r="169" spans="2:14" x14ac:dyDescent="0.65">
      <c r="B169" s="150" t="str">
        <f>'Assumptions-Retail'!$B$9</f>
        <v>Food Hall</v>
      </c>
      <c r="C169" s="8"/>
      <c r="D169" s="146">
        <f>SUMPRODUCT(D155,'Assumptions-Retail'!$I$9)*(1+'Assumptions-Overall'!$C$35)^('CashFlow-Retail'!D$7-1)</f>
        <v>0</v>
      </c>
      <c r="E169" s="146">
        <f>SUMPRODUCT(E155,'Assumptions-Retail'!$I$9)*(1+'Assumptions-Overall'!$C$35)^('CashFlow-Retail'!E$7-1)</f>
        <v>0</v>
      </c>
      <c r="F169" s="146">
        <f>SUMPRODUCT(F155,'Assumptions-Retail'!$I$9)*(1+'Assumptions-Overall'!$C$35)^('CashFlow-Retail'!F$7-1)</f>
        <v>0</v>
      </c>
      <c r="G169" s="146">
        <f>SUMPRODUCT(G155,'Assumptions-Retail'!$I$9)*(1+'Assumptions-Overall'!$C$35)^('CashFlow-Retail'!G$7-1)</f>
        <v>0</v>
      </c>
      <c r="H169" s="146">
        <f>SUMPRODUCT(H155,'Assumptions-Retail'!$I$9)*(1+'Assumptions-Overall'!$C$35)^('CashFlow-Retail'!H$7-1)</f>
        <v>0</v>
      </c>
      <c r="I169" s="146">
        <f>SUMPRODUCT(I155,'Assumptions-Retail'!$I$9)*(1+'Assumptions-Overall'!$C$35)^('CashFlow-Retail'!I$7-1)</f>
        <v>0</v>
      </c>
      <c r="J169" s="146">
        <f>SUMPRODUCT(J155,'Assumptions-Retail'!$I$9)*(1+'Assumptions-Overall'!$C$35)^('CashFlow-Retail'!J$7-1)</f>
        <v>0</v>
      </c>
      <c r="K169" s="146">
        <f>SUMPRODUCT(K155,'Assumptions-Retail'!$I$9)*(1+'Assumptions-Overall'!$C$35)^('CashFlow-Retail'!K$7-1)</f>
        <v>0</v>
      </c>
      <c r="L169" s="146">
        <f>SUMPRODUCT(L155,'Assumptions-Retail'!$I$9)*(1+'Assumptions-Overall'!$C$35)^('CashFlow-Retail'!L$7-1)</f>
        <v>0</v>
      </c>
      <c r="M169" s="146">
        <f>SUMPRODUCT(M155,'Assumptions-Retail'!$I$9)*(1+'Assumptions-Overall'!$C$35)^('CashFlow-Retail'!M$7-1)</f>
        <v>0</v>
      </c>
      <c r="N169" s="151">
        <f>SUMPRODUCT(N155,'Assumptions-Retail'!$I$9)*(1+'Assumptions-Overall'!$C$35)^('CashFlow-Retail'!N$7-1)</f>
        <v>0</v>
      </c>
    </row>
    <row r="170" spans="2:14" x14ac:dyDescent="0.65">
      <c r="B170" s="150" t="str">
        <f>'Assumptions-Retail'!$B$10</f>
        <v>Big Box Retail Space</v>
      </c>
      <c r="C170" s="8"/>
      <c r="D170" s="146">
        <f>SUMPRODUCT(D158,'Assumptions-Retail'!$I$9)*(1+'Assumptions-Overall'!$C$35)^('CashFlow-Retail'!D$7-1)</f>
        <v>0</v>
      </c>
      <c r="E170" s="146">
        <f>SUMPRODUCT(E158,'Assumptions-Retail'!$I$9)*(1+'Assumptions-Overall'!$C$35)^('CashFlow-Retail'!E$7-1)</f>
        <v>0</v>
      </c>
      <c r="F170" s="146">
        <f>SUMPRODUCT(F158,'Assumptions-Retail'!$I$9)*(1+'Assumptions-Overall'!$C$35)^('CashFlow-Retail'!F$7-1)</f>
        <v>0</v>
      </c>
      <c r="G170" s="146">
        <f>SUMPRODUCT(G158,'Assumptions-Retail'!$I$9)*(1+'Assumptions-Overall'!$C$35)^('CashFlow-Retail'!G$7-1)</f>
        <v>0</v>
      </c>
      <c r="H170" s="146">
        <f>SUMPRODUCT(H158,'Assumptions-Retail'!$I$9)*(1+'Assumptions-Overall'!$C$35)^('CashFlow-Retail'!H$7-1)</f>
        <v>0</v>
      </c>
      <c r="I170" s="146">
        <f>SUMPRODUCT(I158,'Assumptions-Retail'!$I$9)*(1+'Assumptions-Overall'!$C$35)^('CashFlow-Retail'!I$7-1)</f>
        <v>0</v>
      </c>
      <c r="J170" s="146">
        <f>SUMPRODUCT(J158,'Assumptions-Retail'!$I$9)*(1+'Assumptions-Overall'!$C$35)^('CashFlow-Retail'!J$7-1)</f>
        <v>0</v>
      </c>
      <c r="K170" s="146">
        <f>SUMPRODUCT(K158,'Assumptions-Retail'!$I$9)*(1+'Assumptions-Overall'!$C$35)^('CashFlow-Retail'!K$7-1)</f>
        <v>0</v>
      </c>
      <c r="L170" s="146">
        <f>SUMPRODUCT(L158,'Assumptions-Retail'!$I$9)*(1+'Assumptions-Overall'!$C$35)^('CashFlow-Retail'!L$7-1)</f>
        <v>0</v>
      </c>
      <c r="M170" s="146">
        <f>SUMPRODUCT(M158,'Assumptions-Retail'!$I$9)*(1+'Assumptions-Overall'!$C$35)^('CashFlow-Retail'!M$7-1)</f>
        <v>8415787.0356986262</v>
      </c>
      <c r="N170" s="151">
        <f>SUMPRODUCT(N158,'Assumptions-Retail'!$I$9)*(1+'Assumptions-Overall'!$C$35)^('CashFlow-Retail'!N$7-1)</f>
        <v>8668260.6467695851</v>
      </c>
    </row>
    <row r="171" spans="2:14" x14ac:dyDescent="0.65">
      <c r="B171" s="150" t="str">
        <f>'Assumptions-Retail'!$B$11</f>
        <v>Neighborhood</v>
      </c>
      <c r="C171" s="8"/>
      <c r="D171" s="146">
        <f>SUMPRODUCT(D161,'Assumptions-Retail'!$I$9)*(1+'Assumptions-Overall'!$C$35)^('CashFlow-Retail'!D$7-1)</f>
        <v>0</v>
      </c>
      <c r="E171" s="146">
        <f>SUMPRODUCT(E161,'Assumptions-Retail'!$I$9)*(1+'Assumptions-Overall'!$C$35)^('CashFlow-Retail'!E$7-1)</f>
        <v>0</v>
      </c>
      <c r="F171" s="146">
        <f>SUMPRODUCT(F161,'Assumptions-Retail'!$I$9)*(1+'Assumptions-Overall'!$C$35)^('CashFlow-Retail'!F$7-1)</f>
        <v>0</v>
      </c>
      <c r="G171" s="146">
        <f>SUMPRODUCT(G161,'Assumptions-Retail'!$I$9)*(1+'Assumptions-Overall'!$C$35)^('CashFlow-Retail'!G$7-1)</f>
        <v>0</v>
      </c>
      <c r="H171" s="146">
        <f>SUMPRODUCT(H161,'Assumptions-Retail'!$I$9)*(1+'Assumptions-Overall'!$C$35)^('CashFlow-Retail'!H$7-1)</f>
        <v>0</v>
      </c>
      <c r="I171" s="146">
        <f>SUMPRODUCT(I161,'Assumptions-Retail'!$I$9)*(1+'Assumptions-Overall'!$C$35)^('CashFlow-Retail'!I$7-1)</f>
        <v>0</v>
      </c>
      <c r="J171" s="146">
        <f>SUMPRODUCT(J161,'Assumptions-Retail'!$I$9)*(1+'Assumptions-Overall'!$C$35)^('CashFlow-Retail'!J$7-1)</f>
        <v>0</v>
      </c>
      <c r="K171" s="146">
        <f>SUMPRODUCT(K161,'Assumptions-Retail'!$I$9)*(1+'Assumptions-Overall'!$C$35)^('CashFlow-Retail'!K$7-1)</f>
        <v>0</v>
      </c>
      <c r="L171" s="146">
        <f>SUMPRODUCT(L161,'Assumptions-Retail'!$I$9)*(1+'Assumptions-Overall'!$C$35)^('CashFlow-Retail'!L$7-1)</f>
        <v>0</v>
      </c>
      <c r="M171" s="146">
        <f>SUMPRODUCT(M161,'Assumptions-Retail'!$I$9)*(1+'Assumptions-Overall'!$C$35)^('CashFlow-Retail'!M$7-1)</f>
        <v>685279.92387895752</v>
      </c>
      <c r="N171" s="151">
        <f>SUMPRODUCT(N161,'Assumptions-Retail'!$I$9)*(1+'Assumptions-Overall'!$C$35)^('CashFlow-Retail'!N$7-1)</f>
        <v>705838.32159532618</v>
      </c>
    </row>
    <row r="172" spans="2:14" x14ac:dyDescent="0.65">
      <c r="B172" s="150" t="str">
        <f>'Assumptions-Retail'!$B$12</f>
        <v xml:space="preserve">Specialty </v>
      </c>
      <c r="C172" s="8"/>
      <c r="D172" s="144">
        <f>SUMPRODUCT(D164,'Assumptions-Retail'!$I$9)*(1+'Assumptions-Overall'!$C$35)^('CashFlow-Retail'!D$7-1)</f>
        <v>0</v>
      </c>
      <c r="E172" s="144">
        <f>SUMPRODUCT(E164,'Assumptions-Retail'!$I$9)*(1+'Assumptions-Overall'!$C$35)^('CashFlow-Retail'!E$7-1)</f>
        <v>0</v>
      </c>
      <c r="F172" s="144">
        <f>SUMPRODUCT(F164,'Assumptions-Retail'!$I$9)*(1+'Assumptions-Overall'!$C$35)^('CashFlow-Retail'!F$7-1)</f>
        <v>0</v>
      </c>
      <c r="G172" s="144">
        <f>SUMPRODUCT(G164,'Assumptions-Retail'!$I$9)*(1+'Assumptions-Overall'!$C$35)^('CashFlow-Retail'!G$7-1)</f>
        <v>0</v>
      </c>
      <c r="H172" s="144">
        <f>SUMPRODUCT(H164,'Assumptions-Retail'!$I$9)*(1+'Assumptions-Overall'!$C$35)^('CashFlow-Retail'!H$7-1)</f>
        <v>0</v>
      </c>
      <c r="I172" s="144">
        <f>SUMPRODUCT(I164,'Assumptions-Retail'!$I$9)*(1+'Assumptions-Overall'!$C$35)^('CashFlow-Retail'!I$7-1)</f>
        <v>0</v>
      </c>
      <c r="J172" s="144">
        <f>SUMPRODUCT(J164,'Assumptions-Retail'!$I$9)*(1+'Assumptions-Overall'!$C$35)^('CashFlow-Retail'!J$7-1)</f>
        <v>0</v>
      </c>
      <c r="K172" s="144">
        <f>SUMPRODUCT(K164,'Assumptions-Retail'!$I$9)*(1+'Assumptions-Overall'!$C$35)^('CashFlow-Retail'!K$7-1)</f>
        <v>0</v>
      </c>
      <c r="L172" s="144">
        <f>SUMPRODUCT(L164,'Assumptions-Retail'!$I$9)*(1+'Assumptions-Overall'!$C$35)^('CashFlow-Retail'!L$7-1)</f>
        <v>0</v>
      </c>
      <c r="M172" s="144">
        <f>SUMPRODUCT(M164,'Assumptions-Retail'!$I$9)*(1+'Assumptions-Overall'!$C$35)^('CashFlow-Retail'!M$7-1)</f>
        <v>195715.97757438666</v>
      </c>
      <c r="N172" s="152">
        <f>SUMPRODUCT(N164,'Assumptions-Retail'!$I$9)*(1+'Assumptions-Overall'!$C$35)^('CashFlow-Retail'!N$7-1)</f>
        <v>201587.45690161828</v>
      </c>
    </row>
    <row r="173" spans="2:14" x14ac:dyDescent="0.65">
      <c r="B173" s="3" t="s">
        <v>230</v>
      </c>
      <c r="C173" s="8"/>
      <c r="D173" s="146">
        <f>SUM(D$169:D$172)</f>
        <v>0</v>
      </c>
      <c r="E173" s="146">
        <f t="shared" ref="E173:N173" si="108">SUM(E$169:E$172)</f>
        <v>0</v>
      </c>
      <c r="F173" s="146">
        <f t="shared" si="108"/>
        <v>0</v>
      </c>
      <c r="G173" s="146">
        <f t="shared" si="108"/>
        <v>0</v>
      </c>
      <c r="H173" s="146">
        <f t="shared" si="108"/>
        <v>0</v>
      </c>
      <c r="I173" s="146">
        <f t="shared" si="108"/>
        <v>0</v>
      </c>
      <c r="J173" s="146">
        <f t="shared" si="108"/>
        <v>0</v>
      </c>
      <c r="K173" s="146">
        <f t="shared" si="108"/>
        <v>0</v>
      </c>
      <c r="L173" s="146">
        <f t="shared" si="108"/>
        <v>0</v>
      </c>
      <c r="M173" s="146">
        <f t="shared" si="108"/>
        <v>9296782.9371519703</v>
      </c>
      <c r="N173" s="151">
        <f t="shared" si="108"/>
        <v>9575686.4252665304</v>
      </c>
    </row>
    <row r="174" spans="2:14" x14ac:dyDescent="0.65">
      <c r="B174" s="3"/>
      <c r="C174" s="8"/>
      <c r="D174" s="146"/>
      <c r="E174" s="146"/>
      <c r="F174" s="146"/>
      <c r="G174" s="146"/>
      <c r="H174" s="146"/>
      <c r="I174" s="146"/>
      <c r="J174" s="146"/>
      <c r="K174" s="146"/>
      <c r="L174" s="146"/>
      <c r="M174" s="146"/>
      <c r="N174" s="151"/>
    </row>
    <row r="175" spans="2:14" x14ac:dyDescent="0.65">
      <c r="B175" s="391" t="s">
        <v>231</v>
      </c>
      <c r="C175" s="366"/>
      <c r="D175" s="366"/>
      <c r="E175" s="366"/>
      <c r="F175" s="366"/>
      <c r="G175" s="366"/>
      <c r="H175" s="366"/>
      <c r="I175" s="366"/>
      <c r="J175" s="366"/>
      <c r="K175" s="366"/>
      <c r="L175" s="366"/>
      <c r="M175" s="366"/>
      <c r="N175" s="393"/>
    </row>
    <row r="176" spans="2:14" x14ac:dyDescent="0.65">
      <c r="B176" s="448" t="str">
        <f>'Assumptions-Retail'!$B$9</f>
        <v>Food Hall</v>
      </c>
      <c r="C176" s="463"/>
      <c r="D176" s="446">
        <f>IFERROR(-SUM(D155)/D$151*D$191,0)</f>
        <v>0</v>
      </c>
      <c r="E176" s="446">
        <f t="shared" ref="E176:N176" si="109">IFERROR(-SUM(E155)/E$151*E$191,0)</f>
        <v>0</v>
      </c>
      <c r="F176" s="446">
        <f t="shared" si="109"/>
        <v>0</v>
      </c>
      <c r="G176" s="446">
        <f t="shared" si="109"/>
        <v>0</v>
      </c>
      <c r="H176" s="446">
        <f t="shared" si="109"/>
        <v>0</v>
      </c>
      <c r="I176" s="446">
        <f t="shared" si="109"/>
        <v>0</v>
      </c>
      <c r="J176" s="446">
        <f t="shared" si="109"/>
        <v>0</v>
      </c>
      <c r="K176" s="446">
        <f t="shared" si="109"/>
        <v>0</v>
      </c>
      <c r="L176" s="446">
        <f t="shared" si="109"/>
        <v>0</v>
      </c>
      <c r="M176" s="446">
        <f t="shared" si="109"/>
        <v>0</v>
      </c>
      <c r="N176" s="450">
        <f t="shared" si="109"/>
        <v>0</v>
      </c>
    </row>
    <row r="177" spans="2:14" x14ac:dyDescent="0.65">
      <c r="B177" s="448" t="str">
        <f>'Assumptions-Retail'!$B$10</f>
        <v>Big Box Retail Space</v>
      </c>
      <c r="C177" s="463"/>
      <c r="D177" s="446">
        <f>IFERROR(-SUM(D158)/D$151*D$191,0)</f>
        <v>0</v>
      </c>
      <c r="E177" s="446">
        <f t="shared" ref="E177:N177" si="110">IFERROR(-SUM(E158)/E$151*E$191,0)</f>
        <v>0</v>
      </c>
      <c r="F177" s="446">
        <f t="shared" si="110"/>
        <v>0</v>
      </c>
      <c r="G177" s="446">
        <f t="shared" si="110"/>
        <v>0</v>
      </c>
      <c r="H177" s="446">
        <f t="shared" si="110"/>
        <v>0</v>
      </c>
      <c r="I177" s="446">
        <f t="shared" si="110"/>
        <v>0</v>
      </c>
      <c r="J177" s="446">
        <f t="shared" si="110"/>
        <v>0</v>
      </c>
      <c r="K177" s="446">
        <f t="shared" si="110"/>
        <v>0</v>
      </c>
      <c r="L177" s="446">
        <f t="shared" si="110"/>
        <v>0</v>
      </c>
      <c r="M177" s="446">
        <f t="shared" si="110"/>
        <v>5610524.6904657511</v>
      </c>
      <c r="N177" s="450">
        <f t="shared" si="110"/>
        <v>5778840.4311797237</v>
      </c>
    </row>
    <row r="178" spans="2:14" x14ac:dyDescent="0.65">
      <c r="B178" s="448" t="str">
        <f>'Assumptions-Retail'!$B$11</f>
        <v>Neighborhood</v>
      </c>
      <c r="C178" s="463"/>
      <c r="D178" s="446">
        <f>IFERROR(-SUM(D161)/D$151*D$191,0)</f>
        <v>0</v>
      </c>
      <c r="E178" s="446">
        <f t="shared" ref="E178:N178" si="111">IFERROR(-SUM(E161)/E$151*E$191,0)</f>
        <v>0</v>
      </c>
      <c r="F178" s="446">
        <f t="shared" si="111"/>
        <v>0</v>
      </c>
      <c r="G178" s="446">
        <f t="shared" si="111"/>
        <v>0</v>
      </c>
      <c r="H178" s="446">
        <f t="shared" si="111"/>
        <v>0</v>
      </c>
      <c r="I178" s="446">
        <f t="shared" si="111"/>
        <v>0</v>
      </c>
      <c r="J178" s="446">
        <f t="shared" si="111"/>
        <v>0</v>
      </c>
      <c r="K178" s="446">
        <f t="shared" si="111"/>
        <v>0</v>
      </c>
      <c r="L178" s="446">
        <f t="shared" si="111"/>
        <v>0</v>
      </c>
      <c r="M178" s="446">
        <f t="shared" si="111"/>
        <v>456853.2825859717</v>
      </c>
      <c r="N178" s="450">
        <f t="shared" si="111"/>
        <v>470558.88106355083</v>
      </c>
    </row>
    <row r="179" spans="2:14" x14ac:dyDescent="0.65">
      <c r="B179" s="448" t="str">
        <f>'Assumptions-Retail'!$B$12</f>
        <v xml:space="preserve">Specialty </v>
      </c>
      <c r="C179" s="463"/>
      <c r="D179" s="446">
        <f>IFERROR(-SUM(D164)/D$151*D$191,0)</f>
        <v>0</v>
      </c>
      <c r="E179" s="446">
        <f t="shared" ref="E179:N179" si="112">IFERROR(-SUM(E164)/E$151*E$191,0)</f>
        <v>0</v>
      </c>
      <c r="F179" s="446">
        <f t="shared" si="112"/>
        <v>0</v>
      </c>
      <c r="G179" s="446">
        <f t="shared" si="112"/>
        <v>0</v>
      </c>
      <c r="H179" s="446">
        <f t="shared" si="112"/>
        <v>0</v>
      </c>
      <c r="I179" s="446">
        <f t="shared" si="112"/>
        <v>0</v>
      </c>
      <c r="J179" s="446">
        <f t="shared" si="112"/>
        <v>0</v>
      </c>
      <c r="K179" s="446">
        <f t="shared" si="112"/>
        <v>0</v>
      </c>
      <c r="L179" s="446">
        <f t="shared" si="112"/>
        <v>0</v>
      </c>
      <c r="M179" s="446">
        <f t="shared" si="112"/>
        <v>130477.31838292444</v>
      </c>
      <c r="N179" s="450">
        <f t="shared" si="112"/>
        <v>134391.63793441217</v>
      </c>
    </row>
    <row r="180" spans="2:14" x14ac:dyDescent="0.65">
      <c r="B180" s="391" t="s">
        <v>232</v>
      </c>
      <c r="C180" s="366"/>
      <c r="D180" s="446">
        <f>SUM(D176:D179)</f>
        <v>0</v>
      </c>
      <c r="E180" s="446">
        <f t="shared" ref="E180:N180" si="113">SUM(E176:E179)</f>
        <v>0</v>
      </c>
      <c r="F180" s="446">
        <f t="shared" si="113"/>
        <v>0</v>
      </c>
      <c r="G180" s="446">
        <f t="shared" si="113"/>
        <v>0</v>
      </c>
      <c r="H180" s="446">
        <f t="shared" si="113"/>
        <v>0</v>
      </c>
      <c r="I180" s="446">
        <f t="shared" si="113"/>
        <v>0</v>
      </c>
      <c r="J180" s="446">
        <f t="shared" si="113"/>
        <v>0</v>
      </c>
      <c r="K180" s="446">
        <f>SUM(K176:K179)</f>
        <v>0</v>
      </c>
      <c r="L180" s="446">
        <f t="shared" si="113"/>
        <v>0</v>
      </c>
      <c r="M180" s="446">
        <f t="shared" si="113"/>
        <v>6197855.2914346475</v>
      </c>
      <c r="N180" s="450">
        <f t="shared" si="113"/>
        <v>6383790.9501776863</v>
      </c>
    </row>
    <row r="181" spans="2:14" x14ac:dyDescent="0.65">
      <c r="B181" s="391"/>
      <c r="C181" s="366"/>
      <c r="D181" s="446"/>
      <c r="E181" s="446"/>
      <c r="F181" s="446"/>
      <c r="G181" s="446"/>
      <c r="H181" s="446"/>
      <c r="I181" s="446"/>
      <c r="J181" s="446"/>
      <c r="K181" s="446"/>
      <c r="L181" s="446"/>
      <c r="M181" s="446"/>
      <c r="N181" s="450"/>
    </row>
    <row r="182" spans="2:14" x14ac:dyDescent="0.65">
      <c r="B182" s="3" t="s">
        <v>201</v>
      </c>
      <c r="C182" s="8"/>
      <c r="D182" s="146"/>
      <c r="E182" s="146"/>
      <c r="F182" s="146"/>
      <c r="G182" s="146"/>
      <c r="H182" s="146"/>
      <c r="I182" s="146"/>
      <c r="J182" s="146"/>
      <c r="K182" s="146"/>
      <c r="L182" s="146"/>
      <c r="M182" s="146"/>
      <c r="N182" s="151"/>
    </row>
    <row r="183" spans="2:14" x14ac:dyDescent="0.65">
      <c r="B183" s="150" t="str">
        <f>'Assumptions-Retail'!$B$9</f>
        <v>Food Hall</v>
      </c>
      <c r="C183" s="8"/>
      <c r="D183" s="146">
        <f>-(D169+D176)*'Assumptions-Retail'!$N8</f>
        <v>0</v>
      </c>
      <c r="E183" s="146">
        <f>-(E169+E176)*'Assumptions-Retail'!$N8</f>
        <v>0</v>
      </c>
      <c r="F183" s="146">
        <f>-(F169+F176)*'Assumptions-Retail'!$N8</f>
        <v>0</v>
      </c>
      <c r="G183" s="146">
        <f>-(G169+G176)*'Assumptions-Retail'!$N8</f>
        <v>0</v>
      </c>
      <c r="H183" s="146">
        <f>-(H169+H176)*'Assumptions-Retail'!$N8</f>
        <v>0</v>
      </c>
      <c r="I183" s="146">
        <f>-(I169+I176)*'Assumptions-Retail'!$N8</f>
        <v>0</v>
      </c>
      <c r="J183" s="146">
        <f>-(J169+J176)*'Assumptions-Retail'!$N8</f>
        <v>0</v>
      </c>
      <c r="K183" s="146">
        <f>-(K169+K176)*'Assumptions-Retail'!$N8</f>
        <v>0</v>
      </c>
      <c r="L183" s="146">
        <f>-(L169+L176)*'Assumptions-Retail'!$N8</f>
        <v>0</v>
      </c>
      <c r="M183" s="146">
        <f>-(M169+M176)*'Assumptions-Retail'!$N8</f>
        <v>0</v>
      </c>
      <c r="N183" s="151">
        <f>-(N169+N176)*'Assumptions-Retail'!$N8</f>
        <v>0</v>
      </c>
    </row>
    <row r="184" spans="2:14" x14ac:dyDescent="0.65">
      <c r="B184" s="150" t="str">
        <f>'Assumptions-Retail'!$B$10</f>
        <v>Big Box Retail Space</v>
      </c>
      <c r="C184" s="8"/>
      <c r="D184" s="146">
        <f>-(D170+D177)*'Assumptions-Retail'!$N9</f>
        <v>0</v>
      </c>
      <c r="E184" s="146">
        <f>-(E170+E177)*'Assumptions-Retail'!$N9</f>
        <v>0</v>
      </c>
      <c r="F184" s="146">
        <f>-(F170+F177)*'Assumptions-Retail'!$N9</f>
        <v>0</v>
      </c>
      <c r="G184" s="146">
        <f>-(G170+G177)*'Assumptions-Retail'!$N9</f>
        <v>0</v>
      </c>
      <c r="H184" s="146">
        <f>-(H170+H177)*'Assumptions-Retail'!$N9</f>
        <v>0</v>
      </c>
      <c r="I184" s="146">
        <f>-(I170+I177)*'Assumptions-Retail'!$N9</f>
        <v>0</v>
      </c>
      <c r="J184" s="146">
        <f>-(J170+J177)*'Assumptions-Retail'!$N9</f>
        <v>0</v>
      </c>
      <c r="K184" s="146">
        <f>-(K170+K177)*'Assumptions-Retail'!$N9</f>
        <v>0</v>
      </c>
      <c r="L184" s="146">
        <f>-(L170+L177)*'Assumptions-Retail'!$N9</f>
        <v>0</v>
      </c>
      <c r="M184" s="146">
        <f>-(M170+M177)*'Assumptions-Retail'!$N9</f>
        <v>-701315.586308219</v>
      </c>
      <c r="N184" s="151">
        <f>-(N170+N177)*'Assumptions-Retail'!$N9</f>
        <v>-722355.05389746546</v>
      </c>
    </row>
    <row r="185" spans="2:14" x14ac:dyDescent="0.65">
      <c r="B185" s="150" t="str">
        <f>'Assumptions-Retail'!$B$11</f>
        <v>Neighborhood</v>
      </c>
      <c r="C185" s="8"/>
      <c r="D185" s="146">
        <f>-(D171+D178)*'Assumptions-Retail'!$N10</f>
        <v>0</v>
      </c>
      <c r="E185" s="146">
        <f>-(E171+E178)*'Assumptions-Retail'!$N10</f>
        <v>0</v>
      </c>
      <c r="F185" s="146">
        <f>-(F171+F178)*'Assumptions-Retail'!$N10</f>
        <v>0</v>
      </c>
      <c r="G185" s="146">
        <f>-(G171+G178)*'Assumptions-Retail'!$N10</f>
        <v>0</v>
      </c>
      <c r="H185" s="146">
        <f>-(H171+H178)*'Assumptions-Retail'!$N10</f>
        <v>0</v>
      </c>
      <c r="I185" s="146">
        <f>-(I171+I178)*'Assumptions-Retail'!$N10</f>
        <v>0</v>
      </c>
      <c r="J185" s="146">
        <f>-(J171+J178)*'Assumptions-Retail'!$N10</f>
        <v>0</v>
      </c>
      <c r="K185" s="146">
        <f>-(K171+K178)*'Assumptions-Retail'!$N10</f>
        <v>0</v>
      </c>
      <c r="L185" s="146">
        <f>-(L171+L178)*'Assumptions-Retail'!$N10</f>
        <v>0</v>
      </c>
      <c r="M185" s="146">
        <f>-(M171+M178)*'Assumptions-Retail'!$N10</f>
        <v>-171319.98096973938</v>
      </c>
      <c r="N185" s="151">
        <f>-(N171+N178)*'Assumptions-Retail'!$N10</f>
        <v>-176459.58039883155</v>
      </c>
    </row>
    <row r="186" spans="2:14" x14ac:dyDescent="0.65">
      <c r="B186" s="150" t="str">
        <f>'Assumptions-Retail'!$B$12</f>
        <v xml:space="preserve">Specialty </v>
      </c>
      <c r="C186" s="8"/>
      <c r="D186" s="146">
        <f>-(D172+D179)*'Assumptions-Retail'!$N11</f>
        <v>0</v>
      </c>
      <c r="E186" s="146">
        <f>-(E172+E179)*'Assumptions-Retail'!$N11</f>
        <v>0</v>
      </c>
      <c r="F186" s="146">
        <f>-(F172+F179)*'Assumptions-Retail'!$N11</f>
        <v>0</v>
      </c>
      <c r="G186" s="146">
        <f>-(G172+G179)*'Assumptions-Retail'!$N11</f>
        <v>0</v>
      </c>
      <c r="H186" s="146">
        <f>-(H172+H179)*'Assumptions-Retail'!$N11</f>
        <v>0</v>
      </c>
      <c r="I186" s="146">
        <f>-(I172+I179)*'Assumptions-Retail'!$N11</f>
        <v>0</v>
      </c>
      <c r="J186" s="146">
        <f>-(J172+J179)*'Assumptions-Retail'!$N11</f>
        <v>0</v>
      </c>
      <c r="K186" s="146">
        <f>-(K172+K179)*'Assumptions-Retail'!$N11</f>
        <v>0</v>
      </c>
      <c r="L186" s="146">
        <f>-(L172+L179)*'Assumptions-Retail'!$N11</f>
        <v>0</v>
      </c>
      <c r="M186" s="146">
        <f>-(M172+M179)*'Assumptions-Retail'!$N11</f>
        <v>-48928.994393596666</v>
      </c>
      <c r="N186" s="151">
        <f>-(N172+N179)*'Assumptions-Retail'!$N11</f>
        <v>-50396.864225404563</v>
      </c>
    </row>
    <row r="187" spans="2:14" x14ac:dyDescent="0.65">
      <c r="B187" s="3" t="s">
        <v>204</v>
      </c>
      <c r="C187" s="8"/>
      <c r="D187" s="146">
        <f>SUM(D183:D186)</f>
        <v>0</v>
      </c>
      <c r="E187" s="146">
        <f t="shared" ref="E187:N187" si="114">SUM(E183:E186)</f>
        <v>0</v>
      </c>
      <c r="F187" s="146">
        <f t="shared" si="114"/>
        <v>0</v>
      </c>
      <c r="G187" s="146">
        <f t="shared" si="114"/>
        <v>0</v>
      </c>
      <c r="H187" s="146">
        <f t="shared" si="114"/>
        <v>0</v>
      </c>
      <c r="I187" s="146">
        <f t="shared" si="114"/>
        <v>0</v>
      </c>
      <c r="J187" s="146">
        <f t="shared" si="114"/>
        <v>0</v>
      </c>
      <c r="K187" s="146">
        <f t="shared" si="114"/>
        <v>0</v>
      </c>
      <c r="L187" s="146">
        <f t="shared" si="114"/>
        <v>0</v>
      </c>
      <c r="M187" s="146">
        <f t="shared" si="114"/>
        <v>-921564.56167155504</v>
      </c>
      <c r="N187" s="151">
        <f t="shared" si="114"/>
        <v>-949211.49852170155</v>
      </c>
    </row>
    <row r="188" spans="2:14" x14ac:dyDescent="0.65">
      <c r="B188" s="3"/>
      <c r="C188" s="8"/>
      <c r="D188" s="146"/>
      <c r="E188" s="146"/>
      <c r="F188" s="146"/>
      <c r="G188" s="146"/>
      <c r="H188" s="128"/>
      <c r="I188" s="146"/>
      <c r="J188" s="146"/>
      <c r="K188" s="146"/>
      <c r="L188" s="146"/>
      <c r="M188" s="146"/>
      <c r="N188" s="151"/>
    </row>
    <row r="189" spans="2:14" x14ac:dyDescent="0.65">
      <c r="B189" s="3" t="s">
        <v>205</v>
      </c>
      <c r="C189" s="8"/>
      <c r="D189" s="145">
        <f>D173+D180+D187</f>
        <v>0</v>
      </c>
      <c r="E189" s="145">
        <f t="shared" ref="E189:N189" si="115">E173+E180+E187</f>
        <v>0</v>
      </c>
      <c r="F189" s="145">
        <f t="shared" si="115"/>
        <v>0</v>
      </c>
      <c r="G189" s="145">
        <f t="shared" si="115"/>
        <v>0</v>
      </c>
      <c r="H189" s="145">
        <f t="shared" si="115"/>
        <v>0</v>
      </c>
      <c r="I189" s="145">
        <f t="shared" si="115"/>
        <v>0</v>
      </c>
      <c r="J189" s="145">
        <f t="shared" si="115"/>
        <v>0</v>
      </c>
      <c r="K189" s="145">
        <f t="shared" si="115"/>
        <v>0</v>
      </c>
      <c r="L189" s="145">
        <f t="shared" si="115"/>
        <v>0</v>
      </c>
      <c r="M189" s="145">
        <f t="shared" si="115"/>
        <v>14573073.666915063</v>
      </c>
      <c r="N189" s="153">
        <f t="shared" si="115"/>
        <v>15010265.876922514</v>
      </c>
    </row>
    <row r="190" spans="2:14" x14ac:dyDescent="0.65">
      <c r="B190" s="3"/>
      <c r="C190" s="8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51"/>
    </row>
    <row r="191" spans="2:14" x14ac:dyDescent="0.65">
      <c r="B191" s="3" t="s">
        <v>207</v>
      </c>
      <c r="C191" s="8"/>
      <c r="D191" s="146">
        <f>-D151*'Assumptions-Retail'!$N$13*(1+'Assumptions-Overall'!$C$39)^('CashFlow-Retail'!D$7-1)</f>
        <v>0</v>
      </c>
      <c r="E191" s="146">
        <f>-E151*'Assumptions-Retail'!$N$13*(1+'Assumptions-Overall'!$C$39)^('CashFlow-Retail'!E$7-1)</f>
        <v>0</v>
      </c>
      <c r="F191" s="146">
        <f>-F151*'Assumptions-Retail'!$N$13*(1+'Assumptions-Overall'!$C$39)^('CashFlow-Retail'!F$7-1)</f>
        <v>0</v>
      </c>
      <c r="G191" s="146">
        <f>-G151*'Assumptions-Retail'!$N$13*(1+'Assumptions-Overall'!$C$39)^('CashFlow-Retail'!G$7-1)</f>
        <v>0</v>
      </c>
      <c r="H191" s="146">
        <f>-H151*'Assumptions-Retail'!$N$13*(1+'Assumptions-Overall'!$C$39)^('CashFlow-Retail'!H$7-1)</f>
        <v>0</v>
      </c>
      <c r="I191" s="146">
        <f>-I151*'Assumptions-Retail'!$N$13*(1+'Assumptions-Overall'!$C$39)^('CashFlow-Retail'!I$7-1)</f>
        <v>0</v>
      </c>
      <c r="J191" s="146">
        <f>-J151*'Assumptions-Retail'!$N$13*(1+'Assumptions-Overall'!$C$39)^('CashFlow-Retail'!J$7-1)</f>
        <v>0</v>
      </c>
      <c r="K191" s="146">
        <f>-K151*'Assumptions-Retail'!$N$13*(1+'Assumptions-Overall'!$C$39)^('CashFlow-Retail'!K$7-1)</f>
        <v>0</v>
      </c>
      <c r="L191" s="146">
        <f>-L151*'Assumptions-Retail'!$N$13*(1+'Assumptions-Overall'!$C$39)^('CashFlow-Retail'!L$7-1)</f>
        <v>0</v>
      </c>
      <c r="M191" s="146">
        <f>-M151*'Assumptions-Retail'!$N$13*(1+'Assumptions-Overall'!$C$39)^('CashFlow-Retail'!M$7-1)</f>
        <v>-6197855.2914346475</v>
      </c>
      <c r="N191" s="151">
        <f>-N151*'Assumptions-Retail'!$N$13*(1+'Assumptions-Overall'!$C$39)^('CashFlow-Retail'!N$7-1)</f>
        <v>-6383790.9501776863</v>
      </c>
    </row>
    <row r="192" spans="2:14" x14ac:dyDescent="0.65">
      <c r="B192" s="3"/>
      <c r="C192" s="8"/>
      <c r="D192" s="146"/>
      <c r="E192" s="146"/>
      <c r="F192" s="146"/>
      <c r="G192" s="146"/>
      <c r="H192" s="146"/>
      <c r="I192" s="146"/>
      <c r="J192" s="146"/>
      <c r="K192" s="146"/>
      <c r="L192" s="146"/>
      <c r="M192" s="146"/>
      <c r="N192" s="151"/>
    </row>
    <row r="193" spans="2:14" x14ac:dyDescent="0.65">
      <c r="B193" s="3" t="s">
        <v>209</v>
      </c>
      <c r="C193" s="8"/>
      <c r="D193" s="145">
        <f>SUM(D$189:D$191)</f>
        <v>0</v>
      </c>
      <c r="E193" s="145">
        <f t="shared" ref="E193:N193" si="116">SUM(E$189:E$191)</f>
        <v>0</v>
      </c>
      <c r="F193" s="145">
        <f t="shared" si="116"/>
        <v>0</v>
      </c>
      <c r="G193" s="145">
        <f t="shared" si="116"/>
        <v>0</v>
      </c>
      <c r="H193" s="145">
        <f t="shared" si="116"/>
        <v>0</v>
      </c>
      <c r="I193" s="145">
        <f t="shared" si="116"/>
        <v>0</v>
      </c>
      <c r="J193" s="145">
        <f t="shared" si="116"/>
        <v>0</v>
      </c>
      <c r="K193" s="145">
        <f t="shared" si="116"/>
        <v>0</v>
      </c>
      <c r="L193" s="145">
        <f t="shared" si="116"/>
        <v>0</v>
      </c>
      <c r="M193" s="145">
        <f t="shared" si="116"/>
        <v>8375218.3754804153</v>
      </c>
      <c r="N193" s="153">
        <f t="shared" si="116"/>
        <v>8626474.926744828</v>
      </c>
    </row>
    <row r="194" spans="2:14" x14ac:dyDescent="0.65">
      <c r="B194" s="3"/>
      <c r="C194" s="8"/>
      <c r="D194" s="146"/>
      <c r="E194" s="146"/>
      <c r="F194" s="146"/>
      <c r="G194" s="146"/>
      <c r="H194" s="146"/>
      <c r="I194" s="146"/>
      <c r="J194" s="146"/>
      <c r="K194" s="146"/>
      <c r="L194" s="146"/>
      <c r="M194" s="146"/>
      <c r="N194" s="159"/>
    </row>
    <row r="195" spans="2:14" x14ac:dyDescent="0.65">
      <c r="B195" s="3" t="s">
        <v>189</v>
      </c>
      <c r="C195" s="8"/>
      <c r="D195" s="146">
        <f>-D151*'Assumptions-Retail'!$N$15*(1+'Assumptions-Overall'!$C$40)^('CashFlow-Retail'!D$7-1)</f>
        <v>0</v>
      </c>
      <c r="E195" s="146">
        <f>-E151*'Assumptions-Retail'!$N$15*(1+'Assumptions-Overall'!$C$40)^('CashFlow-Retail'!E$7-1)</f>
        <v>0</v>
      </c>
      <c r="F195" s="146">
        <f>-F151*'Assumptions-Retail'!$N$15*(1+'Assumptions-Overall'!$C$40)^('CashFlow-Retail'!F$7-1)</f>
        <v>0</v>
      </c>
      <c r="G195" s="146">
        <f>-G151*'Assumptions-Retail'!$N$15*(1+'Assumptions-Overall'!$C$40)^('CashFlow-Retail'!G$7-1)</f>
        <v>0</v>
      </c>
      <c r="H195" s="146">
        <f>-H151*'Assumptions-Retail'!$N$15*(1+'Assumptions-Overall'!$C$40)^('CashFlow-Retail'!H$7-1)</f>
        <v>0</v>
      </c>
      <c r="I195" s="146">
        <f>-I151*'Assumptions-Retail'!$N$15*(1+'Assumptions-Overall'!$C$40)^('CashFlow-Retail'!I$7-1)</f>
        <v>0</v>
      </c>
      <c r="J195" s="146">
        <f>-J151*'Assumptions-Retail'!$N$15*(1+'Assumptions-Overall'!$C$40)^('CashFlow-Retail'!J$7-1)</f>
        <v>0</v>
      </c>
      <c r="K195" s="146">
        <f>-K151*'Assumptions-Retail'!$N$15*(1+'Assumptions-Overall'!$C$40)^('CashFlow-Retail'!K$7-1)</f>
        <v>0</v>
      </c>
      <c r="L195" s="146">
        <f>-L151*'Assumptions-Retail'!$N$15*(1+'Assumptions-Overall'!$C$40)^('CashFlow-Retail'!L$7-1)</f>
        <v>0</v>
      </c>
      <c r="M195" s="146">
        <f>-M151*'Assumptions-Retail'!$N$15*(1+'Assumptions-Overall'!$C$40)^('CashFlow-Retail'!M$7-1)</f>
        <v>-61978.552914346474</v>
      </c>
      <c r="N195" s="151">
        <f>-N151*'Assumptions-Retail'!$N$15*(1+'Assumptions-Overall'!$C$40)^('CashFlow-Retail'!N$7-1)</f>
        <v>-63837.90950177687</v>
      </c>
    </row>
    <row r="196" spans="2:14" x14ac:dyDescent="0.65">
      <c r="B196" s="3"/>
      <c r="C196" s="8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51"/>
    </row>
    <row r="197" spans="2:14" x14ac:dyDescent="0.65">
      <c r="B197" s="3" t="s">
        <v>208</v>
      </c>
      <c r="C197" s="8"/>
      <c r="D197" s="145">
        <f>SUM(D$193:D$195)</f>
        <v>0</v>
      </c>
      <c r="E197" s="145">
        <f t="shared" ref="E197:N197" si="117">SUM(E$193:E$195)</f>
        <v>0</v>
      </c>
      <c r="F197" s="145">
        <f t="shared" si="117"/>
        <v>0</v>
      </c>
      <c r="G197" s="145">
        <f t="shared" si="117"/>
        <v>0</v>
      </c>
      <c r="H197" s="145">
        <f t="shared" si="117"/>
        <v>0</v>
      </c>
      <c r="I197" s="145">
        <f t="shared" si="117"/>
        <v>0</v>
      </c>
      <c r="J197" s="145">
        <f t="shared" si="117"/>
        <v>0</v>
      </c>
      <c r="K197" s="145">
        <f t="shared" si="117"/>
        <v>0</v>
      </c>
      <c r="L197" s="145">
        <f t="shared" si="117"/>
        <v>0</v>
      </c>
      <c r="M197" s="145">
        <f t="shared" si="117"/>
        <v>8313239.8225660687</v>
      </c>
      <c r="N197" s="153">
        <f t="shared" si="117"/>
        <v>8562637.0172430519</v>
      </c>
    </row>
    <row r="198" spans="2:14" x14ac:dyDescent="0.65">
      <c r="B198" s="3"/>
      <c r="C198" s="8"/>
      <c r="D198" s="146"/>
      <c r="E198" s="146"/>
      <c r="F198" s="146"/>
      <c r="G198" s="146"/>
      <c r="H198" s="146"/>
      <c r="I198" s="146"/>
      <c r="J198" s="146"/>
      <c r="K198" s="146"/>
      <c r="L198" s="146"/>
      <c r="M198" s="146"/>
      <c r="N198" s="151"/>
    </row>
    <row r="199" spans="2:14" x14ac:dyDescent="0.65">
      <c r="B199" s="36" t="s">
        <v>130</v>
      </c>
      <c r="C199" s="8"/>
      <c r="D199" s="146"/>
      <c r="E199" s="146"/>
      <c r="F199" s="146"/>
      <c r="G199" s="146"/>
      <c r="H199" s="146"/>
      <c r="I199" s="146"/>
      <c r="J199" s="146"/>
      <c r="K199" s="146"/>
      <c r="L199" s="146"/>
      <c r="M199" s="146"/>
      <c r="N199" s="151"/>
    </row>
    <row r="200" spans="2:14" x14ac:dyDescent="0.65">
      <c r="B200" s="3" t="s">
        <v>473</v>
      </c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9"/>
    </row>
    <row r="201" spans="2:14" x14ac:dyDescent="0.65">
      <c r="B201" s="150" t="str">
        <f>'Assumptions-Retail'!$B$9</f>
        <v>Food Hall</v>
      </c>
      <c r="C201" s="8"/>
      <c r="D201" s="146">
        <f>(-(AND(D$8&gt;=YEAR(PhaseIIIConBegin),D$8&lt;=YEAR(PhaseIIIConEnd)))*SUM($D156:$N156)*'Assumptions-Overall'!$J17*(1+'Assumptions-Overall'!$C$41)^('CashFlow-Retail'!D$7-1)/(YEAR(PhaseIIIConEnd)-YEAR(PhaseIIIConBegin)+1))/(YEAR(PhaseIIIConEnd)-YEAR(PhaseIIIConBegin)+1)</f>
        <v>0</v>
      </c>
      <c r="E201" s="146">
        <f>(-(AND(E$8&gt;=YEAR(PhaseIIIConBegin),E$8&lt;=YEAR(PhaseIIIConEnd)))*SUM($D156:$N156)*'Assumptions-Overall'!$J17*(1+'Assumptions-Overall'!$C$41)^('CashFlow-Retail'!E$7-1)/(YEAR(PhaseIIIConEnd)-YEAR(PhaseIIIConBegin)+1))/(YEAR(PhaseIIIConEnd)-YEAR(PhaseIIIConBegin)+1)</f>
        <v>0</v>
      </c>
      <c r="F201" s="146">
        <f>(-(AND(F$8&gt;=YEAR(PhaseIIIConBegin),F$8&lt;=YEAR(PhaseIIIConEnd)))*SUM($D156:$N156)*'Assumptions-Overall'!$J17*(1+'Assumptions-Overall'!$C$41)^('CashFlow-Retail'!F$7-1)/(YEAR(PhaseIIIConEnd)-YEAR(PhaseIIIConBegin)+1))/(YEAR(PhaseIIIConEnd)-YEAR(PhaseIIIConBegin)+1)</f>
        <v>0</v>
      </c>
      <c r="G201" s="146">
        <f>(-(AND(G$8&gt;=YEAR(PhaseIIIConBegin),G$8&lt;=YEAR(PhaseIIIConEnd)))*SUM($D156:$N156)*'Assumptions-Overall'!$J17*(1+'Assumptions-Overall'!$C$41)^('CashFlow-Retail'!G$7-1)/(YEAR(PhaseIIIConEnd)-YEAR(PhaseIIIConBegin)+1))/(YEAR(PhaseIIIConEnd)-YEAR(PhaseIIIConBegin)+1)</f>
        <v>0</v>
      </c>
      <c r="H201" s="146">
        <f>(-(AND(H$8&gt;=YEAR(PhaseIIIConBegin),H$8&lt;=YEAR(PhaseIIIConEnd)))*SUM($D156:$N156)*'Assumptions-Overall'!$J17*(1+'Assumptions-Overall'!$C$41)^('CashFlow-Retail'!H$7-1)/(YEAR(PhaseIIIConEnd)-YEAR(PhaseIIIConBegin)+1))/(YEAR(PhaseIIIConEnd)-YEAR(PhaseIIIConBegin)+1)</f>
        <v>0</v>
      </c>
      <c r="I201" s="146">
        <f>(-(AND(I$8&gt;=YEAR(PhaseIIIConBegin),I$8&lt;=YEAR(PhaseIIIConEnd)))*SUM($D156:$N156)*'Assumptions-Overall'!$J17*(1+'Assumptions-Overall'!$C$41)^('CashFlow-Retail'!I$7-1)/(YEAR(PhaseIIIConEnd)-YEAR(PhaseIIIConBegin)+1))/(YEAR(PhaseIIIConEnd)-YEAR(PhaseIIIConBegin)+1)</f>
        <v>0</v>
      </c>
      <c r="J201" s="146">
        <f>(-(AND(J$8&gt;=YEAR(PhaseIIIConBegin),J$8&lt;=YEAR(PhaseIIIConEnd)))*SUM($D156:$N156)*'Assumptions-Overall'!$J17*(1+'Assumptions-Overall'!$C$41)^('CashFlow-Retail'!J$7-1)/(YEAR(PhaseIIIConEnd)-YEAR(PhaseIIIConBegin)+1))/(YEAR(PhaseIIIConEnd)-YEAR(PhaseIIIConBegin)+1)</f>
        <v>0</v>
      </c>
      <c r="K201" s="146">
        <f>(-(AND(K$8&gt;=YEAR(PhaseIIIConBegin),K$8&lt;=YEAR(PhaseIIIConEnd)))*SUM($D156:$N156)*'Assumptions-Overall'!$J17*(1+'Assumptions-Overall'!$C$41)^('CashFlow-Retail'!K$7-1)/(YEAR(PhaseIIIConEnd)-YEAR(PhaseIIIConBegin)+1))/(YEAR(PhaseIIIConEnd)-YEAR(PhaseIIIConBegin)+1)</f>
        <v>0</v>
      </c>
      <c r="L201" s="146">
        <f>(-(AND(L$8&gt;=YEAR(PhaseIIIConBegin),L$8&lt;=YEAR(PhaseIIIConEnd)))*SUM($D156:$N156)*'Assumptions-Overall'!$J17*(1+'Assumptions-Overall'!$C$41)^('CashFlow-Retail'!L$7-1)/(YEAR(PhaseIIIConEnd)-YEAR(PhaseIIIConBegin)+1))/(YEAR(PhaseIIIConEnd)-YEAR(PhaseIIIConBegin)+1)</f>
        <v>0</v>
      </c>
      <c r="M201" s="146">
        <f>(-(AND(M$8&gt;=YEAR(PhaseIIIConBegin),M$8&lt;=YEAR(PhaseIIIConEnd)))*SUM($D156:$N156)*'Assumptions-Overall'!$J17*(1+'Assumptions-Overall'!$C$41)^('CashFlow-Retail'!M$7-1)/(YEAR(PhaseIIIConEnd)-YEAR(PhaseIIIConBegin)+1))/(YEAR(PhaseIIIConEnd)-YEAR(PhaseIIIConBegin)+1)</f>
        <v>0</v>
      </c>
      <c r="N201" s="151"/>
    </row>
    <row r="202" spans="2:14" x14ac:dyDescent="0.65">
      <c r="B202" s="150" t="str">
        <f>'Assumptions-Retail'!$B$10</f>
        <v>Big Box Retail Space</v>
      </c>
      <c r="C202" s="8"/>
      <c r="D202" s="146">
        <f>(-(AND(D$8&gt;=YEAR(PhaseIIIConBegin),D$8&lt;=YEAR(PhaseIIIConEnd)))*SUM($D159:$N159)*'Assumptions-Overall'!$J18*(1+'Assumptions-Overall'!$C$41)^('CashFlow-Retail'!D$7-1)/(YEAR(PhaseIIIConEnd)-YEAR(PhaseIIIConBegin)+1))/(YEAR(PhaseIIIConEnd)-YEAR(PhaseIIIConBegin)+1)</f>
        <v>0</v>
      </c>
      <c r="E202" s="146">
        <f>(-(AND(E$8&gt;=YEAR(PhaseIIIConBegin),E$8&lt;=YEAR(PhaseIIIConEnd)))*SUM($D159:$N159)*'Assumptions-Overall'!$J18*(1+'Assumptions-Overall'!$C$41)^('CashFlow-Retail'!E$7-1)/(YEAR(PhaseIIIConEnd)-YEAR(PhaseIIIConBegin)+1))/(YEAR(PhaseIIIConEnd)-YEAR(PhaseIIIConBegin)+1)</f>
        <v>0</v>
      </c>
      <c r="F202" s="146">
        <f>(-(AND(F$8&gt;=YEAR(PhaseIIIConBegin),F$8&lt;=YEAR(PhaseIIIConEnd)))*SUM($D159:$N159)*'Assumptions-Overall'!$J18*(1+'Assumptions-Overall'!$C$41)^('CashFlow-Retail'!F$7-1)/(YEAR(PhaseIIIConEnd)-YEAR(PhaseIIIConBegin)+1))/(YEAR(PhaseIIIConEnd)-YEAR(PhaseIIIConBegin)+1)</f>
        <v>0</v>
      </c>
      <c r="G202" s="146">
        <f>(-(AND(G$8&gt;=YEAR(PhaseIIIConBegin),G$8&lt;=YEAR(PhaseIIIConEnd)))*SUM($D159:$N159)*'Assumptions-Overall'!$J18*(1+'Assumptions-Overall'!$C$41)^('CashFlow-Retail'!G$7-1)/(YEAR(PhaseIIIConEnd)-YEAR(PhaseIIIConBegin)+1))/(YEAR(PhaseIIIConEnd)-YEAR(PhaseIIIConBegin)+1)</f>
        <v>0</v>
      </c>
      <c r="H202" s="146">
        <f>(-(AND(H$8&gt;=YEAR(PhaseIIIConBegin),H$8&lt;=YEAR(PhaseIIIConEnd)))*SUM($D159:$N159)*'Assumptions-Overall'!$J18*(1+'Assumptions-Overall'!$C$41)^('CashFlow-Retail'!H$7-1)/(YEAR(PhaseIIIConEnd)-YEAR(PhaseIIIConBegin)+1))/(YEAR(PhaseIIIConEnd)-YEAR(PhaseIIIConBegin)+1)</f>
        <v>0</v>
      </c>
      <c r="I202" s="146">
        <f>(-(AND(I$8&gt;=YEAR(PhaseIIIConBegin),I$8&lt;=YEAR(PhaseIIIConEnd)))*SUM($D159:$N159)*'Assumptions-Overall'!$J18*(1+'Assumptions-Overall'!$C$41)^('CashFlow-Retail'!I$7-1)/(YEAR(PhaseIIIConEnd)-YEAR(PhaseIIIConBegin)+1))/(YEAR(PhaseIIIConEnd)-YEAR(PhaseIIIConBegin)+1)</f>
        <v>0</v>
      </c>
      <c r="J202" s="146">
        <f>(-(AND(J$8&gt;=YEAR(PhaseIIIConBegin),J$8&lt;=YEAR(PhaseIIIConEnd)))*SUM($D159:$N159)*'Assumptions-Overall'!$J18*(1+'Assumptions-Overall'!$C$41)^('CashFlow-Retail'!J$7-1)/(YEAR(PhaseIIIConEnd)-YEAR(PhaseIIIConBegin)+1))/(YEAR(PhaseIIIConEnd)-YEAR(PhaseIIIConBegin)+1)</f>
        <v>0</v>
      </c>
      <c r="K202" s="146">
        <f>(-(AND(K$8&gt;=YEAR(PhaseIIIConBegin),K$8&lt;=YEAR(PhaseIIIConEnd)))*SUM($D159:$N159)*'Assumptions-Overall'!$J18*(1+'Assumptions-Overall'!$C$41)^('CashFlow-Retail'!K$7-1)/(YEAR(PhaseIIIConEnd)-YEAR(PhaseIIIConBegin)+1))/(YEAR(PhaseIIIConEnd)-YEAR(PhaseIIIConBegin)+1)</f>
        <v>-6610572.0266586766</v>
      </c>
      <c r="L202" s="146">
        <f>(-(AND(L$8&gt;=YEAR(PhaseIIIConBegin),L$8&lt;=YEAR(PhaseIIIConEnd)))*SUM($D159:$N159)*'Assumptions-Overall'!$J18*(1+'Assumptions-Overall'!$C$41)^('CashFlow-Retail'!L$7-1)/(YEAR(PhaseIIIConEnd)-YEAR(PhaseIIIConBegin)+1))/(YEAR(PhaseIIIConEnd)-YEAR(PhaseIIIConBegin)+1)</f>
        <v>-6808889.187458436</v>
      </c>
      <c r="M202" s="146">
        <f>(-(AND(M$8&gt;=YEAR(PhaseIIIConBegin),M$8&lt;=YEAR(PhaseIIIConEnd)))*SUM($D159:$N159)*'Assumptions-Overall'!$J18*(1+'Assumptions-Overall'!$C$41)^('CashFlow-Retail'!M$7-1)/(YEAR(PhaseIIIConEnd)-YEAR(PhaseIIIConBegin)+1))/(YEAR(PhaseIIIConEnd)-YEAR(PhaseIIIConBegin)+1)</f>
        <v>0</v>
      </c>
      <c r="N202" s="151"/>
    </row>
    <row r="203" spans="2:14" x14ac:dyDescent="0.65">
      <c r="B203" s="150" t="str">
        <f>'Assumptions-Retail'!$B$11</f>
        <v>Neighborhood</v>
      </c>
      <c r="C203" s="8"/>
      <c r="D203" s="146">
        <f>(-(AND(D$8&gt;=YEAR(PhaseIIIConBegin),D$8&lt;=YEAR(PhaseIIIConEnd)))*SUM($D162:$N162)*'Assumptions-Overall'!$J19*(1+'Assumptions-Overall'!$C$41)^('CashFlow-Retail'!D$7-1)/(YEAR(PhaseIIIConEnd)-YEAR(PhaseIIIConBegin)+1))/(YEAR(PhaseIIIConEnd)-YEAR(PhaseIIIConBegin)+1)</f>
        <v>0</v>
      </c>
      <c r="E203" s="146">
        <f>(-(AND(E$8&gt;=YEAR(PhaseIIIConBegin),E$8&lt;=YEAR(PhaseIIIConEnd)))*SUM($D162:$N162)*'Assumptions-Overall'!$J19*(1+'Assumptions-Overall'!$C$41)^('CashFlow-Retail'!E$7-1)/(YEAR(PhaseIIIConEnd)-YEAR(PhaseIIIConBegin)+1))/(YEAR(PhaseIIIConEnd)-YEAR(PhaseIIIConBegin)+1)</f>
        <v>0</v>
      </c>
      <c r="F203" s="146">
        <f>(-(AND(F$8&gt;=YEAR(PhaseIIIConBegin),F$8&lt;=YEAR(PhaseIIIConEnd)))*SUM($D162:$N162)*'Assumptions-Overall'!$J19*(1+'Assumptions-Overall'!$C$41)^('CashFlow-Retail'!F$7-1)/(YEAR(PhaseIIIConEnd)-YEAR(PhaseIIIConBegin)+1))/(YEAR(PhaseIIIConEnd)-YEAR(PhaseIIIConBegin)+1)</f>
        <v>0</v>
      </c>
      <c r="G203" s="146">
        <f>(-(AND(G$8&gt;=YEAR(PhaseIIIConBegin),G$8&lt;=YEAR(PhaseIIIConEnd)))*SUM($D162:$N162)*'Assumptions-Overall'!$J19*(1+'Assumptions-Overall'!$C$41)^('CashFlow-Retail'!G$7-1)/(YEAR(PhaseIIIConEnd)-YEAR(PhaseIIIConBegin)+1))/(YEAR(PhaseIIIConEnd)-YEAR(PhaseIIIConBegin)+1)</f>
        <v>0</v>
      </c>
      <c r="H203" s="146">
        <f>(-(AND(H$8&gt;=YEAR(PhaseIIIConBegin),H$8&lt;=YEAR(PhaseIIIConEnd)))*SUM($D162:$N162)*'Assumptions-Overall'!$J19*(1+'Assumptions-Overall'!$C$41)^('CashFlow-Retail'!H$7-1)/(YEAR(PhaseIIIConEnd)-YEAR(PhaseIIIConBegin)+1))/(YEAR(PhaseIIIConEnd)-YEAR(PhaseIIIConBegin)+1)</f>
        <v>0</v>
      </c>
      <c r="I203" s="146">
        <f>(-(AND(I$8&gt;=YEAR(PhaseIIIConBegin),I$8&lt;=YEAR(PhaseIIIConEnd)))*SUM($D162:$N162)*'Assumptions-Overall'!$J19*(1+'Assumptions-Overall'!$C$41)^('CashFlow-Retail'!I$7-1)/(YEAR(PhaseIIIConEnd)-YEAR(PhaseIIIConBegin)+1))/(YEAR(PhaseIIIConEnd)-YEAR(PhaseIIIConBegin)+1)</f>
        <v>0</v>
      </c>
      <c r="J203" s="146">
        <f>(-(AND(J$8&gt;=YEAR(PhaseIIIConBegin),J$8&lt;=YEAR(PhaseIIIConEnd)))*SUM($D162:$N162)*'Assumptions-Overall'!$J19*(1+'Assumptions-Overall'!$C$41)^('CashFlow-Retail'!J$7-1)/(YEAR(PhaseIIIConEnd)-YEAR(PhaseIIIConBegin)+1))/(YEAR(PhaseIIIConEnd)-YEAR(PhaseIIIConBegin)+1)</f>
        <v>0</v>
      </c>
      <c r="K203" s="146">
        <f>(-(AND(K$8&gt;=YEAR(PhaseIIIConBegin),K$8&lt;=YEAR(PhaseIIIConEnd)))*SUM($D162:$N162)*'Assumptions-Overall'!$J19*(1+'Assumptions-Overall'!$C$41)^('CashFlow-Retail'!K$7-1)/(YEAR(PhaseIIIConEnd)-YEAR(PhaseIIIConBegin)+1))/(YEAR(PhaseIIIConEnd)-YEAR(PhaseIIIConBegin)+1)</f>
        <v>-430628.03523986397</v>
      </c>
      <c r="L203" s="146">
        <f>(-(AND(L$8&gt;=YEAR(PhaseIIIConBegin),L$8&lt;=YEAR(PhaseIIIConEnd)))*SUM($D162:$N162)*'Assumptions-Overall'!$J19*(1+'Assumptions-Overall'!$C$41)^('CashFlow-Retail'!L$7-1)/(YEAR(PhaseIIIConEnd)-YEAR(PhaseIIIConBegin)+1))/(YEAR(PhaseIIIConEnd)-YEAR(PhaseIIIConBegin)+1)</f>
        <v>-443546.87629705982</v>
      </c>
      <c r="M203" s="146">
        <f>(-(AND(M$8&gt;=YEAR(PhaseIIIConBegin),M$8&lt;=YEAR(PhaseIIIConEnd)))*SUM($D162:$N162)*'Assumptions-Overall'!$J19*(1+'Assumptions-Overall'!$C$41)^('CashFlow-Retail'!M$7-1)/(YEAR(PhaseIIIConEnd)-YEAR(PhaseIIIConBegin)+1))/(YEAR(PhaseIIIConEnd)-YEAR(PhaseIIIConBegin)+1)</f>
        <v>0</v>
      </c>
      <c r="N203" s="151"/>
    </row>
    <row r="204" spans="2:14" x14ac:dyDescent="0.65">
      <c r="B204" s="150" t="str">
        <f>'Assumptions-Retail'!$B$12</f>
        <v xml:space="preserve">Specialty </v>
      </c>
      <c r="C204" s="8"/>
      <c r="D204" s="146">
        <f>(-(AND(D$8&gt;=YEAR(PhaseIIIConBegin),D$8&lt;=YEAR(PhaseIIIConEnd)))*SUM($D164:$N164)*'Assumptions-Overall'!$J19*(1+'Assumptions-Overall'!$C$41)^('CashFlow-Retail'!D$7-1)/(YEAR(PhaseIIIConEnd)-YEAR(PhaseIIIConBegin)+1))/(YEAR(PhaseIIIConEnd)-YEAR(PhaseIIIConBegin)+1)</f>
        <v>0</v>
      </c>
      <c r="E204" s="146">
        <f>(-(AND(E$8&gt;=YEAR(PhaseIIIConBegin),E$8&lt;=YEAR(PhaseIIIConEnd)))*SUM($D164:$N164)*'Assumptions-Overall'!$J19*(1+'Assumptions-Overall'!$C$41)^('CashFlow-Retail'!E$7-1)/(YEAR(PhaseIIIConEnd)-YEAR(PhaseIIIConBegin)+1))/(YEAR(PhaseIIIConEnd)-YEAR(PhaseIIIConBegin)+1)</f>
        <v>0</v>
      </c>
      <c r="F204" s="146">
        <f>(-(AND(F$8&gt;=YEAR(PhaseIIIConBegin),F$8&lt;=YEAR(PhaseIIIConEnd)))*SUM($D164:$N164)*'Assumptions-Overall'!$J19*(1+'Assumptions-Overall'!$C$41)^('CashFlow-Retail'!F$7-1)/(YEAR(PhaseIIIConEnd)-YEAR(PhaseIIIConBegin)+1))/(YEAR(PhaseIIIConEnd)-YEAR(PhaseIIIConBegin)+1)</f>
        <v>0</v>
      </c>
      <c r="G204" s="146">
        <f>(-(AND(G$8&gt;=YEAR(PhaseIIIConBegin),G$8&lt;=YEAR(PhaseIIIConEnd)))*SUM($D164:$N164)*'Assumptions-Overall'!$J19*(1+'Assumptions-Overall'!$C$41)^('CashFlow-Retail'!G$7-1)/(YEAR(PhaseIIIConEnd)-YEAR(PhaseIIIConBegin)+1))/(YEAR(PhaseIIIConEnd)-YEAR(PhaseIIIConBegin)+1)</f>
        <v>0</v>
      </c>
      <c r="H204" s="146">
        <f>(-(AND(H$8&gt;=YEAR(PhaseIIIConBegin),H$8&lt;=YEAR(PhaseIIIConEnd)))*SUM($D164:$N164)*'Assumptions-Overall'!$J19*(1+'Assumptions-Overall'!$C$41)^('CashFlow-Retail'!H$7-1)/(YEAR(PhaseIIIConEnd)-YEAR(PhaseIIIConBegin)+1))/(YEAR(PhaseIIIConEnd)-YEAR(PhaseIIIConBegin)+1)</f>
        <v>0</v>
      </c>
      <c r="I204" s="146">
        <f>(-(AND(I$8&gt;=YEAR(PhaseIIIConBegin),I$8&lt;=YEAR(PhaseIIIConEnd)))*SUM($D164:$N164)*'Assumptions-Overall'!$J19*(1+'Assumptions-Overall'!$C$41)^('CashFlow-Retail'!I$7-1)/(YEAR(PhaseIIIConEnd)-YEAR(PhaseIIIConBegin)+1))/(YEAR(PhaseIIIConEnd)-YEAR(PhaseIIIConBegin)+1)</f>
        <v>0</v>
      </c>
      <c r="J204" s="146">
        <f>(-(AND(J$8&gt;=YEAR(PhaseIIIConBegin),J$8&lt;=YEAR(PhaseIIIConEnd)))*SUM($D164:$N164)*'Assumptions-Overall'!$J19*(1+'Assumptions-Overall'!$C$41)^('CashFlow-Retail'!J$7-1)/(YEAR(PhaseIIIConEnd)-YEAR(PhaseIIIConBegin)+1))/(YEAR(PhaseIIIConEnd)-YEAR(PhaseIIIConBegin)+1)</f>
        <v>0</v>
      </c>
      <c r="K204" s="146">
        <f>(-(AND(K$8&gt;=YEAR(PhaseIIIConBegin),K$8&lt;=YEAR(PhaseIIIConEnd)))*SUM($D164:$N164)*'Assumptions-Overall'!$J19*(1+'Assumptions-Overall'!$C$41)^('CashFlow-Retail'!K$7-1)/(YEAR(PhaseIIIConEnd)-YEAR(PhaseIIIConBegin)+1))/(YEAR(PhaseIIIConEnd)-YEAR(PhaseIIIConBegin)+1)</f>
        <v>-245974.773084974</v>
      </c>
      <c r="L204" s="146">
        <f>(-(AND(L$8&gt;=YEAR(PhaseIIIConBegin),L$8&lt;=YEAR(PhaseIIIConEnd)))*SUM($D164:$N164)*'Assumptions-Overall'!$J19*(1+'Assumptions-Overall'!$C$41)^('CashFlow-Retail'!L$7-1)/(YEAR(PhaseIIIConEnd)-YEAR(PhaseIIIConBegin)+1))/(YEAR(PhaseIIIConEnd)-YEAR(PhaseIIIConBegin)+1)</f>
        <v>-253354.01627752319</v>
      </c>
      <c r="M204" s="146">
        <f>(-(AND(M$8&gt;=YEAR(PhaseIIIConBegin),M$8&lt;=YEAR(PhaseIIIConEnd)))*SUM($D164:$N164)*'Assumptions-Overall'!$J19*(1+'Assumptions-Overall'!$C$41)^('CashFlow-Retail'!M$7-1)/(YEAR(PhaseIIIConEnd)-YEAR(PhaseIIIConBegin)+1))/(YEAR(PhaseIIIConEnd)-YEAR(PhaseIIIConBegin)+1)</f>
        <v>0</v>
      </c>
      <c r="N204" s="151"/>
    </row>
    <row r="205" spans="2:14" x14ac:dyDescent="0.65">
      <c r="B205" s="3" t="s">
        <v>472</v>
      </c>
      <c r="C205" s="8"/>
      <c r="D205" s="446">
        <f>SUM(D201:D204)</f>
        <v>0</v>
      </c>
      <c r="E205" s="446">
        <f>SUM(E201:E204)</f>
        <v>0</v>
      </c>
      <c r="F205" s="446">
        <f t="shared" ref="F205" si="118">SUM(F201:F204)</f>
        <v>0</v>
      </c>
      <c r="G205" s="446">
        <f t="shared" ref="G205" si="119">SUM(G201:G204)</f>
        <v>0</v>
      </c>
      <c r="H205" s="446">
        <f t="shared" ref="H205" si="120">SUM(H201:H204)</f>
        <v>0</v>
      </c>
      <c r="I205" s="446">
        <f t="shared" ref="I205" si="121">SUM(I201:I204)</f>
        <v>0</v>
      </c>
      <c r="J205" s="446">
        <f t="shared" ref="J205" si="122">SUM(J201:J204)</f>
        <v>0</v>
      </c>
      <c r="K205" s="446">
        <f t="shared" ref="K205" si="123">SUM(K201:K204)</f>
        <v>-7287174.8349835146</v>
      </c>
      <c r="L205" s="446">
        <f t="shared" ref="L205" si="124">SUM(L201:L204)</f>
        <v>-7505790.0800330183</v>
      </c>
      <c r="M205" s="446">
        <f t="shared" ref="M205" si="125">SUM(M201:M204)</f>
        <v>0</v>
      </c>
      <c r="N205" s="450"/>
    </row>
    <row r="206" spans="2:14" s="365" customFormat="1" x14ac:dyDescent="0.65">
      <c r="B206" s="391" t="s">
        <v>211</v>
      </c>
      <c r="C206" s="366"/>
      <c r="D206" s="446">
        <f>(AND(D$8&gt;=YEAR(PhaseIIIPreconBegin),D$8&lt;=YEAR(PhaseIIIConEnd)))*SUM($D205:$N205)*'Assumptions-Overall'!$H$43/(YEAR(PhaseIIIConEnd)-YEAR(PhaseIIIPreconBegin)+1)</f>
        <v>0</v>
      </c>
      <c r="E206" s="446">
        <f>(AND(E$8&gt;=YEAR(PhaseIIIPreconBegin),E$8&lt;=YEAR(PhaseIIIConEnd)))*SUM($D205:$N205)*'Assumptions-Overall'!$H$43/(YEAR(PhaseIIIConEnd)-YEAR(PhaseIIIPreconBegin)+1)</f>
        <v>0</v>
      </c>
      <c r="F206" s="446">
        <f>(AND(F$8&gt;=YEAR(PhaseIIIPreconBegin),F$8&lt;=YEAR(PhaseIIIConEnd)))*SUM($D205:$N205)*'Assumptions-Overall'!$H$43/(YEAR(PhaseIIIConEnd)-YEAR(PhaseIIIPreconBegin)+1)</f>
        <v>0</v>
      </c>
      <c r="G206" s="446">
        <f>(AND(G$8&gt;=YEAR(PhaseIIIPreconBegin),G$8&lt;=YEAR(PhaseIIIConEnd)))*SUM($D205:$N205)*'Assumptions-Overall'!$H$43/(YEAR(PhaseIIIConEnd)-YEAR(PhaseIIIPreconBegin)+1)</f>
        <v>0</v>
      </c>
      <c r="H206" s="446">
        <f>(AND(H$8&gt;=YEAR(PhaseIIIPreconBegin),H$8&lt;=YEAR(PhaseIIIConEnd)))*SUM($D205:$N205)*'Assumptions-Overall'!$H$43/(YEAR(PhaseIIIConEnd)-YEAR(PhaseIIIPreconBegin)+1)</f>
        <v>0</v>
      </c>
      <c r="I206" s="446">
        <f>(AND(I$8&gt;=YEAR(PhaseIIIPreconBegin),I$8&lt;=YEAR(PhaseIIIConEnd)))*SUM($D205:$N205)*'Assumptions-Overall'!$H$43/(YEAR(PhaseIIIConEnd)-YEAR(PhaseIIIPreconBegin)+1)</f>
        <v>-221894.47372524798</v>
      </c>
      <c r="J206" s="446">
        <f>(AND(J$8&gt;=YEAR(PhaseIIIPreconBegin),J$8&lt;=YEAR(PhaseIIIConEnd)))*SUM($D205:$N205)*'Assumptions-Overall'!$H$43/(YEAR(PhaseIIIConEnd)-YEAR(PhaseIIIPreconBegin)+1)</f>
        <v>-221894.47372524798</v>
      </c>
      <c r="K206" s="446">
        <f>(AND(K$8&gt;=YEAR(PhaseIIIPreconBegin),K$8&lt;=YEAR(PhaseIIIConEnd)))*SUM($D205:$N205)*'Assumptions-Overall'!$H$43/(YEAR(PhaseIIIConEnd)-YEAR(PhaseIIIPreconBegin)+1)</f>
        <v>-221894.47372524798</v>
      </c>
      <c r="L206" s="446">
        <f>(AND(L$8&gt;=YEAR(PhaseIIIPreconBegin),L$8&lt;=YEAR(PhaseIIIConEnd)))*SUM($D205:$N205)*'Assumptions-Overall'!$H$43/(YEAR(PhaseIIIConEnd)-YEAR(PhaseIIIPreconBegin)+1)</f>
        <v>-221894.47372524798</v>
      </c>
      <c r="M206" s="446">
        <f>(AND(M$8&gt;=YEAR(PhaseIIIPreconBegin),M$8&lt;=YEAR(PhaseIIIConEnd)))*SUM($D205:$N205)*'Assumptions-Overall'!$H$43/(YEAR(PhaseIIIConEnd)-YEAR(PhaseIIIPreconBegin)+1)</f>
        <v>0</v>
      </c>
      <c r="N206" s="450"/>
    </row>
    <row r="207" spans="2:14" x14ac:dyDescent="0.65">
      <c r="B207" s="3" t="s">
        <v>115</v>
      </c>
      <c r="C207" s="8"/>
      <c r="D207" s="146">
        <f>(AND(D$8&gt;=YEAR(PhaseIIIPreconBegin),D$8&lt;=YEAR(PhaseIIIConEnd)))*SUM($D205:$N205)*'Assumptions-Overall'!$H$44/(YEAR(PhaseIIIConEnd)-YEAR(PhaseIIIPreconBegin)+1)</f>
        <v>0</v>
      </c>
      <c r="E207" s="146">
        <f>(AND(E$8&gt;=YEAR(PhaseIIIPreconBegin),E$8&lt;=YEAR(PhaseIIIConEnd)))*SUM($D205:$N205)*'Assumptions-Overall'!$H$44/(YEAR(PhaseIIIConEnd)-YEAR(PhaseIIIPreconBegin)+1)</f>
        <v>0</v>
      </c>
      <c r="F207" s="146">
        <f>(AND(F$8&gt;=YEAR(PhaseIIIPreconBegin),F$8&lt;=YEAR(PhaseIIIConEnd)))*SUM($D205:$N205)*'Assumptions-Overall'!$H$44/(YEAR(PhaseIIIConEnd)-YEAR(PhaseIIIPreconBegin)+1)</f>
        <v>0</v>
      </c>
      <c r="G207" s="146">
        <f>(AND(G$8&gt;=YEAR(PhaseIIIPreconBegin),G$8&lt;=YEAR(PhaseIIIConEnd)))*SUM($D205:$N205)*'Assumptions-Overall'!$H$44/(YEAR(PhaseIIIConEnd)-YEAR(PhaseIIIPreconBegin)+1)</f>
        <v>0</v>
      </c>
      <c r="H207" s="146">
        <f>(AND(H$8&gt;=YEAR(PhaseIIIPreconBegin),H$8&lt;=YEAR(PhaseIIIConEnd)))*SUM($D205:$N205)*'Assumptions-Overall'!$H$44/(YEAR(PhaseIIIConEnd)-YEAR(PhaseIIIPreconBegin)+1)</f>
        <v>0</v>
      </c>
      <c r="I207" s="146">
        <f>(AND(I$8&gt;=YEAR(PhaseIIIPreconBegin),I$8&lt;=YEAR(PhaseIIIConEnd)))*SUM($D205:$N205)*'Assumptions-Overall'!$H$44/(YEAR(PhaseIIIConEnd)-YEAR(PhaseIIIPreconBegin)+1)</f>
        <v>-369824.12287541333</v>
      </c>
      <c r="J207" s="146">
        <f>(AND(J$8&gt;=YEAR(PhaseIIIPreconBegin),J$8&lt;=YEAR(PhaseIIIConEnd)))*SUM($D205:$N205)*'Assumptions-Overall'!$H$44/(YEAR(PhaseIIIConEnd)-YEAR(PhaseIIIPreconBegin)+1)</f>
        <v>-369824.12287541333</v>
      </c>
      <c r="K207" s="146">
        <f>(AND(K$8&gt;=YEAR(PhaseIIIPreconBegin),K$8&lt;=YEAR(PhaseIIIConEnd)))*SUM($D205:$N205)*'Assumptions-Overall'!$H$44/(YEAR(PhaseIIIConEnd)-YEAR(PhaseIIIPreconBegin)+1)</f>
        <v>-369824.12287541333</v>
      </c>
      <c r="L207" s="146">
        <f>(AND(L$8&gt;=YEAR(PhaseIIIPreconBegin),L$8&lt;=YEAR(PhaseIIIConEnd)))*SUM($D205:$N205)*'Assumptions-Overall'!$H$44/(YEAR(PhaseIIIConEnd)-YEAR(PhaseIIIPreconBegin)+1)</f>
        <v>-369824.12287541333</v>
      </c>
      <c r="M207" s="146">
        <f>(AND(M$8&gt;=YEAR(PhaseIIIPreconBegin),M$8&lt;=YEAR(PhaseIIIConEnd)))*SUM($D205:$N205)*'Assumptions-Overall'!$H$44/(YEAR(PhaseIIIConEnd)-YEAR(PhaseIIIPreconBegin)+1)</f>
        <v>0</v>
      </c>
      <c r="N207" s="151"/>
    </row>
    <row r="208" spans="2:14" x14ac:dyDescent="0.65">
      <c r="B208" s="3" t="s">
        <v>116</v>
      </c>
      <c r="C208" s="8"/>
      <c r="D208" s="144">
        <f>SUM(D201:D207)*'Assumptions-Overall'!$H$45</f>
        <v>0</v>
      </c>
      <c r="E208" s="144">
        <f>SUM(E201:E207)*'Assumptions-Overall'!$H$45</f>
        <v>0</v>
      </c>
      <c r="F208" s="144">
        <f>SUM(F201:F207)*'Assumptions-Overall'!$H$45</f>
        <v>0</v>
      </c>
      <c r="G208" s="144">
        <f>SUM(G201:G207)*'Assumptions-Overall'!$H$45</f>
        <v>0</v>
      </c>
      <c r="H208" s="144">
        <f>SUM(H201:H207)*'Assumptions-Overall'!$H$45</f>
        <v>0</v>
      </c>
      <c r="I208" s="144">
        <f>SUM(I201:I207)*'Assumptions-Overall'!$H$45</f>
        <v>-29585.929830033067</v>
      </c>
      <c r="J208" s="144">
        <f>SUM(J201:J207)*'Assumptions-Overall'!$H$45</f>
        <v>-29585.929830033067</v>
      </c>
      <c r="K208" s="144">
        <f>SUM(K201:K207)*'Assumptions-Overall'!$H$45</f>
        <v>-758303.41332838451</v>
      </c>
      <c r="L208" s="144">
        <f>SUM(L201:L207)*'Assumptions-Overall'!$H$45</f>
        <v>-780164.9378333349</v>
      </c>
      <c r="M208" s="144">
        <f>SUM(M201:M207)*'Assumptions-Overall'!$H$45</f>
        <v>0</v>
      </c>
      <c r="N208" s="151"/>
    </row>
    <row r="209" spans="2:14" x14ac:dyDescent="0.65">
      <c r="B209" s="3" t="s">
        <v>212</v>
      </c>
      <c r="C209" s="8"/>
      <c r="D209" s="146">
        <f>SUM(D205:D208)</f>
        <v>0</v>
      </c>
      <c r="E209" s="146">
        <f t="shared" ref="E209" si="126">SUM(E205:E208)</f>
        <v>0</v>
      </c>
      <c r="F209" s="146">
        <f t="shared" ref="F209" si="127">SUM(F205:F208)</f>
        <v>0</v>
      </c>
      <c r="G209" s="146">
        <f t="shared" ref="G209" si="128">SUM(G205:G208)</f>
        <v>0</v>
      </c>
      <c r="H209" s="146">
        <f t="shared" ref="H209" si="129">SUM(H205:H208)</f>
        <v>0</v>
      </c>
      <c r="I209" s="146">
        <f t="shared" ref="I209" si="130">SUM(I205:I208)</f>
        <v>-621304.52643069439</v>
      </c>
      <c r="J209" s="146">
        <f t="shared" ref="J209" si="131">SUM(J205:J208)</f>
        <v>-621304.52643069439</v>
      </c>
      <c r="K209" s="146">
        <f t="shared" ref="K209" si="132">SUM(K205:K208)</f>
        <v>-8637196.8449125607</v>
      </c>
      <c r="L209" s="146">
        <f t="shared" ref="L209" si="133">SUM(L205:L208)</f>
        <v>-8877673.6144670136</v>
      </c>
      <c r="M209" s="146">
        <f t="shared" ref="M209" si="134">SUM(M205:M208)</f>
        <v>0</v>
      </c>
      <c r="N209" s="151"/>
    </row>
    <row r="210" spans="2:14" x14ac:dyDescent="0.65">
      <c r="B210" s="3"/>
      <c r="C210" s="8"/>
      <c r="D210" s="146"/>
      <c r="E210" s="146"/>
      <c r="F210" s="146"/>
      <c r="G210" s="146"/>
      <c r="H210" s="146"/>
      <c r="I210" s="146"/>
      <c r="J210" s="146"/>
      <c r="K210" s="146"/>
      <c r="L210" s="146"/>
      <c r="M210" s="146"/>
      <c r="N210" s="151"/>
    </row>
    <row r="211" spans="2:14" x14ac:dyDescent="0.65">
      <c r="B211" s="36" t="s">
        <v>213</v>
      </c>
      <c r="C211" s="8"/>
      <c r="D211" s="146"/>
      <c r="E211" s="146"/>
      <c r="F211" s="146"/>
      <c r="G211" s="146"/>
      <c r="H211" s="146"/>
      <c r="I211" s="146"/>
      <c r="J211" s="146"/>
      <c r="K211" s="146"/>
      <c r="L211" s="146"/>
      <c r="M211" s="146"/>
      <c r="N211" s="151"/>
    </row>
    <row r="212" spans="2:14" x14ac:dyDescent="0.65">
      <c r="B212" s="3" t="s">
        <v>215</v>
      </c>
      <c r="C212" s="8"/>
      <c r="D212" s="146">
        <f>(D$8=YEAR('Assumptions-Overall'!$C$30))*E193/'Assumptions-Overall'!$V$13</f>
        <v>0</v>
      </c>
      <c r="E212" s="146">
        <f>(E$8=YEAR('Assumptions-Overall'!$C$30))*F193/'Assumptions-Overall'!$V$13</f>
        <v>0</v>
      </c>
      <c r="F212" s="146">
        <f>(F$8=YEAR('Assumptions-Overall'!$C$30))*G193/'Assumptions-Overall'!$V$13</f>
        <v>0</v>
      </c>
      <c r="G212" s="146">
        <f>(G$8=YEAR('Assumptions-Overall'!$C$30))*H193/'Assumptions-Overall'!$V$13</f>
        <v>0</v>
      </c>
      <c r="H212" s="146">
        <f>(H$8=YEAR('Assumptions-Overall'!$C$30))*I193/'Assumptions-Overall'!$V$13</f>
        <v>0</v>
      </c>
      <c r="I212" s="146">
        <f>(I$8=YEAR('Assumptions-Overall'!$C$30))*J193/'Assumptions-Overall'!$V$13</f>
        <v>0</v>
      </c>
      <c r="J212" s="146">
        <f>(J$8=YEAR('Assumptions-Overall'!$C$30))*K193/'Assumptions-Overall'!$V$13</f>
        <v>0</v>
      </c>
      <c r="K212" s="146">
        <f>(K$8=YEAR('Assumptions-Overall'!$C$30))*L193/'Assumptions-Overall'!$V$13</f>
        <v>0</v>
      </c>
      <c r="L212" s="146">
        <f>(L$8=YEAR('Assumptions-Overall'!$C$30))*M193/'Assumptions-Overall'!$V$13</f>
        <v>0</v>
      </c>
      <c r="M212" s="146">
        <f>(M$8=YEAR('Assumptions-Overall'!$C$30))*N193/'Assumptions-Overall'!$V$13</f>
        <v>104352519.27513905</v>
      </c>
      <c r="N212" s="151"/>
    </row>
    <row r="213" spans="2:14" x14ac:dyDescent="0.65">
      <c r="B213" s="3" t="s">
        <v>216</v>
      </c>
      <c r="C213" s="8"/>
      <c r="D213" s="144">
        <f>-D212*'Assumptions-Overall'!$R$27</f>
        <v>0</v>
      </c>
      <c r="E213" s="144">
        <f>-E212*'Assumptions-Overall'!$R$27</f>
        <v>0</v>
      </c>
      <c r="F213" s="144">
        <f>-F212*'Assumptions-Overall'!$R$27</f>
        <v>0</v>
      </c>
      <c r="G213" s="144">
        <f>-G212*'Assumptions-Overall'!$R$27</f>
        <v>0</v>
      </c>
      <c r="H213" s="144">
        <f>-H212*'Assumptions-Overall'!$R$27</f>
        <v>0</v>
      </c>
      <c r="I213" s="144">
        <f>-I212*'Assumptions-Overall'!$R$27</f>
        <v>0</v>
      </c>
      <c r="J213" s="144">
        <f>-J212*'Assumptions-Overall'!$R$27</f>
        <v>0</v>
      </c>
      <c r="K213" s="144">
        <f>-K212*'Assumptions-Overall'!$R$27</f>
        <v>0</v>
      </c>
      <c r="L213" s="144">
        <f>-L212*'Assumptions-Overall'!$R$27</f>
        <v>0</v>
      </c>
      <c r="M213" s="144">
        <f>-M212*'Assumptions-Overall'!$R$27</f>
        <v>-2087050.385502781</v>
      </c>
      <c r="N213" s="151"/>
    </row>
    <row r="214" spans="2:14" x14ac:dyDescent="0.65">
      <c r="B214" s="3" t="s">
        <v>217</v>
      </c>
      <c r="C214" s="8"/>
      <c r="D214" s="146">
        <f>SUM(D212:D213)</f>
        <v>0</v>
      </c>
      <c r="E214" s="146">
        <f t="shared" ref="E214:M214" si="135">SUM(E212:E213)</f>
        <v>0</v>
      </c>
      <c r="F214" s="146">
        <f t="shared" si="135"/>
        <v>0</v>
      </c>
      <c r="G214" s="146">
        <f t="shared" si="135"/>
        <v>0</v>
      </c>
      <c r="H214" s="146">
        <f t="shared" si="135"/>
        <v>0</v>
      </c>
      <c r="I214" s="146">
        <f t="shared" si="135"/>
        <v>0</v>
      </c>
      <c r="J214" s="146">
        <f t="shared" si="135"/>
        <v>0</v>
      </c>
      <c r="K214" s="146">
        <f t="shared" si="135"/>
        <v>0</v>
      </c>
      <c r="L214" s="146">
        <f t="shared" si="135"/>
        <v>0</v>
      </c>
      <c r="M214" s="146">
        <f t="shared" si="135"/>
        <v>102265468.88963626</v>
      </c>
      <c r="N214" s="151"/>
    </row>
    <row r="215" spans="2:14" x14ac:dyDescent="0.65">
      <c r="B215" s="3"/>
      <c r="C215" s="8"/>
      <c r="D215" s="146"/>
      <c r="E215" s="146"/>
      <c r="F215" s="146"/>
      <c r="G215" s="146"/>
      <c r="H215" s="146"/>
      <c r="I215" s="146"/>
      <c r="J215" s="146"/>
      <c r="K215" s="146"/>
      <c r="L215" s="146"/>
      <c r="M215" s="146"/>
      <c r="N215" s="151"/>
    </row>
    <row r="216" spans="2:14" x14ac:dyDescent="0.65">
      <c r="B216" s="3" t="s">
        <v>214</v>
      </c>
      <c r="C216" s="8"/>
      <c r="D216" s="146">
        <f t="shared" ref="D216:M216" si="136">D197+D209+D214</f>
        <v>0</v>
      </c>
      <c r="E216" s="146">
        <f t="shared" si="136"/>
        <v>0</v>
      </c>
      <c r="F216" s="146">
        <f t="shared" si="136"/>
        <v>0</v>
      </c>
      <c r="G216" s="146">
        <f t="shared" si="136"/>
        <v>0</v>
      </c>
      <c r="H216" s="146">
        <f t="shared" si="136"/>
        <v>0</v>
      </c>
      <c r="I216" s="146">
        <f t="shared" si="136"/>
        <v>-621304.52643069439</v>
      </c>
      <c r="J216" s="146">
        <f t="shared" si="136"/>
        <v>-621304.52643069439</v>
      </c>
      <c r="K216" s="146">
        <f t="shared" si="136"/>
        <v>-8637196.8449125607</v>
      </c>
      <c r="L216" s="146">
        <f t="shared" si="136"/>
        <v>-8877673.6144670136</v>
      </c>
      <c r="M216" s="146">
        <f t="shared" si="136"/>
        <v>110578708.71220233</v>
      </c>
      <c r="N216" s="151"/>
    </row>
    <row r="217" spans="2:14" x14ac:dyDescent="0.65">
      <c r="B217" s="3" t="s">
        <v>218</v>
      </c>
      <c r="C217" s="158">
        <f>IFERROR(IRR(D216:M216),"n/a")</f>
        <v>1.5041331017302904</v>
      </c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51"/>
    </row>
    <row r="218" spans="2:14" ht="13" thickBot="1" x14ac:dyDescent="0.8">
      <c r="B218" s="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</row>
    <row r="220" spans="2:14" x14ac:dyDescent="0.65">
      <c r="B220" s="1" t="s">
        <v>278</v>
      </c>
      <c r="D220" s="171">
        <f t="shared" ref="D220:M220" si="137">D216+D146+D76</f>
        <v>-458274.4889026499</v>
      </c>
      <c r="E220" s="171">
        <f t="shared" si="137"/>
        <v>-2100768.2712306497</v>
      </c>
      <c r="F220" s="171">
        <f t="shared" si="137"/>
        <v>-23906530.741480649</v>
      </c>
      <c r="G220" s="171">
        <f t="shared" si="137"/>
        <v>-13439835.172998153</v>
      </c>
      <c r="H220" s="171">
        <f t="shared" si="137"/>
        <v>14737051.29491375</v>
      </c>
      <c r="I220" s="171">
        <f t="shared" si="137"/>
        <v>14557858.307330467</v>
      </c>
      <c r="J220" s="171">
        <f t="shared" si="137"/>
        <v>15013233.192343306</v>
      </c>
      <c r="K220" s="171">
        <f t="shared" si="137"/>
        <v>7466377.0054246606</v>
      </c>
      <c r="L220" s="171">
        <f t="shared" si="137"/>
        <v>7709007.4513803218</v>
      </c>
      <c r="M220" s="171">
        <f t="shared" si="137"/>
        <v>337874052.88529867</v>
      </c>
    </row>
    <row r="221" spans="2:14" x14ac:dyDescent="0.65">
      <c r="B221" s="1" t="s">
        <v>279</v>
      </c>
      <c r="C221" s="172">
        <f>IRR(D220:M220)</f>
        <v>0.48575005809960259</v>
      </c>
    </row>
  </sheetData>
  <mergeCells count="3">
    <mergeCell ref="B2:C2"/>
    <mergeCell ref="B6:N6"/>
    <mergeCell ref="C36:C39"/>
  </mergeCells>
  <pageMargins left="0.7" right="0.7" top="0.75" bottom="0.75" header="0.3" footer="0.3"/>
  <pageSetup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06525-916F-4D8B-A63B-3024B4FCF9AA}">
  <sheetPr>
    <tabColor rgb="FFF0C2DC"/>
  </sheetPr>
  <dimension ref="A1:S18"/>
  <sheetViews>
    <sheetView workbookViewId="0">
      <selection activeCell="H1" sqref="H1:I1048576"/>
    </sheetView>
  </sheetViews>
  <sheetFormatPr defaultColWidth="9.08984375" defaultRowHeight="12.25" x14ac:dyDescent="0.65"/>
  <cols>
    <col min="1" max="1" width="2.76953125" style="1" customWidth="1"/>
    <col min="2" max="2" width="25.08984375" style="1" customWidth="1"/>
    <col min="3" max="3" width="9.08984375" style="1"/>
    <col min="4" max="6" width="7.76953125" style="1" customWidth="1"/>
    <col min="7" max="7" width="2.76953125" style="1" customWidth="1"/>
    <col min="8" max="8" width="19.08984375" style="1" hidden="1" customWidth="1"/>
    <col min="9" max="9" width="14.453125" style="1" hidden="1" customWidth="1"/>
    <col min="10" max="10" width="2.76953125" style="1" customWidth="1"/>
    <col min="11" max="11" width="25.08984375" style="1" customWidth="1"/>
    <col min="12" max="13" width="8.453125" style="1" customWidth="1"/>
    <col min="14" max="15" width="8.453125" style="1" hidden="1" customWidth="1"/>
    <col min="16" max="16" width="7.453125" style="1" customWidth="1"/>
    <col min="17" max="17" width="2.76953125" style="1" customWidth="1"/>
    <col min="18" max="18" width="19.08984375" style="1" customWidth="1"/>
    <col min="19" max="19" width="9.453125" style="1" customWidth="1"/>
    <col min="20" max="16384" width="9.08984375" style="1"/>
  </cols>
  <sheetData>
    <row r="1" spans="1:19" ht="13" thickBot="1" x14ac:dyDescent="0.8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</row>
    <row r="2" spans="1:19" ht="14.25" x14ac:dyDescent="0.9">
      <c r="A2" s="365"/>
      <c r="B2" s="982" t="s">
        <v>37</v>
      </c>
      <c r="C2" s="983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1:19" x14ac:dyDescent="0.65">
      <c r="A3" s="365"/>
      <c r="B3" s="391" t="s">
        <v>36</v>
      </c>
      <c r="C3" s="386" t="str">
        <f>ProjectName</f>
        <v>8th Hill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365"/>
    </row>
    <row r="4" spans="1:19" ht="13" thickBot="1" x14ac:dyDescent="0.8">
      <c r="A4" s="365"/>
      <c r="B4" s="392" t="s">
        <v>35</v>
      </c>
      <c r="C4" s="406">
        <f>TeamNumber</f>
        <v>192021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</row>
    <row r="5" spans="1:19" ht="13" thickBot="1" x14ac:dyDescent="0.8">
      <c r="A5" s="365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</row>
    <row r="6" spans="1:19" ht="14.25" x14ac:dyDescent="0.9">
      <c r="A6" s="365"/>
      <c r="B6" s="979" t="s">
        <v>149</v>
      </c>
      <c r="C6" s="980"/>
      <c r="D6" s="980"/>
      <c r="E6" s="980"/>
      <c r="F6" s="981"/>
      <c r="G6" s="365"/>
      <c r="H6" s="979" t="s">
        <v>152</v>
      </c>
      <c r="I6" s="981"/>
      <c r="J6" s="365"/>
      <c r="K6" s="979" t="s">
        <v>154</v>
      </c>
      <c r="L6" s="980"/>
      <c r="M6" s="980"/>
      <c r="N6" s="980"/>
      <c r="O6" s="980"/>
      <c r="P6" s="981"/>
      <c r="R6" s="979" t="s">
        <v>160</v>
      </c>
      <c r="S6" s="981"/>
    </row>
    <row r="7" spans="1:19" x14ac:dyDescent="0.65">
      <c r="A7" s="365"/>
      <c r="B7" s="407"/>
      <c r="C7" s="371"/>
      <c r="D7" s="385" t="s">
        <v>104</v>
      </c>
      <c r="E7" s="371" t="s">
        <v>104</v>
      </c>
      <c r="F7" s="386" t="s">
        <v>104</v>
      </c>
      <c r="G7" s="365"/>
      <c r="H7" s="994" t="s">
        <v>153</v>
      </c>
      <c r="I7" s="995"/>
      <c r="J7" s="365"/>
      <c r="K7" s="391"/>
      <c r="L7" s="991" t="s">
        <v>155</v>
      </c>
      <c r="M7" s="992"/>
      <c r="N7" s="991" t="s">
        <v>156</v>
      </c>
      <c r="O7" s="992"/>
      <c r="P7" s="408" t="s">
        <v>158</v>
      </c>
      <c r="R7" s="36" t="s">
        <v>161</v>
      </c>
      <c r="S7" s="39" t="s">
        <v>131</v>
      </c>
    </row>
    <row r="8" spans="1:19" x14ac:dyDescent="0.65">
      <c r="A8" s="365"/>
      <c r="B8" s="409" t="s">
        <v>141</v>
      </c>
      <c r="C8" s="377" t="s">
        <v>103</v>
      </c>
      <c r="D8" s="378" t="s">
        <v>25</v>
      </c>
      <c r="E8" s="377" t="s">
        <v>24</v>
      </c>
      <c r="F8" s="379" t="s">
        <v>23</v>
      </c>
      <c r="G8" s="365"/>
      <c r="H8" s="391" t="s">
        <v>151</v>
      </c>
      <c r="I8" s="410">
        <v>0</v>
      </c>
      <c r="J8" s="365"/>
      <c r="K8" s="409" t="s">
        <v>141</v>
      </c>
      <c r="L8" s="411" t="s">
        <v>147</v>
      </c>
      <c r="M8" s="412" t="s">
        <v>148</v>
      </c>
      <c r="N8" s="411" t="s">
        <v>147</v>
      </c>
      <c r="O8" s="412" t="s">
        <v>148</v>
      </c>
      <c r="P8" s="413" t="s">
        <v>159</v>
      </c>
      <c r="R8" s="3" t="s">
        <v>172</v>
      </c>
      <c r="S8" s="73">
        <v>0.05</v>
      </c>
    </row>
    <row r="9" spans="1:19" ht="13" thickBot="1" x14ac:dyDescent="0.8">
      <c r="A9" s="365"/>
      <c r="B9" s="391" t="s">
        <v>150</v>
      </c>
      <c r="C9" s="22">
        <f>SUM(D9:F9)</f>
        <v>465286</v>
      </c>
      <c r="D9" s="380">
        <f>SUMIF(BuildingSummary!$C$18:$U$18,D$8,BuildingSummary!$C$23:$U$23)*(1-$I$8)</f>
        <v>0</v>
      </c>
      <c r="E9" s="22">
        <f>SUMIF(BuildingSummary!$C$18:$U$18,E$8,BuildingSummary!$C$23:$U$23)*(1-$I$8)</f>
        <v>295286</v>
      </c>
      <c r="F9" s="381">
        <f>SUMIF(BuildingSummary!$C$18:$U$18,F$8,BuildingSummary!$C$23:$U$23)*(1-$I$8)</f>
        <v>170000</v>
      </c>
      <c r="G9" s="365"/>
      <c r="H9" s="392" t="s">
        <v>146</v>
      </c>
      <c r="I9" s="414">
        <v>0</v>
      </c>
      <c r="J9" s="365"/>
      <c r="K9" s="391" t="str">
        <f>B9</f>
        <v>Market Rate Office Space</v>
      </c>
      <c r="L9" s="415">
        <v>30</v>
      </c>
      <c r="M9" s="416">
        <f t="shared" ref="M9:O11" si="0">L9/12</f>
        <v>2.5</v>
      </c>
      <c r="N9" s="415">
        <v>0</v>
      </c>
      <c r="O9" s="416">
        <f t="shared" si="0"/>
        <v>0</v>
      </c>
      <c r="P9" s="417" t="s">
        <v>157</v>
      </c>
      <c r="R9" s="3" t="s">
        <v>173</v>
      </c>
      <c r="S9" s="73">
        <v>0.3</v>
      </c>
    </row>
    <row r="10" spans="1:19" x14ac:dyDescent="0.65">
      <c r="A10" s="365"/>
      <c r="B10" s="391" t="s">
        <v>151</v>
      </c>
      <c r="C10" s="382">
        <f>SUM(D10:F10)</f>
        <v>0</v>
      </c>
      <c r="D10" s="380">
        <f>SUMIF(BuildingSummary!$C$18:$U$18,D$8,BuildingSummary!$C$23:$U$23)*(1-$I$8)</f>
        <v>0</v>
      </c>
      <c r="E10" s="86">
        <f>SUMIF(BuildingSummary!$C$18:$U$18,E$8,BuildingSummary!$C$23:$U$23)*$I$8</f>
        <v>0</v>
      </c>
      <c r="F10" s="384">
        <f>SUMIF(BuildingSummary!$C$18:$U$18,F$8,BuildingSummary!$C$23:$U$23)*$I$8</f>
        <v>0</v>
      </c>
      <c r="G10" s="365"/>
      <c r="H10" s="365"/>
      <c r="I10" s="365"/>
      <c r="J10" s="365"/>
      <c r="K10" s="391" t="str">
        <f>B10</f>
        <v>Affordable Office Space</v>
      </c>
      <c r="L10" s="418">
        <f>L9*(1-I9)</f>
        <v>30</v>
      </c>
      <c r="M10" s="419">
        <f t="shared" si="0"/>
        <v>2.5</v>
      </c>
      <c r="N10" s="520">
        <f>N9</f>
        <v>0</v>
      </c>
      <c r="O10" s="419">
        <f t="shared" si="0"/>
        <v>0</v>
      </c>
      <c r="P10" s="420" t="s">
        <v>157</v>
      </c>
      <c r="R10" s="3"/>
      <c r="S10" s="9"/>
    </row>
    <row r="11" spans="1:19" ht="13" thickBot="1" x14ac:dyDescent="0.8">
      <c r="A11" s="365"/>
      <c r="B11" s="392" t="s">
        <v>28</v>
      </c>
      <c r="C11" s="387">
        <f>SUM(C9:C10)</f>
        <v>465286</v>
      </c>
      <c r="D11" s="388">
        <f>SUMIF(BuildingSummary!$C$18:$U$18,D$8,BuildingSummary!$C$23:$U$23)*(1-$I$8)</f>
        <v>0</v>
      </c>
      <c r="E11" s="387">
        <f>SUM(E9:E10)</f>
        <v>295286</v>
      </c>
      <c r="F11" s="389">
        <f>SUM(F9:F10)</f>
        <v>170000</v>
      </c>
      <c r="G11" s="365"/>
      <c r="H11" s="365"/>
      <c r="I11" s="365"/>
      <c r="J11" s="365"/>
      <c r="K11" s="392" t="s">
        <v>145</v>
      </c>
      <c r="L11" s="421">
        <f>SUMPRODUCT(L9:L10,C9:C10)/C11</f>
        <v>30</v>
      </c>
      <c r="M11" s="422">
        <f t="shared" si="0"/>
        <v>2.5</v>
      </c>
      <c r="N11" s="421">
        <f>SUMPRODUCT(N9:N10,E9:E10)/E11</f>
        <v>0</v>
      </c>
      <c r="O11" s="422">
        <f t="shared" si="0"/>
        <v>0</v>
      </c>
      <c r="P11" s="423" t="s">
        <v>157</v>
      </c>
      <c r="R11" s="36" t="s">
        <v>164</v>
      </c>
      <c r="S11" s="39"/>
    </row>
    <row r="12" spans="1:19" x14ac:dyDescent="0.65">
      <c r="A12" s="365"/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R12" s="3" t="s">
        <v>548</v>
      </c>
      <c r="S12" s="132">
        <v>11.5</v>
      </c>
    </row>
    <row r="13" spans="1:19" ht="7.5" customHeight="1" x14ac:dyDescent="1.35">
      <c r="A13" s="365"/>
      <c r="B13" s="425"/>
      <c r="C13" s="425"/>
      <c r="D13" s="425"/>
      <c r="E13" s="425"/>
      <c r="F13" s="425"/>
      <c r="G13" s="365"/>
      <c r="H13" s="365"/>
      <c r="I13" s="365"/>
      <c r="J13" s="365"/>
      <c r="K13" s="365"/>
      <c r="L13" s="424"/>
      <c r="M13" s="365"/>
      <c r="N13" s="365"/>
      <c r="O13" s="365"/>
      <c r="P13" s="365"/>
      <c r="R13" s="3"/>
      <c r="S13" s="70"/>
    </row>
    <row r="14" spans="1:19" ht="17.25" customHeight="1" thickBot="1" x14ac:dyDescent="1.5">
      <c r="A14" s="365"/>
      <c r="B14" s="425"/>
      <c r="C14" s="425"/>
      <c r="D14" s="425"/>
      <c r="E14" s="425"/>
      <c r="F14" s="425"/>
      <c r="G14" s="365"/>
      <c r="H14" s="365"/>
      <c r="I14" s="365"/>
      <c r="J14" s="365"/>
      <c r="K14" s="365"/>
      <c r="L14" s="365"/>
      <c r="M14" s="365"/>
      <c r="N14" s="365"/>
      <c r="O14" s="365"/>
      <c r="P14" s="365"/>
      <c r="R14" s="5" t="s">
        <v>171</v>
      </c>
      <c r="S14" s="141">
        <v>0.2</v>
      </c>
    </row>
    <row r="15" spans="1:19" ht="12" customHeight="1" x14ac:dyDescent="1.35">
      <c r="A15" s="365"/>
      <c r="B15" s="425"/>
      <c r="C15" s="425"/>
      <c r="D15" s="425"/>
      <c r="E15" s="425"/>
      <c r="F15" s="425"/>
      <c r="G15" s="365"/>
      <c r="H15" s="365"/>
      <c r="I15" s="365"/>
      <c r="J15" s="365"/>
      <c r="K15" s="365"/>
      <c r="L15" s="365"/>
      <c r="M15" s="365"/>
      <c r="N15" s="365"/>
      <c r="O15" s="365"/>
      <c r="P15" s="365"/>
      <c r="R15" s="659" t="s">
        <v>549</v>
      </c>
    </row>
    <row r="16" spans="1:19" ht="12" customHeight="1" x14ac:dyDescent="1.35">
      <c r="A16" s="365"/>
      <c r="B16" s="425"/>
      <c r="C16" s="425"/>
      <c r="D16" s="425"/>
      <c r="E16" s="425"/>
      <c r="F16" s="425"/>
      <c r="G16" s="365"/>
      <c r="H16" s="365"/>
      <c r="I16" s="365"/>
      <c r="J16" s="365"/>
      <c r="K16" s="365"/>
      <c r="L16" s="365"/>
      <c r="M16" s="365"/>
      <c r="N16" s="365"/>
      <c r="O16" s="365"/>
      <c r="P16" s="365"/>
    </row>
    <row r="17" spans="1:16" ht="12" customHeight="1" x14ac:dyDescent="1.35">
      <c r="A17" s="365"/>
      <c r="B17" s="425"/>
      <c r="C17" s="425"/>
      <c r="D17" s="425"/>
      <c r="E17" s="425"/>
      <c r="F17" s="425"/>
      <c r="G17" s="365"/>
      <c r="H17" s="365"/>
      <c r="I17" s="365"/>
      <c r="J17" s="365"/>
      <c r="K17" s="365"/>
      <c r="L17" s="365"/>
      <c r="M17" s="365"/>
      <c r="N17" s="365"/>
      <c r="O17" s="365"/>
      <c r="P17" s="365"/>
    </row>
    <row r="18" spans="1:16" x14ac:dyDescent="0.65">
      <c r="A18" s="365"/>
      <c r="B18" s="365"/>
      <c r="C18" s="365"/>
      <c r="D18" s="365"/>
      <c r="E18" s="365"/>
      <c r="F18" s="365"/>
      <c r="G18" s="365"/>
      <c r="H18" s="365"/>
      <c r="I18" s="365"/>
      <c r="J18" s="365"/>
      <c r="K18" s="365"/>
      <c r="L18" s="365"/>
      <c r="M18" s="365"/>
      <c r="N18" s="365"/>
      <c r="O18" s="365"/>
      <c r="P18" s="365"/>
    </row>
  </sheetData>
  <mergeCells count="8">
    <mergeCell ref="H7:I7"/>
    <mergeCell ref="L7:M7"/>
    <mergeCell ref="N7:O7"/>
    <mergeCell ref="R6:S6"/>
    <mergeCell ref="B2:C2"/>
    <mergeCell ref="B6:F6"/>
    <mergeCell ref="H6:I6"/>
    <mergeCell ref="K6:P6"/>
  </mergeCells>
  <pageMargins left="0.7" right="0.7" top="0.75" bottom="0.75" header="0.3" footer="0.3"/>
  <pageSetup orientation="portrait" verticalDpi="1200" r:id="rId1"/>
  <ignoredErrors>
    <ignoredError sqref="M8:O8 M10:O11 M9 O9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76470-4530-48A9-82C8-F80689FC65D4}">
  <sheetPr>
    <tabColor rgb="FFC1F5FB"/>
  </sheetPr>
  <dimension ref="B1:N161"/>
  <sheetViews>
    <sheetView topLeftCell="A6" workbookViewId="0">
      <selection activeCell="H62" sqref="H62"/>
    </sheetView>
  </sheetViews>
  <sheetFormatPr defaultColWidth="9.08984375" defaultRowHeight="12.25" x14ac:dyDescent="0.65"/>
  <cols>
    <col min="1" max="1" width="2.76953125" style="1" customWidth="1"/>
    <col min="2" max="2" width="35.76953125" style="1" customWidth="1"/>
    <col min="3" max="3" width="9.08984375" style="1"/>
    <col min="4" max="14" width="11.453125" style="1" customWidth="1"/>
    <col min="15" max="16384" width="9.08984375" style="1"/>
  </cols>
  <sheetData>
    <row r="1" spans="2:14" ht="13" thickBot="1" x14ac:dyDescent="0.8"/>
    <row r="2" spans="2:14" ht="15" thickBot="1" x14ac:dyDescent="1.05">
      <c r="B2" s="982" t="s">
        <v>37</v>
      </c>
      <c r="C2" s="983"/>
    </row>
    <row r="3" spans="2:14" x14ac:dyDescent="0.65">
      <c r="B3" s="154" t="s">
        <v>36</v>
      </c>
      <c r="C3" s="503" t="str">
        <f>ProjectName</f>
        <v>8th Hill</v>
      </c>
    </row>
    <row r="4" spans="2:14" ht="13" thickBot="1" x14ac:dyDescent="0.8">
      <c r="B4" s="5" t="s">
        <v>35</v>
      </c>
      <c r="C4" s="6">
        <f>TeamNumber</f>
        <v>192021</v>
      </c>
    </row>
    <row r="5" spans="2:14" ht="13" thickBot="1" x14ac:dyDescent="0.8"/>
    <row r="6" spans="2:14" ht="15" thickBot="1" x14ac:dyDescent="1.05">
      <c r="B6" s="996" t="s">
        <v>233</v>
      </c>
      <c r="C6" s="997"/>
      <c r="D6" s="997"/>
      <c r="E6" s="997"/>
      <c r="F6" s="997"/>
      <c r="G6" s="997"/>
      <c r="H6" s="997"/>
      <c r="I6" s="997"/>
      <c r="J6" s="997"/>
      <c r="K6" s="997"/>
      <c r="L6" s="997"/>
      <c r="M6" s="997"/>
      <c r="N6" s="998"/>
    </row>
    <row r="7" spans="2:14" x14ac:dyDescent="0.65">
      <c r="B7" s="154" t="s">
        <v>191</v>
      </c>
      <c r="C7" s="155"/>
      <c r="D7" s="155">
        <v>1</v>
      </c>
      <c r="E7" s="155">
        <f>D7+1</f>
        <v>2</v>
      </c>
      <c r="F7" s="155">
        <f t="shared" ref="F7:N8" si="0">E7+1</f>
        <v>3</v>
      </c>
      <c r="G7" s="155">
        <f t="shared" si="0"/>
        <v>4</v>
      </c>
      <c r="H7" s="155">
        <f t="shared" si="0"/>
        <v>5</v>
      </c>
      <c r="I7" s="155">
        <f t="shared" si="0"/>
        <v>6</v>
      </c>
      <c r="J7" s="155">
        <f t="shared" si="0"/>
        <v>7</v>
      </c>
      <c r="K7" s="155">
        <f t="shared" si="0"/>
        <v>8</v>
      </c>
      <c r="L7" s="155">
        <f t="shared" si="0"/>
        <v>9</v>
      </c>
      <c r="M7" s="155">
        <f t="shared" si="0"/>
        <v>10</v>
      </c>
      <c r="N7" s="156">
        <f t="shared" si="0"/>
        <v>11</v>
      </c>
    </row>
    <row r="8" spans="2:14" x14ac:dyDescent="0.65">
      <c r="B8" s="3" t="s">
        <v>192</v>
      </c>
      <c r="C8" s="8"/>
      <c r="D8" s="8">
        <f>YEAR('Assumptions-Overall'!C9)</f>
        <v>2019</v>
      </c>
      <c r="E8" s="8">
        <f>D8+1</f>
        <v>2020</v>
      </c>
      <c r="F8" s="8">
        <f t="shared" si="0"/>
        <v>2021</v>
      </c>
      <c r="G8" s="8">
        <f t="shared" si="0"/>
        <v>2022</v>
      </c>
      <c r="H8" s="8">
        <f t="shared" si="0"/>
        <v>2023</v>
      </c>
      <c r="I8" s="8">
        <f t="shared" si="0"/>
        <v>2024</v>
      </c>
      <c r="J8" s="8">
        <f t="shared" si="0"/>
        <v>2025</v>
      </c>
      <c r="K8" s="8">
        <f t="shared" si="0"/>
        <v>2026</v>
      </c>
      <c r="L8" s="8">
        <f t="shared" si="0"/>
        <v>2027</v>
      </c>
      <c r="M8" s="8">
        <f t="shared" si="0"/>
        <v>2028</v>
      </c>
      <c r="N8" s="9">
        <f t="shared" si="0"/>
        <v>2029</v>
      </c>
    </row>
    <row r="9" spans="2:14" x14ac:dyDescent="0.65">
      <c r="B9" s="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2:14" x14ac:dyDescent="0.65">
      <c r="B10" s="147" t="s">
        <v>193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2:14" x14ac:dyDescent="0.65">
      <c r="B11" s="3" t="s">
        <v>194</v>
      </c>
      <c r="C11" s="8"/>
      <c r="D11" s="148">
        <f t="shared" ref="D11:N11" si="1">SUM(D15:D16)</f>
        <v>0</v>
      </c>
      <c r="E11" s="148">
        <f t="shared" si="1"/>
        <v>0</v>
      </c>
      <c r="F11" s="148">
        <f t="shared" si="1"/>
        <v>0</v>
      </c>
      <c r="G11" s="148">
        <f t="shared" si="1"/>
        <v>0</v>
      </c>
      <c r="H11" s="148">
        <f t="shared" si="1"/>
        <v>0</v>
      </c>
      <c r="I11" s="148">
        <f t="shared" si="1"/>
        <v>0</v>
      </c>
      <c r="J11" s="148">
        <f t="shared" si="1"/>
        <v>0</v>
      </c>
      <c r="K11" s="148">
        <f t="shared" si="1"/>
        <v>0</v>
      </c>
      <c r="L11" s="148">
        <f t="shared" si="1"/>
        <v>0</v>
      </c>
      <c r="M11" s="148">
        <f t="shared" si="1"/>
        <v>0</v>
      </c>
      <c r="N11" s="149">
        <f t="shared" si="1"/>
        <v>0</v>
      </c>
    </row>
    <row r="12" spans="2:14" x14ac:dyDescent="0.65">
      <c r="B12" s="3" t="s">
        <v>195</v>
      </c>
      <c r="C12" s="8"/>
      <c r="D12" s="148">
        <f>D11-C11</f>
        <v>0</v>
      </c>
      <c r="E12" s="148">
        <f t="shared" ref="E12:N12" si="2">E11-D11</f>
        <v>0</v>
      </c>
      <c r="F12" s="148">
        <f t="shared" si="2"/>
        <v>0</v>
      </c>
      <c r="G12" s="148">
        <f t="shared" si="2"/>
        <v>0</v>
      </c>
      <c r="H12" s="148">
        <f t="shared" si="2"/>
        <v>0</v>
      </c>
      <c r="I12" s="148">
        <f t="shared" si="2"/>
        <v>0</v>
      </c>
      <c r="J12" s="148">
        <f t="shared" si="2"/>
        <v>0</v>
      </c>
      <c r="K12" s="148">
        <f t="shared" si="2"/>
        <v>0</v>
      </c>
      <c r="L12" s="148">
        <f t="shared" si="2"/>
        <v>0</v>
      </c>
      <c r="M12" s="148">
        <f t="shared" si="2"/>
        <v>0</v>
      </c>
      <c r="N12" s="149">
        <f t="shared" si="2"/>
        <v>0</v>
      </c>
    </row>
    <row r="13" spans="2:14" x14ac:dyDescent="0.65">
      <c r="B13" s="3"/>
      <c r="C13" s="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9"/>
    </row>
    <row r="14" spans="2:14" x14ac:dyDescent="0.65">
      <c r="B14" s="36" t="s">
        <v>227</v>
      </c>
      <c r="C14" s="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9"/>
    </row>
    <row r="15" spans="2:14" x14ac:dyDescent="0.65">
      <c r="B15" s="3" t="str">
        <f>'Assumptions-Office'!B9</f>
        <v>Market Rate Office Space</v>
      </c>
      <c r="C15" s="8"/>
      <c r="D15" s="148">
        <f>(D$8&gt;=YEAR(PhaseIComplete))*'Assumptions-Office'!$D9</f>
        <v>0</v>
      </c>
      <c r="E15" s="148">
        <f>(E$8&gt;=YEAR(PhaseIComplete))*'Assumptions-Office'!$D9</f>
        <v>0</v>
      </c>
      <c r="F15" s="148">
        <f>(F$8&gt;=YEAR(PhaseIComplete))*'Assumptions-Office'!$D9</f>
        <v>0</v>
      </c>
      <c r="G15" s="148">
        <f>(G$8&gt;=YEAR(PhaseIComplete))*'Assumptions-Office'!$D9</f>
        <v>0</v>
      </c>
      <c r="H15" s="148">
        <f>(H$8&gt;=YEAR(PhaseIComplete))*'Assumptions-Office'!$D9</f>
        <v>0</v>
      </c>
      <c r="I15" s="148">
        <f>(I$8&gt;=YEAR(PhaseIComplete))*'Assumptions-Office'!$D9</f>
        <v>0</v>
      </c>
      <c r="J15" s="148">
        <f>(J$8&gt;=YEAR(PhaseIComplete))*'Assumptions-Office'!$D9</f>
        <v>0</v>
      </c>
      <c r="K15" s="148">
        <f>(K$8&gt;=YEAR(PhaseIComplete))*'Assumptions-Office'!$D9</f>
        <v>0</v>
      </c>
      <c r="L15" s="148">
        <f>(L$8&gt;=YEAR(PhaseIComplete))*'Assumptions-Office'!$D9</f>
        <v>0</v>
      </c>
      <c r="M15" s="148">
        <f>(M$8&gt;=YEAR(PhaseIComplete))*'Assumptions-Office'!$D9</f>
        <v>0</v>
      </c>
      <c r="N15" s="149">
        <f>(N$8&gt;=YEAR(PhaseIComplete))*'Assumptions-Office'!$D9</f>
        <v>0</v>
      </c>
    </row>
    <row r="16" spans="2:14" x14ac:dyDescent="0.65">
      <c r="B16" s="3" t="str">
        <f>'Assumptions-Office'!B10</f>
        <v>Affordable Office Space</v>
      </c>
      <c r="C16" s="8"/>
      <c r="D16" s="148">
        <f>(D$8&gt;=YEAR(PhaseIComplete))*'Assumptions-Office'!$D10</f>
        <v>0</v>
      </c>
      <c r="E16" s="148">
        <f>(E$8&gt;=YEAR(PhaseIComplete))*'Assumptions-Office'!$D10</f>
        <v>0</v>
      </c>
      <c r="F16" s="148">
        <f>(F$8&gt;=YEAR(PhaseIComplete))*'Assumptions-Office'!$D10</f>
        <v>0</v>
      </c>
      <c r="G16" s="148">
        <f>(G$8&gt;=YEAR(PhaseIComplete))*'Assumptions-Office'!$D10</f>
        <v>0</v>
      </c>
      <c r="H16" s="148">
        <f>(H$8&gt;=YEAR(PhaseIComplete))*'Assumptions-Office'!$D10</f>
        <v>0</v>
      </c>
      <c r="I16" s="148">
        <f>(I$8&gt;=YEAR(PhaseIComplete))*'Assumptions-Office'!$D10</f>
        <v>0</v>
      </c>
      <c r="J16" s="148">
        <f>(J$8&gt;=YEAR(PhaseIComplete))*'Assumptions-Office'!$D10</f>
        <v>0</v>
      </c>
      <c r="K16" s="148">
        <f>(K$8&gt;=YEAR(PhaseIComplete))*'Assumptions-Office'!$D10</f>
        <v>0</v>
      </c>
      <c r="L16" s="148">
        <f>(L$8&gt;=YEAR(PhaseIComplete))*'Assumptions-Office'!$D10</f>
        <v>0</v>
      </c>
      <c r="M16" s="148">
        <f>(M$8&gt;=YEAR(PhaseIComplete))*'Assumptions-Office'!$D10</f>
        <v>0</v>
      </c>
      <c r="N16" s="149">
        <f>(N$8&gt;=YEAR(PhaseIComplete))*'Assumptions-Office'!$D10</f>
        <v>0</v>
      </c>
    </row>
    <row r="17" spans="2:14" x14ac:dyDescent="0.65">
      <c r="B17" s="3"/>
      <c r="C17" s="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9"/>
    </row>
    <row r="18" spans="2:14" x14ac:dyDescent="0.65">
      <c r="B18" s="36" t="s">
        <v>206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9"/>
    </row>
    <row r="19" spans="2:14" x14ac:dyDescent="0.65">
      <c r="B19" s="3" t="s">
        <v>229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2:14" x14ac:dyDescent="0.65">
      <c r="B20" s="150" t="str">
        <f>B15</f>
        <v>Market Rate Office Space</v>
      </c>
      <c r="C20" s="8"/>
      <c r="D20" s="146">
        <f>D15*'Assumptions-Office'!$L9*(1+'Assumptions-Overall'!$C$35)^('CashFlow-Office'!D$7-1)</f>
        <v>0</v>
      </c>
      <c r="E20" s="146">
        <f>E15*'Assumptions-Office'!$L9*(1+'Assumptions-Overall'!$C$35)^('CashFlow-Office'!E$7-1)</f>
        <v>0</v>
      </c>
      <c r="F20" s="146">
        <f>F15*'Assumptions-Office'!$L9*(1+'Assumptions-Overall'!$C$35)^('CashFlow-Office'!F$7-1)</f>
        <v>0</v>
      </c>
      <c r="G20" s="146">
        <f>G15*'Assumptions-Office'!$L9*(1+'Assumptions-Overall'!$C$35)^('CashFlow-Office'!G$7-1)</f>
        <v>0</v>
      </c>
      <c r="H20" s="146">
        <f>H15*'Assumptions-Office'!$L9*(1+'Assumptions-Overall'!$C$35)^('CashFlow-Office'!H$7-1)</f>
        <v>0</v>
      </c>
      <c r="I20" s="146">
        <f>I15*'Assumptions-Office'!$L9*(1+'Assumptions-Overall'!$C$35)^('CashFlow-Office'!I$7-1)</f>
        <v>0</v>
      </c>
      <c r="J20" s="146">
        <f>J15*'Assumptions-Office'!$L9*(1+'Assumptions-Overall'!$C$35)^('CashFlow-Office'!J$7-1)</f>
        <v>0</v>
      </c>
      <c r="K20" s="146">
        <f>K15*'Assumptions-Office'!$L9*(1+'Assumptions-Overall'!$C$35)^('CashFlow-Office'!K$7-1)</f>
        <v>0</v>
      </c>
      <c r="L20" s="146">
        <f>L15*'Assumptions-Office'!$L9*(1+'Assumptions-Overall'!$C$35)^('CashFlow-Office'!L$7-1)</f>
        <v>0</v>
      </c>
      <c r="M20" s="146">
        <f>M15*'Assumptions-Office'!$L9*(1+'Assumptions-Overall'!$C$35)^('CashFlow-Office'!M$7-1)</f>
        <v>0</v>
      </c>
      <c r="N20" s="151">
        <f>N15*'Assumptions-Office'!$L9*(1+'Assumptions-Overall'!$C$35)^('CashFlow-Office'!N$7-1)</f>
        <v>0</v>
      </c>
    </row>
    <row r="21" spans="2:14" x14ac:dyDescent="0.65">
      <c r="B21" s="150" t="str">
        <f>B16</f>
        <v>Affordable Office Space</v>
      </c>
      <c r="C21" s="8"/>
      <c r="D21" s="144">
        <f>D16*'Assumptions-Office'!$L10*(1+'Assumptions-Overall'!$C$35)^('CashFlow-Office'!D$7-1)</f>
        <v>0</v>
      </c>
      <c r="E21" s="144">
        <f>E16*'Assumptions-Office'!$L10*(1+'Assumptions-Overall'!$C$35)^('CashFlow-Office'!E$7-1)</f>
        <v>0</v>
      </c>
      <c r="F21" s="144">
        <f>F16*'Assumptions-Office'!$L10*(1+'Assumptions-Overall'!$C$35)^('CashFlow-Office'!F$7-1)</f>
        <v>0</v>
      </c>
      <c r="G21" s="144">
        <f>G16*'Assumptions-Office'!$L10*(1+'Assumptions-Overall'!$C$35)^('CashFlow-Office'!G$7-1)</f>
        <v>0</v>
      </c>
      <c r="H21" s="144">
        <f>H16*'Assumptions-Office'!$L10*(1+'Assumptions-Overall'!$C$35)^('CashFlow-Office'!H$7-1)</f>
        <v>0</v>
      </c>
      <c r="I21" s="144">
        <f>I16*'Assumptions-Office'!$L10*(1+'Assumptions-Overall'!$C$35)^('CashFlow-Office'!I$7-1)</f>
        <v>0</v>
      </c>
      <c r="J21" s="144">
        <f>J16*'Assumptions-Office'!$L10*(1+'Assumptions-Overall'!$C$35)^('CashFlow-Office'!J$7-1)</f>
        <v>0</v>
      </c>
      <c r="K21" s="144">
        <f>K16*'Assumptions-Office'!$L10*(1+'Assumptions-Overall'!$C$35)^('CashFlow-Office'!K$7-1)</f>
        <v>0</v>
      </c>
      <c r="L21" s="144">
        <f>L16*'Assumptions-Office'!$L10*(1+'Assumptions-Overall'!$C$35)^('CashFlow-Office'!L$7-1)</f>
        <v>0</v>
      </c>
      <c r="M21" s="144">
        <f>M16*'Assumptions-Office'!$L10*(1+'Assumptions-Overall'!$C$35)^('CashFlow-Office'!M$7-1)</f>
        <v>0</v>
      </c>
      <c r="N21" s="152">
        <f>N16*'Assumptions-Office'!$L10*(1+'Assumptions-Overall'!$C$35)^('CashFlow-Office'!N$7-1)</f>
        <v>0</v>
      </c>
    </row>
    <row r="22" spans="2:14" x14ac:dyDescent="0.65">
      <c r="B22" s="3" t="s">
        <v>230</v>
      </c>
      <c r="C22" s="8"/>
      <c r="D22" s="146">
        <f t="shared" ref="D22:N22" si="3">SUM(D20:D21)</f>
        <v>0</v>
      </c>
      <c r="E22" s="146">
        <f t="shared" si="3"/>
        <v>0</v>
      </c>
      <c r="F22" s="146">
        <f t="shared" si="3"/>
        <v>0</v>
      </c>
      <c r="G22" s="146">
        <f t="shared" si="3"/>
        <v>0</v>
      </c>
      <c r="H22" s="146">
        <f t="shared" si="3"/>
        <v>0</v>
      </c>
      <c r="I22" s="146">
        <f t="shared" si="3"/>
        <v>0</v>
      </c>
      <c r="J22" s="146">
        <f t="shared" si="3"/>
        <v>0</v>
      </c>
      <c r="K22" s="146">
        <f t="shared" si="3"/>
        <v>0</v>
      </c>
      <c r="L22" s="146">
        <f t="shared" si="3"/>
        <v>0</v>
      </c>
      <c r="M22" s="146">
        <f t="shared" si="3"/>
        <v>0</v>
      </c>
      <c r="N22" s="151">
        <f t="shared" si="3"/>
        <v>0</v>
      </c>
    </row>
    <row r="23" spans="2:14" s="365" customFormat="1" ht="13.1" hidden="1" customHeight="1" x14ac:dyDescent="0.65">
      <c r="B23" s="391"/>
      <c r="C23" s="36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50"/>
    </row>
    <row r="24" spans="2:14" s="365" customFormat="1" hidden="1" x14ac:dyDescent="0.65">
      <c r="B24" s="391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93"/>
    </row>
    <row r="25" spans="2:14" s="365" customFormat="1" hidden="1" x14ac:dyDescent="0.65">
      <c r="B25" s="464"/>
      <c r="C25" s="36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50"/>
    </row>
    <row r="26" spans="2:14" s="365" customFormat="1" hidden="1" x14ac:dyDescent="0.65">
      <c r="B26" s="464"/>
      <c r="C26" s="366"/>
      <c r="D26" s="465"/>
      <c r="E26" s="465"/>
      <c r="F26" s="465"/>
      <c r="G26" s="465"/>
      <c r="H26" s="465"/>
      <c r="I26" s="465"/>
      <c r="J26" s="465"/>
      <c r="K26" s="465"/>
      <c r="L26" s="465"/>
      <c r="M26" s="465"/>
      <c r="N26" s="466"/>
    </row>
    <row r="27" spans="2:14" s="365" customFormat="1" hidden="1" x14ac:dyDescent="0.65">
      <c r="B27" s="391"/>
      <c r="C27" s="36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50"/>
    </row>
    <row r="28" spans="2:14" s="365" customFormat="1" x14ac:dyDescent="0.65">
      <c r="B28" s="391"/>
      <c r="C28" s="366"/>
      <c r="D28" s="446"/>
      <c r="E28" s="446"/>
      <c r="F28" s="446"/>
      <c r="G28" s="446"/>
      <c r="H28" s="446"/>
      <c r="I28" s="446"/>
      <c r="J28" s="446"/>
      <c r="K28" s="446"/>
      <c r="L28" s="446"/>
      <c r="M28" s="446"/>
      <c r="N28" s="450"/>
    </row>
    <row r="29" spans="2:14" x14ac:dyDescent="0.65">
      <c r="B29" s="3" t="s">
        <v>201</v>
      </c>
      <c r="C29" s="8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51"/>
    </row>
    <row r="30" spans="2:14" x14ac:dyDescent="0.65">
      <c r="B30" s="150" t="s">
        <v>228</v>
      </c>
      <c r="C30" s="8"/>
      <c r="D30" s="146">
        <f>-(D22+D27)*'Assumptions-Office'!$S$8</f>
        <v>0</v>
      </c>
      <c r="E30" s="146">
        <f>-(E22+E27)*'Assumptions-Office'!$S$8</f>
        <v>0</v>
      </c>
      <c r="F30" s="146">
        <f>-(F22+F27)*'Assumptions-Office'!$S$8</f>
        <v>0</v>
      </c>
      <c r="G30" s="146">
        <f>-(G22+G27)*'Assumptions-Office'!$S$8</f>
        <v>0</v>
      </c>
      <c r="H30" s="146">
        <f>-(H22+H27)*'Assumptions-Office'!$S$8</f>
        <v>0</v>
      </c>
      <c r="I30" s="146">
        <f>-(I22+I27)*'Assumptions-Office'!$S$8</f>
        <v>0</v>
      </c>
      <c r="J30" s="146">
        <f>-(J22+J27)*'Assumptions-Office'!$S$8</f>
        <v>0</v>
      </c>
      <c r="K30" s="146">
        <f>-(K22+K27)*'Assumptions-Office'!$S$8</f>
        <v>0</v>
      </c>
      <c r="L30" s="146">
        <f>-(L22+L27)*'Assumptions-Office'!$S$8</f>
        <v>0</v>
      </c>
      <c r="M30" s="146">
        <f>-(M22+M27)*'Assumptions-Office'!$S$8</f>
        <v>0</v>
      </c>
      <c r="N30" s="151">
        <f>-(N22+N27)*'Assumptions-Office'!$S$8</f>
        <v>0</v>
      </c>
    </row>
    <row r="31" spans="2:14" x14ac:dyDescent="0.65">
      <c r="B31" s="150" t="s">
        <v>203</v>
      </c>
      <c r="C31" s="8"/>
      <c r="D31" s="144">
        <f>-(C22=0)*((D22+D27)*'Assumptions-Office'!$S$9+SUM('CashFlow-Office'!D30))</f>
        <v>0</v>
      </c>
      <c r="E31" s="144">
        <f>-(D22=0)*((E22+E27)*'Assumptions-Office'!$S$9+SUM('CashFlow-Office'!E30))</f>
        <v>0</v>
      </c>
      <c r="F31" s="144">
        <f>-(E22=0)*((F22+F27)*'Assumptions-Office'!$S$9+SUM('CashFlow-Office'!F30))</f>
        <v>0</v>
      </c>
      <c r="G31" s="144">
        <f>-(F22=0)*((G22+G27)*'Assumptions-Office'!$S$9+SUM('CashFlow-Office'!G30))</f>
        <v>0</v>
      </c>
      <c r="H31" s="144">
        <f>-(G22=0)*((H22+H27)*'Assumptions-Office'!$S$9+SUM('CashFlow-Office'!H30))</f>
        <v>0</v>
      </c>
      <c r="I31" s="144">
        <f>-(H22=0)*((I22+I27)*'Assumptions-Office'!$S$9+SUM('CashFlow-Office'!I30))</f>
        <v>0</v>
      </c>
      <c r="J31" s="144">
        <f>-(I22=0)*((J22+J27)*'Assumptions-Office'!$S$9+SUM('CashFlow-Office'!J30))</f>
        <v>0</v>
      </c>
      <c r="K31" s="144">
        <f>-(J22=0)*((K22+K27)*'Assumptions-Office'!$S$9+SUM('CashFlow-Office'!K30))</f>
        <v>0</v>
      </c>
      <c r="L31" s="144">
        <f>-(K22=0)*((L22+L27)*'Assumptions-Office'!$S$9+SUM('CashFlow-Office'!L30))</f>
        <v>0</v>
      </c>
      <c r="M31" s="144">
        <f>-(L22=0)*((M22+M27)*'Assumptions-Office'!$S$9+SUM('CashFlow-Office'!M30))</f>
        <v>0</v>
      </c>
      <c r="N31" s="152">
        <f>-(M22=0)*((N22+N27)*'Assumptions-Office'!$S$9+SUM('CashFlow-Office'!N30))</f>
        <v>0</v>
      </c>
    </row>
    <row r="32" spans="2:14" x14ac:dyDescent="0.65">
      <c r="B32" s="3" t="s">
        <v>204</v>
      </c>
      <c r="C32" s="8"/>
      <c r="D32" s="146">
        <f t="shared" ref="D32:N32" si="4">SUM(D30:D31)</f>
        <v>0</v>
      </c>
      <c r="E32" s="146">
        <f t="shared" si="4"/>
        <v>0</v>
      </c>
      <c r="F32" s="146">
        <f t="shared" si="4"/>
        <v>0</v>
      </c>
      <c r="G32" s="146">
        <f t="shared" si="4"/>
        <v>0</v>
      </c>
      <c r="H32" s="146">
        <f t="shared" si="4"/>
        <v>0</v>
      </c>
      <c r="I32" s="146">
        <f t="shared" si="4"/>
        <v>0</v>
      </c>
      <c r="J32" s="146">
        <f t="shared" si="4"/>
        <v>0</v>
      </c>
      <c r="K32" s="146">
        <f t="shared" si="4"/>
        <v>0</v>
      </c>
      <c r="L32" s="146">
        <f t="shared" si="4"/>
        <v>0</v>
      </c>
      <c r="M32" s="146">
        <f t="shared" si="4"/>
        <v>0</v>
      </c>
      <c r="N32" s="151">
        <f t="shared" si="4"/>
        <v>0</v>
      </c>
    </row>
    <row r="33" spans="2:14" x14ac:dyDescent="0.65">
      <c r="B33" s="3"/>
      <c r="C33" s="8"/>
      <c r="D33" s="146"/>
      <c r="E33" s="146"/>
      <c r="F33" s="146"/>
      <c r="G33" s="146"/>
      <c r="H33" s="128"/>
      <c r="I33" s="146"/>
      <c r="J33" s="146"/>
      <c r="K33" s="146"/>
      <c r="L33" s="146"/>
      <c r="M33" s="146"/>
      <c r="N33" s="151"/>
    </row>
    <row r="34" spans="2:14" x14ac:dyDescent="0.65">
      <c r="B34" s="3" t="s">
        <v>205</v>
      </c>
      <c r="C34" s="8"/>
      <c r="D34" s="145">
        <f t="shared" ref="D34:N34" si="5">D22+D27+D32</f>
        <v>0</v>
      </c>
      <c r="E34" s="145">
        <f t="shared" si="5"/>
        <v>0</v>
      </c>
      <c r="F34" s="145">
        <f t="shared" si="5"/>
        <v>0</v>
      </c>
      <c r="G34" s="145">
        <f t="shared" si="5"/>
        <v>0</v>
      </c>
      <c r="H34" s="145">
        <f t="shared" si="5"/>
        <v>0</v>
      </c>
      <c r="I34" s="145">
        <f t="shared" si="5"/>
        <v>0</v>
      </c>
      <c r="J34" s="145">
        <f t="shared" si="5"/>
        <v>0</v>
      </c>
      <c r="K34" s="145">
        <f t="shared" si="5"/>
        <v>0</v>
      </c>
      <c r="L34" s="145">
        <f t="shared" si="5"/>
        <v>0</v>
      </c>
      <c r="M34" s="145">
        <f t="shared" si="5"/>
        <v>0</v>
      </c>
      <c r="N34" s="153">
        <f t="shared" si="5"/>
        <v>0</v>
      </c>
    </row>
    <row r="35" spans="2:14" x14ac:dyDescent="0.65">
      <c r="B35" s="3"/>
      <c r="C35" s="8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51"/>
    </row>
    <row r="36" spans="2:14" x14ac:dyDescent="0.65">
      <c r="B36" s="3" t="s">
        <v>207</v>
      </c>
      <c r="C36" s="8"/>
      <c r="D36" s="146">
        <f>-D11*'Assumptions-Office'!$S$12*(1+'Assumptions-Overall'!$C$39)^('CashFlow-Office'!D$7-1)</f>
        <v>0</v>
      </c>
      <c r="E36" s="146">
        <f>-E11*'Assumptions-Office'!$S$12*(1+'Assumptions-Overall'!$C$39)^('CashFlow-Office'!E$7-1)</f>
        <v>0</v>
      </c>
      <c r="F36" s="146">
        <f>-F11*'Assumptions-Office'!$S$12*(1+'Assumptions-Overall'!$C$39)^('CashFlow-Office'!F$7-1)</f>
        <v>0</v>
      </c>
      <c r="G36" s="146">
        <f>-G11*'Assumptions-Office'!$S$12*(1+'Assumptions-Overall'!$C$39)^('CashFlow-Office'!G$7-1)</f>
        <v>0</v>
      </c>
      <c r="H36" s="146">
        <f>-H11*'Assumptions-Office'!$S$12*(1+'Assumptions-Overall'!$C$39)^('CashFlow-Office'!H$7-1)</f>
        <v>0</v>
      </c>
      <c r="I36" s="146">
        <f>-I11*'Assumptions-Office'!$S$12*(1+'Assumptions-Overall'!$C$39)^('CashFlow-Office'!I$7-1)</f>
        <v>0</v>
      </c>
      <c r="J36" s="146">
        <f>-J11*'Assumptions-Office'!$S$12*(1+'Assumptions-Overall'!$C$39)^('CashFlow-Office'!J$7-1)</f>
        <v>0</v>
      </c>
      <c r="K36" s="146">
        <f>-K11*'Assumptions-Office'!$S$12*(1+'Assumptions-Overall'!$C$39)^('CashFlow-Office'!K$7-1)</f>
        <v>0</v>
      </c>
      <c r="L36" s="146">
        <f>-L11*'Assumptions-Office'!$S$12*(1+'Assumptions-Overall'!$C$39)^('CashFlow-Office'!L$7-1)</f>
        <v>0</v>
      </c>
      <c r="M36" s="146">
        <f>-M11*'Assumptions-Office'!$S$12*(1+'Assumptions-Overall'!$C$39)^('CashFlow-Office'!M$7-1)</f>
        <v>0</v>
      </c>
      <c r="N36" s="151">
        <f>-N11*'Assumptions-Office'!$S$12*(1+'Assumptions-Overall'!$C$39)^('CashFlow-Office'!N$7-1)</f>
        <v>0</v>
      </c>
    </row>
    <row r="37" spans="2:14" x14ac:dyDescent="0.65">
      <c r="B37" s="3"/>
      <c r="C37" s="8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51"/>
    </row>
    <row r="38" spans="2:14" x14ac:dyDescent="0.65">
      <c r="B38" s="3" t="s">
        <v>209</v>
      </c>
      <c r="C38" s="8"/>
      <c r="D38" s="145">
        <f t="shared" ref="D38:N38" si="6">SUM(D34:D36)</f>
        <v>0</v>
      </c>
      <c r="E38" s="145">
        <f t="shared" si="6"/>
        <v>0</v>
      </c>
      <c r="F38" s="145">
        <f t="shared" si="6"/>
        <v>0</v>
      </c>
      <c r="G38" s="145">
        <f t="shared" si="6"/>
        <v>0</v>
      </c>
      <c r="H38" s="145">
        <f t="shared" si="6"/>
        <v>0</v>
      </c>
      <c r="I38" s="145">
        <f t="shared" si="6"/>
        <v>0</v>
      </c>
      <c r="J38" s="145">
        <f t="shared" si="6"/>
        <v>0</v>
      </c>
      <c r="K38" s="145">
        <f t="shared" si="6"/>
        <v>0</v>
      </c>
      <c r="L38" s="145">
        <f t="shared" si="6"/>
        <v>0</v>
      </c>
      <c r="M38" s="145">
        <f t="shared" si="6"/>
        <v>0</v>
      </c>
      <c r="N38" s="153">
        <f t="shared" si="6"/>
        <v>0</v>
      </c>
    </row>
    <row r="39" spans="2:14" x14ac:dyDescent="0.65">
      <c r="B39" s="3"/>
      <c r="C39" s="8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59"/>
    </row>
    <row r="40" spans="2:14" x14ac:dyDescent="0.65">
      <c r="B40" s="3" t="s">
        <v>189</v>
      </c>
      <c r="C40" s="8"/>
      <c r="D40" s="146">
        <f>-D11*'Assumptions-Office'!$S$14*(1+'Assumptions-Overall'!$C$40)^('CashFlow-Office'!D$7-1)</f>
        <v>0</v>
      </c>
      <c r="E40" s="146">
        <f>-E11*'Assumptions-Office'!$S$14*(1+'Assumptions-Overall'!$C$40)^('CashFlow-Office'!E$7-1)</f>
        <v>0</v>
      </c>
      <c r="F40" s="146">
        <f>-F11*'Assumptions-Office'!$S$14*(1+'Assumptions-Overall'!$C$40)^('CashFlow-Office'!F$7-1)</f>
        <v>0</v>
      </c>
      <c r="G40" s="146">
        <f>-G11*'Assumptions-Office'!$S$14*(1+'Assumptions-Overall'!$C$40)^('CashFlow-Office'!G$7-1)</f>
        <v>0</v>
      </c>
      <c r="H40" s="146">
        <f>-H11*'Assumptions-Office'!$S$14*(1+'Assumptions-Overall'!$C$40)^('CashFlow-Office'!H$7-1)</f>
        <v>0</v>
      </c>
      <c r="I40" s="146">
        <f>-I11*'Assumptions-Office'!$S$14*(1+'Assumptions-Overall'!$C$40)^('CashFlow-Office'!I$7-1)</f>
        <v>0</v>
      </c>
      <c r="J40" s="146">
        <f>-J11*'Assumptions-Office'!$S$14*(1+'Assumptions-Overall'!$C$40)^('CashFlow-Office'!J$7-1)</f>
        <v>0</v>
      </c>
      <c r="K40" s="146">
        <f>-K11*'Assumptions-Office'!$S$14*(1+'Assumptions-Overall'!$C$40)^('CashFlow-Office'!K$7-1)</f>
        <v>0</v>
      </c>
      <c r="L40" s="146">
        <f>-L11*'Assumptions-Office'!$S$14*(1+'Assumptions-Overall'!$C$40)^('CashFlow-Office'!L$7-1)</f>
        <v>0</v>
      </c>
      <c r="M40" s="146">
        <f>-M11*'Assumptions-Office'!$S$14*(1+'Assumptions-Overall'!$C$40)^('CashFlow-Office'!M$7-1)</f>
        <v>0</v>
      </c>
      <c r="N40" s="151"/>
    </row>
    <row r="41" spans="2:14" x14ac:dyDescent="0.65">
      <c r="B41" s="3"/>
      <c r="C41" s="8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51"/>
    </row>
    <row r="42" spans="2:14" x14ac:dyDescent="0.65">
      <c r="B42" s="3" t="s">
        <v>208</v>
      </c>
      <c r="C42" s="8"/>
      <c r="D42" s="145">
        <f>SUM(D38:D40)</f>
        <v>0</v>
      </c>
      <c r="E42" s="145">
        <f t="shared" ref="E42:M42" si="7">SUM(E38:E40)</f>
        <v>0</v>
      </c>
      <c r="F42" s="145">
        <f t="shared" si="7"/>
        <v>0</v>
      </c>
      <c r="G42" s="145">
        <f t="shared" si="7"/>
        <v>0</v>
      </c>
      <c r="H42" s="145">
        <f t="shared" si="7"/>
        <v>0</v>
      </c>
      <c r="I42" s="145">
        <f t="shared" si="7"/>
        <v>0</v>
      </c>
      <c r="J42" s="145">
        <f t="shared" si="7"/>
        <v>0</v>
      </c>
      <c r="K42" s="145">
        <f t="shared" si="7"/>
        <v>0</v>
      </c>
      <c r="L42" s="145">
        <f t="shared" si="7"/>
        <v>0</v>
      </c>
      <c r="M42" s="145">
        <f t="shared" si="7"/>
        <v>0</v>
      </c>
      <c r="N42" s="151"/>
    </row>
    <row r="43" spans="2:14" x14ac:dyDescent="0.65">
      <c r="B43" s="3"/>
      <c r="C43" s="8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51"/>
    </row>
    <row r="44" spans="2:14" x14ac:dyDescent="0.65">
      <c r="B44" s="36" t="s">
        <v>130</v>
      </c>
      <c r="C44" s="8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51"/>
    </row>
    <row r="45" spans="2:14" x14ac:dyDescent="0.65">
      <c r="B45" s="3" t="s">
        <v>210</v>
      </c>
      <c r="C45" s="8"/>
      <c r="D45" s="146">
        <f>-(AND(D$8&gt;=YEAR(PhaseIConBegin),D$8&lt;=YEAR(PhaseIConEnd)))*SUM($D12:$N12)*SUM('Assumptions-Overall'!$J$23:$J$24)*(1+'Assumptions-Overall'!$C$41)^('CashFlow-Office'!D$7-1)/(YEAR(PhaseIConEnd)-YEAR(PhaseIConBegin)+1)</f>
        <v>0</v>
      </c>
      <c r="E45" s="146">
        <f>-(AND(E$8&gt;=YEAR(PhaseIConBegin),E$8&lt;=YEAR(PhaseIConEnd)))*SUM($D12:$N12)*SUM('Assumptions-Overall'!$J$23:$J$24)*(1+'Assumptions-Overall'!$C$41)^('CashFlow-Office'!E$7-1)/(YEAR(PhaseIConEnd)-YEAR(PhaseIConBegin)+1)</f>
        <v>0</v>
      </c>
      <c r="F45" s="146">
        <f>-(AND(F$8&gt;=YEAR(PhaseIConBegin),F$8&lt;=YEAR(PhaseIConEnd)))*SUM($D12:$N12)*SUM('Assumptions-Overall'!$J$23:$J$24)*(1+'Assumptions-Overall'!$C$41)^('CashFlow-Office'!F$7-1)/(YEAR(PhaseIConEnd)-YEAR(PhaseIConBegin)+1)</f>
        <v>0</v>
      </c>
      <c r="G45" s="146">
        <f>-(AND(G$8&gt;=YEAR(PhaseIConBegin),G$8&lt;=YEAR(PhaseIConEnd)))*SUM($D12:$N12)*SUM('Assumptions-Overall'!$J$23:$J$24)*(1+'Assumptions-Overall'!$C$41)^('CashFlow-Office'!G$7-1)/(YEAR(PhaseIConEnd)-YEAR(PhaseIConBegin)+1)</f>
        <v>0</v>
      </c>
      <c r="H45" s="146">
        <f>-(AND(H$8&gt;=YEAR(PhaseIConBegin),H$8&lt;=YEAR(PhaseIConEnd)))*SUM($D12:$N12)*SUM('Assumptions-Overall'!$J$23:$J$24)*(1+'Assumptions-Overall'!$C$41)^('CashFlow-Office'!H$7-1)/(YEAR(PhaseIConEnd)-YEAR(PhaseIConBegin)+1)</f>
        <v>0</v>
      </c>
      <c r="I45" s="146">
        <f>-(AND(I$8&gt;=YEAR(PhaseIConBegin),I$8&lt;=YEAR(PhaseIConEnd)))*SUM($D12:$N12)*SUM('Assumptions-Overall'!$J$23:$J$24)*(1+'Assumptions-Overall'!$C$41)^('CashFlow-Office'!I$7-1)/(YEAR(PhaseIConEnd)-YEAR(PhaseIConBegin)+1)</f>
        <v>0</v>
      </c>
      <c r="J45" s="146">
        <f>-(AND(J$8&gt;=YEAR(PhaseIConBegin),J$8&lt;=YEAR(PhaseIConEnd)))*SUM($D12:$N12)*SUM('Assumptions-Overall'!$J$23:$J$24)*(1+'Assumptions-Overall'!$C$41)^('CashFlow-Office'!J$7-1)/(YEAR(PhaseIConEnd)-YEAR(PhaseIConBegin)+1)</f>
        <v>0</v>
      </c>
      <c r="K45" s="146">
        <f>-(AND(K$8&gt;=YEAR(PhaseIConBegin),K$8&lt;=YEAR(PhaseIConEnd)))*SUM($D12:$N12)*SUM('Assumptions-Overall'!$J$23:$J$24)*(1+'Assumptions-Overall'!$C$41)^('CashFlow-Office'!K$7-1)/(YEAR(PhaseIConEnd)-YEAR(PhaseIConBegin)+1)</f>
        <v>0</v>
      </c>
      <c r="L45" s="146">
        <f>-(AND(L$8&gt;=YEAR(PhaseIConBegin),L$8&lt;=YEAR(PhaseIConEnd)))*SUM($D12:$N12)*SUM('Assumptions-Overall'!$J$23:$J$24)*(1+'Assumptions-Overall'!$C$41)^('CashFlow-Office'!L$7-1)/(YEAR(PhaseIConEnd)-YEAR(PhaseIConBegin)+1)</f>
        <v>0</v>
      </c>
      <c r="M45" s="146">
        <f>-(AND(M$8&gt;=YEAR(PhaseIConBegin),M$8&lt;=YEAR(PhaseIConEnd)))*SUM($D12:$N12)*SUM('Assumptions-Overall'!$J$23:$J$24)*(1+'Assumptions-Overall'!$C$41)^('CashFlow-Office'!M$7-1)/(YEAR(PhaseIConEnd)-YEAR(PhaseIConBegin)+1)</f>
        <v>0</v>
      </c>
      <c r="N45" s="151"/>
    </row>
    <row r="46" spans="2:14" x14ac:dyDescent="0.65">
      <c r="B46" s="3" t="s">
        <v>211</v>
      </c>
      <c r="C46" s="8"/>
      <c r="D46" s="146">
        <f>(AND(D$8&gt;=YEAR(PhaseIPreconBegin),D$8&lt;=YEAR(PhaseIConEnd)))*SUM($D45:$N45)*'Assumptions-Overall'!$H$43/(YEAR(PhaseIConEnd)-YEAR(PhaseIPreconBegin)+1)</f>
        <v>0</v>
      </c>
      <c r="E46" s="146">
        <f>(AND(E$8&gt;=YEAR(PhaseIPreconBegin),E$8&lt;=YEAR(PhaseIConEnd)))*SUM($D45:$N45)*'Assumptions-Overall'!$H$43/(YEAR(PhaseIConEnd)-YEAR(PhaseIPreconBegin)+1)</f>
        <v>0</v>
      </c>
      <c r="F46" s="146">
        <f>(AND(F$8&gt;=YEAR(PhaseIPreconBegin),F$8&lt;=YEAR(PhaseIConEnd)))*SUM($D45:$N45)*'Assumptions-Overall'!$H$43/(YEAR(PhaseIConEnd)-YEAR(PhaseIPreconBegin)+1)</f>
        <v>0</v>
      </c>
      <c r="G46" s="146">
        <f>(AND(G$8&gt;=YEAR(PhaseIPreconBegin),G$8&lt;=YEAR(PhaseIConEnd)))*SUM($D45:$N45)*'Assumptions-Overall'!$H$43/(YEAR(PhaseIConEnd)-YEAR(PhaseIPreconBegin)+1)</f>
        <v>0</v>
      </c>
      <c r="H46" s="146">
        <f>(AND(H$8&gt;=YEAR(PhaseIPreconBegin),H$8&lt;=YEAR(PhaseIConEnd)))*SUM($D45:$N45)*'Assumptions-Overall'!$H$43/(YEAR(PhaseIConEnd)-YEAR(PhaseIPreconBegin)+1)</f>
        <v>0</v>
      </c>
      <c r="I46" s="146">
        <f>(AND(I$8&gt;=YEAR(PhaseIPreconBegin),I$8&lt;=YEAR(PhaseIConEnd)))*SUM($D45:$N45)*'Assumptions-Overall'!$H$43/(YEAR(PhaseIConEnd)-YEAR(PhaseIPreconBegin)+1)</f>
        <v>0</v>
      </c>
      <c r="J46" s="146">
        <f>(AND(J$8&gt;=YEAR(PhaseIPreconBegin),J$8&lt;=YEAR(PhaseIConEnd)))*SUM($D45:$N45)*'Assumptions-Overall'!$H$43/(YEAR(PhaseIConEnd)-YEAR(PhaseIPreconBegin)+1)</f>
        <v>0</v>
      </c>
      <c r="K46" s="146">
        <f>(AND(K$8&gt;=YEAR(PhaseIPreconBegin),K$8&lt;=YEAR(PhaseIConEnd)))*SUM($D45:$N45)*'Assumptions-Overall'!$H$43/(YEAR(PhaseIConEnd)-YEAR(PhaseIPreconBegin)+1)</f>
        <v>0</v>
      </c>
      <c r="L46" s="146">
        <f>(AND(L$8&gt;=YEAR(PhaseIPreconBegin),L$8&lt;=YEAR(PhaseIConEnd)))*SUM($D45:$N45)*'Assumptions-Overall'!$H$43/(YEAR(PhaseIConEnd)-YEAR(PhaseIPreconBegin)+1)</f>
        <v>0</v>
      </c>
      <c r="M46" s="146">
        <f>(AND(M$8&gt;=YEAR(PhaseIPreconBegin),M$8&lt;=YEAR(PhaseIConEnd)))*SUM($D45:$N45)*'Assumptions-Overall'!$H$43/(YEAR(PhaseIConEnd)-YEAR(PhaseIPreconBegin)+1)</f>
        <v>0</v>
      </c>
      <c r="N46" s="151"/>
    </row>
    <row r="47" spans="2:14" x14ac:dyDescent="0.65">
      <c r="B47" s="3" t="s">
        <v>115</v>
      </c>
      <c r="C47" s="8"/>
      <c r="D47" s="146">
        <f>(AND(D$8&gt;=YEAR(PhaseIPreconBegin),D$8&lt;=YEAR(PhaseIConEnd)))*SUM($D45:$N45)*'Assumptions-Overall'!$H$44/(YEAR(PhaseIConEnd)-YEAR(PhaseIPreconBegin)+1)</f>
        <v>0</v>
      </c>
      <c r="E47" s="146">
        <f>(AND(E$8&gt;=YEAR(PhaseIPreconBegin),E$8&lt;=YEAR(PhaseIConEnd)))*SUM($D45:$N45)*'Assumptions-Overall'!$H$44/(YEAR(PhaseIConEnd)-YEAR(PhaseIPreconBegin)+1)</f>
        <v>0</v>
      </c>
      <c r="F47" s="146">
        <f>(AND(F$8&gt;=YEAR(PhaseIPreconBegin),F$8&lt;=YEAR(PhaseIConEnd)))*SUM($D45:$N45)*'Assumptions-Overall'!$H$44/(YEAR(PhaseIConEnd)-YEAR(PhaseIPreconBegin)+1)</f>
        <v>0</v>
      </c>
      <c r="G47" s="146">
        <f>(AND(G$8&gt;=YEAR(PhaseIPreconBegin),G$8&lt;=YEAR(PhaseIConEnd)))*SUM($D45:$N45)*'Assumptions-Overall'!$H$44/(YEAR(PhaseIConEnd)-YEAR(PhaseIPreconBegin)+1)</f>
        <v>0</v>
      </c>
      <c r="H47" s="146">
        <f>(AND(H$8&gt;=YEAR(PhaseIPreconBegin),H$8&lt;=YEAR(PhaseIConEnd)))*SUM($D45:$N45)*'Assumptions-Overall'!$H$44/(YEAR(PhaseIConEnd)-YEAR(PhaseIPreconBegin)+1)</f>
        <v>0</v>
      </c>
      <c r="I47" s="146">
        <f>(AND(I$8&gt;=YEAR(PhaseIPreconBegin),I$8&lt;=YEAR(PhaseIConEnd)))*SUM($D45:$N45)*'Assumptions-Overall'!$H$44/(YEAR(PhaseIConEnd)-YEAR(PhaseIPreconBegin)+1)</f>
        <v>0</v>
      </c>
      <c r="J47" s="146">
        <f>(AND(J$8&gt;=YEAR(PhaseIPreconBegin),J$8&lt;=YEAR(PhaseIConEnd)))*SUM($D45:$N45)*'Assumptions-Overall'!$H$44/(YEAR(PhaseIConEnd)-YEAR(PhaseIPreconBegin)+1)</f>
        <v>0</v>
      </c>
      <c r="K47" s="146">
        <f>(AND(K$8&gt;=YEAR(PhaseIPreconBegin),K$8&lt;=YEAR(PhaseIConEnd)))*SUM($D45:$N45)*'Assumptions-Overall'!$H$44/(YEAR(PhaseIConEnd)-YEAR(PhaseIPreconBegin)+1)</f>
        <v>0</v>
      </c>
      <c r="L47" s="146">
        <f>(AND(L$8&gt;=YEAR(PhaseIPreconBegin),L$8&lt;=YEAR(PhaseIConEnd)))*SUM($D45:$N45)*'Assumptions-Overall'!$H$44/(YEAR(PhaseIConEnd)-YEAR(PhaseIPreconBegin)+1)</f>
        <v>0</v>
      </c>
      <c r="M47" s="146">
        <f>(AND(M$8&gt;=YEAR(PhaseIPreconBegin),M$8&lt;=YEAR(PhaseIConEnd)))*SUM($D45:$N45)*'Assumptions-Overall'!$H$44/(YEAR(PhaseIConEnd)-YEAR(PhaseIPreconBegin)+1)</f>
        <v>0</v>
      </c>
      <c r="N47" s="151"/>
    </row>
    <row r="48" spans="2:14" x14ac:dyDescent="0.65">
      <c r="B48" s="3" t="s">
        <v>116</v>
      </c>
      <c r="C48" s="8"/>
      <c r="D48" s="144">
        <f>SUM(D45:D47)*'Assumptions-Overall'!$H$45</f>
        <v>0</v>
      </c>
      <c r="E48" s="144">
        <f>SUM(E45:E47)*'Assumptions-Overall'!$H$45</f>
        <v>0</v>
      </c>
      <c r="F48" s="144">
        <f>SUM(F45:F47)*'Assumptions-Overall'!$H$45</f>
        <v>0</v>
      </c>
      <c r="G48" s="144">
        <f>SUM(G45:G47)*'Assumptions-Overall'!$H$45</f>
        <v>0</v>
      </c>
      <c r="H48" s="144">
        <f>SUM(H45:H47)*'Assumptions-Overall'!$H$45</f>
        <v>0</v>
      </c>
      <c r="I48" s="144">
        <f>SUM(I45:I47)*'Assumptions-Overall'!$H$45</f>
        <v>0</v>
      </c>
      <c r="J48" s="144">
        <f>SUM(J45:J47)*'Assumptions-Overall'!$H$45</f>
        <v>0</v>
      </c>
      <c r="K48" s="144">
        <f>SUM(K45:K47)*'Assumptions-Overall'!$H$45</f>
        <v>0</v>
      </c>
      <c r="L48" s="144">
        <f>SUM(L45:L47)*'Assumptions-Overall'!$H$45</f>
        <v>0</v>
      </c>
      <c r="M48" s="144">
        <f>SUM(M45:M47)*'Assumptions-Overall'!$H$45</f>
        <v>0</v>
      </c>
      <c r="N48" s="151"/>
    </row>
    <row r="49" spans="2:14" x14ac:dyDescent="0.65">
      <c r="B49" s="3" t="s">
        <v>212</v>
      </c>
      <c r="C49" s="8"/>
      <c r="D49" s="146">
        <f>SUM(D45:D48)</f>
        <v>0</v>
      </c>
      <c r="E49" s="146">
        <f t="shared" ref="E49:M49" si="8">SUM(E45:E48)</f>
        <v>0</v>
      </c>
      <c r="F49" s="146">
        <f t="shared" si="8"/>
        <v>0</v>
      </c>
      <c r="G49" s="146">
        <f t="shared" si="8"/>
        <v>0</v>
      </c>
      <c r="H49" s="146">
        <f t="shared" si="8"/>
        <v>0</v>
      </c>
      <c r="I49" s="146">
        <f t="shared" si="8"/>
        <v>0</v>
      </c>
      <c r="J49" s="146">
        <f t="shared" si="8"/>
        <v>0</v>
      </c>
      <c r="K49" s="146">
        <f t="shared" si="8"/>
        <v>0</v>
      </c>
      <c r="L49" s="146">
        <f t="shared" si="8"/>
        <v>0</v>
      </c>
      <c r="M49" s="146">
        <f t="shared" si="8"/>
        <v>0</v>
      </c>
      <c r="N49" s="151"/>
    </row>
    <row r="50" spans="2:14" x14ac:dyDescent="0.65">
      <c r="B50" s="3"/>
      <c r="C50" s="8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51"/>
    </row>
    <row r="51" spans="2:14" x14ac:dyDescent="0.65">
      <c r="B51" s="36" t="s">
        <v>213</v>
      </c>
      <c r="C51" s="8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51"/>
    </row>
    <row r="52" spans="2:14" x14ac:dyDescent="0.65">
      <c r="B52" s="3" t="s">
        <v>215</v>
      </c>
      <c r="C52" s="8"/>
      <c r="D52" s="146">
        <f>(D$8=YEAR('Assumptions-Overall'!$C$30))*E38/'Assumptions-Overall'!$V$18</f>
        <v>0</v>
      </c>
      <c r="E52" s="146">
        <f>(E$8=YEAR('Assumptions-Overall'!$C$30))*F38/'Assumptions-Overall'!$V$18</f>
        <v>0</v>
      </c>
      <c r="F52" s="146">
        <f>(F$8=YEAR('Assumptions-Overall'!$C$30))*G38/'Assumptions-Overall'!$V$18</f>
        <v>0</v>
      </c>
      <c r="G52" s="146">
        <f>(G$8=YEAR('Assumptions-Overall'!$C$30))*H38/'Assumptions-Overall'!$V$18</f>
        <v>0</v>
      </c>
      <c r="H52" s="146">
        <f>(H$8=YEAR('Assumptions-Overall'!$C$30))*I38/'Assumptions-Overall'!$V$18</f>
        <v>0</v>
      </c>
      <c r="I52" s="146">
        <f>(I$8=YEAR('Assumptions-Overall'!$C$30))*J38/'Assumptions-Overall'!$V$18</f>
        <v>0</v>
      </c>
      <c r="J52" s="146">
        <f>(J$8=YEAR('Assumptions-Overall'!$C$30))*K38/'Assumptions-Overall'!$V$18</f>
        <v>0</v>
      </c>
      <c r="K52" s="146">
        <f>(K$8=YEAR('Assumptions-Overall'!$C$30))*L38/'Assumptions-Overall'!$V$18</f>
        <v>0</v>
      </c>
      <c r="L52" s="146">
        <f>(L$8=YEAR('Assumptions-Overall'!$C$30))*M38/'Assumptions-Overall'!$V$18</f>
        <v>0</v>
      </c>
      <c r="M52" s="146">
        <f>(M$8=YEAR('Assumptions-Overall'!$C$30))*N38/'Assumptions-Overall'!$V$18</f>
        <v>0</v>
      </c>
      <c r="N52" s="151"/>
    </row>
    <row r="53" spans="2:14" x14ac:dyDescent="0.65">
      <c r="B53" s="3" t="s">
        <v>216</v>
      </c>
      <c r="C53" s="8"/>
      <c r="D53" s="144">
        <f>-D52*'Assumptions-Overall'!$R$27</f>
        <v>0</v>
      </c>
      <c r="E53" s="144">
        <f>-E52*'Assumptions-Overall'!$R$27</f>
        <v>0</v>
      </c>
      <c r="F53" s="144">
        <f>-F52*'Assumptions-Overall'!$R$27</f>
        <v>0</v>
      </c>
      <c r="G53" s="144">
        <f>-G52*'Assumptions-Overall'!$R$27</f>
        <v>0</v>
      </c>
      <c r="H53" s="144">
        <f>-H52*'Assumptions-Overall'!$R$27</f>
        <v>0</v>
      </c>
      <c r="I53" s="144">
        <f>-I52*'Assumptions-Overall'!$R$27</f>
        <v>0</v>
      </c>
      <c r="J53" s="144">
        <f>-J52*'Assumptions-Overall'!$R$27</f>
        <v>0</v>
      </c>
      <c r="K53" s="144">
        <f>-K52*'Assumptions-Overall'!$R$27</f>
        <v>0</v>
      </c>
      <c r="L53" s="144">
        <f>-L52*'Assumptions-Overall'!$R$27</f>
        <v>0</v>
      </c>
      <c r="M53" s="144">
        <f>-M52*'Assumptions-Overall'!$R$27</f>
        <v>0</v>
      </c>
      <c r="N53" s="151"/>
    </row>
    <row r="54" spans="2:14" x14ac:dyDescent="0.65">
      <c r="B54" s="3" t="s">
        <v>217</v>
      </c>
      <c r="C54" s="8"/>
      <c r="D54" s="146">
        <f>SUM(D52:D53)</f>
        <v>0</v>
      </c>
      <c r="E54" s="146">
        <f t="shared" ref="E54:M54" si="9">SUM(E52:E53)</f>
        <v>0</v>
      </c>
      <c r="F54" s="146">
        <f t="shared" si="9"/>
        <v>0</v>
      </c>
      <c r="G54" s="146">
        <f t="shared" si="9"/>
        <v>0</v>
      </c>
      <c r="H54" s="146">
        <f t="shared" si="9"/>
        <v>0</v>
      </c>
      <c r="I54" s="146">
        <f t="shared" si="9"/>
        <v>0</v>
      </c>
      <c r="J54" s="146">
        <f t="shared" si="9"/>
        <v>0</v>
      </c>
      <c r="K54" s="146">
        <f t="shared" si="9"/>
        <v>0</v>
      </c>
      <c r="L54" s="146">
        <f t="shared" si="9"/>
        <v>0</v>
      </c>
      <c r="M54" s="146">
        <f t="shared" si="9"/>
        <v>0</v>
      </c>
      <c r="N54" s="151"/>
    </row>
    <row r="55" spans="2:14" x14ac:dyDescent="0.65">
      <c r="B55" s="3"/>
      <c r="C55" s="8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51"/>
    </row>
    <row r="56" spans="2:14" x14ac:dyDescent="0.65">
      <c r="B56" s="3" t="s">
        <v>214</v>
      </c>
      <c r="C56" s="8"/>
      <c r="D56" s="146">
        <f t="shared" ref="D56:M56" si="10">D42+D49+D54</f>
        <v>0</v>
      </c>
      <c r="E56" s="146">
        <f t="shared" si="10"/>
        <v>0</v>
      </c>
      <c r="F56" s="146">
        <f t="shared" si="10"/>
        <v>0</v>
      </c>
      <c r="G56" s="146">
        <f t="shared" si="10"/>
        <v>0</v>
      </c>
      <c r="H56" s="146">
        <f t="shared" si="10"/>
        <v>0</v>
      </c>
      <c r="I56" s="146">
        <f t="shared" si="10"/>
        <v>0</v>
      </c>
      <c r="J56" s="146">
        <f t="shared" si="10"/>
        <v>0</v>
      </c>
      <c r="K56" s="146">
        <f t="shared" si="10"/>
        <v>0</v>
      </c>
      <c r="L56" s="146">
        <f t="shared" si="10"/>
        <v>0</v>
      </c>
      <c r="M56" s="146">
        <f t="shared" si="10"/>
        <v>0</v>
      </c>
      <c r="N56" s="151"/>
    </row>
    <row r="57" spans="2:14" x14ac:dyDescent="0.65">
      <c r="B57" s="3" t="s">
        <v>218</v>
      </c>
      <c r="C57" s="158" t="str">
        <f>IFERROR(IRR(D56:M56),"n/a")</f>
        <v>n/a</v>
      </c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51"/>
    </row>
    <row r="58" spans="2:14" ht="13" thickBot="1" x14ac:dyDescent="0.8">
      <c r="B58" s="5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1"/>
    </row>
    <row r="59" spans="2:14" x14ac:dyDescent="0.65">
      <c r="B59" s="154"/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6"/>
    </row>
    <row r="60" spans="2:14" x14ac:dyDescent="0.65">
      <c r="B60" s="147" t="s">
        <v>197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9"/>
    </row>
    <row r="61" spans="2:14" x14ac:dyDescent="0.65">
      <c r="B61" s="3" t="s">
        <v>194</v>
      </c>
      <c r="C61" s="8"/>
      <c r="D61" s="148">
        <f t="shared" ref="D61:N61" si="11">SUM(D65:D66)</f>
        <v>0</v>
      </c>
      <c r="E61" s="148">
        <f t="shared" si="11"/>
        <v>0</v>
      </c>
      <c r="F61" s="148">
        <f t="shared" si="11"/>
        <v>0</v>
      </c>
      <c r="G61" s="148">
        <f t="shared" si="11"/>
        <v>295286</v>
      </c>
      <c r="H61" s="148">
        <f t="shared" si="11"/>
        <v>295286</v>
      </c>
      <c r="I61" s="148">
        <f t="shared" si="11"/>
        <v>295286</v>
      </c>
      <c r="J61" s="148">
        <f t="shared" si="11"/>
        <v>295286</v>
      </c>
      <c r="K61" s="148">
        <f t="shared" si="11"/>
        <v>295286</v>
      </c>
      <c r="L61" s="148">
        <f t="shared" si="11"/>
        <v>295286</v>
      </c>
      <c r="M61" s="148">
        <f t="shared" si="11"/>
        <v>295286</v>
      </c>
      <c r="N61" s="149">
        <f t="shared" si="11"/>
        <v>295286</v>
      </c>
    </row>
    <row r="62" spans="2:14" x14ac:dyDescent="0.65">
      <c r="B62" s="3" t="s">
        <v>195</v>
      </c>
      <c r="C62" s="8"/>
      <c r="D62" s="148">
        <f>D61-C61</f>
        <v>0</v>
      </c>
      <c r="E62" s="148">
        <f t="shared" ref="E62" si="12">E61-D61</f>
        <v>0</v>
      </c>
      <c r="F62" s="148">
        <f t="shared" ref="F62" si="13">F61-E61</f>
        <v>0</v>
      </c>
      <c r="G62" s="148">
        <f t="shared" ref="G62" si="14">G61-F61</f>
        <v>295286</v>
      </c>
      <c r="H62" s="148">
        <f t="shared" ref="H62" si="15">H61-G61</f>
        <v>0</v>
      </c>
      <c r="I62" s="148">
        <f t="shared" ref="I62" si="16">I61-H61</f>
        <v>0</v>
      </c>
      <c r="J62" s="148">
        <f t="shared" ref="J62" si="17">J61-I61</f>
        <v>0</v>
      </c>
      <c r="K62" s="148">
        <f t="shared" ref="K62" si="18">K61-J61</f>
        <v>0</v>
      </c>
      <c r="L62" s="148">
        <f t="shared" ref="L62" si="19">L61-K61</f>
        <v>0</v>
      </c>
      <c r="M62" s="148">
        <f t="shared" ref="M62" si="20">M61-L61</f>
        <v>0</v>
      </c>
      <c r="N62" s="149">
        <f t="shared" ref="N62" si="21">N61-M61</f>
        <v>0</v>
      </c>
    </row>
    <row r="63" spans="2:14" x14ac:dyDescent="0.65">
      <c r="B63" s="3"/>
      <c r="C63" s="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9"/>
    </row>
    <row r="64" spans="2:14" x14ac:dyDescent="0.65">
      <c r="B64" s="36" t="s">
        <v>227</v>
      </c>
      <c r="C64" s="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9"/>
    </row>
    <row r="65" spans="2:14" x14ac:dyDescent="0.65">
      <c r="B65" s="3" t="str">
        <f>B20</f>
        <v>Market Rate Office Space</v>
      </c>
      <c r="C65" s="8"/>
      <c r="D65" s="148">
        <f>(D$8&gt;=YEAR(PhaseIIComplete))*'Assumptions-Office'!$E9</f>
        <v>0</v>
      </c>
      <c r="E65" s="148">
        <f>(E$8&gt;=YEAR(PhaseIIComplete))*'Assumptions-Office'!$E9</f>
        <v>0</v>
      </c>
      <c r="F65" s="148">
        <f>(F$8&gt;=YEAR(PhaseIIComplete))*'Assumptions-Office'!$E9</f>
        <v>0</v>
      </c>
      <c r="G65" s="148">
        <f>(G$8&gt;=YEAR(PhaseIIComplete))*'Assumptions-Office'!$E9</f>
        <v>295286</v>
      </c>
      <c r="H65" s="148">
        <f>(H$8&gt;=YEAR(PhaseIIComplete))*'Assumptions-Office'!$E9</f>
        <v>295286</v>
      </c>
      <c r="I65" s="148">
        <f>(I$8&gt;=YEAR(PhaseIIComplete))*'Assumptions-Office'!$E9</f>
        <v>295286</v>
      </c>
      <c r="J65" s="148">
        <f>(J$8&gt;=YEAR(PhaseIIComplete))*'Assumptions-Office'!$E9</f>
        <v>295286</v>
      </c>
      <c r="K65" s="148">
        <f>(K$8&gt;=YEAR(PhaseIIComplete))*'Assumptions-Office'!$E9</f>
        <v>295286</v>
      </c>
      <c r="L65" s="148">
        <f>(L$8&gt;=YEAR(PhaseIIComplete))*'Assumptions-Office'!$E9</f>
        <v>295286</v>
      </c>
      <c r="M65" s="148">
        <f>(M$8&gt;=YEAR(PhaseIIComplete))*'Assumptions-Office'!$E9</f>
        <v>295286</v>
      </c>
      <c r="N65" s="149">
        <f>(N$8&gt;=YEAR(PhaseIIComplete))*'Assumptions-Office'!$E9</f>
        <v>295286</v>
      </c>
    </row>
    <row r="66" spans="2:14" x14ac:dyDescent="0.65">
      <c r="B66" s="3" t="str">
        <f>B21</f>
        <v>Affordable Office Space</v>
      </c>
      <c r="C66" s="8"/>
      <c r="D66" s="148">
        <f>(D$8&gt;=YEAR(PhaseIIComplete))*'Assumptions-Office'!$E10</f>
        <v>0</v>
      </c>
      <c r="E66" s="148">
        <f>(E$8&gt;=YEAR(PhaseIIComplete))*'Assumptions-Office'!$E10</f>
        <v>0</v>
      </c>
      <c r="F66" s="148">
        <f>(F$8&gt;=YEAR(PhaseIIComplete))*'Assumptions-Office'!$E10</f>
        <v>0</v>
      </c>
      <c r="G66" s="148">
        <f>(G$8&gt;=YEAR(PhaseIIComplete))*'Assumptions-Office'!$E10</f>
        <v>0</v>
      </c>
      <c r="H66" s="148">
        <f>(H$8&gt;=YEAR(PhaseIIComplete))*'Assumptions-Office'!$E10</f>
        <v>0</v>
      </c>
      <c r="I66" s="148">
        <f>(I$8&gt;=YEAR(PhaseIIComplete))*'Assumptions-Office'!$E10</f>
        <v>0</v>
      </c>
      <c r="J66" s="148">
        <f>(J$8&gt;=YEAR(PhaseIIComplete))*'Assumptions-Office'!$E10</f>
        <v>0</v>
      </c>
      <c r="K66" s="148">
        <f>(K$8&gt;=YEAR(PhaseIIComplete))*'Assumptions-Office'!$E10</f>
        <v>0</v>
      </c>
      <c r="L66" s="148">
        <f>(L$8&gt;=YEAR(PhaseIIComplete))*'Assumptions-Office'!$E10</f>
        <v>0</v>
      </c>
      <c r="M66" s="148">
        <f>(M$8&gt;=YEAR(PhaseIIComplete))*'Assumptions-Office'!$E10</f>
        <v>0</v>
      </c>
      <c r="N66" s="149">
        <f>(N$8&gt;=YEAR(PhaseIIComplete))*'Assumptions-Office'!$E10</f>
        <v>0</v>
      </c>
    </row>
    <row r="67" spans="2:14" x14ac:dyDescent="0.65">
      <c r="B67" s="3"/>
      <c r="C67" s="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9"/>
    </row>
    <row r="68" spans="2:14" x14ac:dyDescent="0.65">
      <c r="B68" s="36" t="s">
        <v>206</v>
      </c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9"/>
    </row>
    <row r="69" spans="2:14" x14ac:dyDescent="0.65">
      <c r="B69" s="3" t="s">
        <v>229</v>
      </c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9"/>
    </row>
    <row r="70" spans="2:14" x14ac:dyDescent="0.65">
      <c r="B70" s="150" t="str">
        <f>B65</f>
        <v>Market Rate Office Space</v>
      </c>
      <c r="C70" s="8"/>
      <c r="D70" s="146">
        <f>D65*'Assumptions-Office'!$L9*(1+'Assumptions-Overall'!$C$35)^('CashFlow-Office'!D$7-1)</f>
        <v>0</v>
      </c>
      <c r="E70" s="146">
        <f>E65*'Assumptions-Office'!$L9*(1+'Assumptions-Overall'!$C$35)^('CashFlow-Office'!E$7-1)</f>
        <v>0</v>
      </c>
      <c r="F70" s="146">
        <f>F65*'Assumptions-Office'!$L9*(1+'Assumptions-Overall'!$C$35)^('CashFlow-Office'!F$7-1)</f>
        <v>0</v>
      </c>
      <c r="G70" s="146">
        <f>G65*'Assumptions-Office'!$L9*(1+'Assumptions-Overall'!$C$35)^('CashFlow-Office'!G$7-1)</f>
        <v>9680009.5476600006</v>
      </c>
      <c r="H70" s="146">
        <f>H65*'Assumptions-Office'!$L9*(1+'Assumptions-Overall'!$C$35)^('CashFlow-Office'!H$7-1)</f>
        <v>9970409.8340897989</v>
      </c>
      <c r="I70" s="146">
        <f>I65*'Assumptions-Office'!$L9*(1+'Assumptions-Overall'!$C$35)^('CashFlow-Office'!I$7-1)</f>
        <v>10269522.129112493</v>
      </c>
      <c r="J70" s="146">
        <f>J65*'Assumptions-Office'!$L9*(1+'Assumptions-Overall'!$C$35)^('CashFlow-Office'!J$7-1)</f>
        <v>10577607.792985868</v>
      </c>
      <c r="K70" s="146">
        <f>K65*'Assumptions-Office'!$L9*(1+'Assumptions-Overall'!$C$35)^('CashFlow-Office'!K$7-1)</f>
        <v>10894936.026775444</v>
      </c>
      <c r="L70" s="146">
        <f>L65*'Assumptions-Office'!$L9*(1+'Assumptions-Overall'!$C$35)^('CashFlow-Office'!L$7-1)</f>
        <v>11221784.107578706</v>
      </c>
      <c r="M70" s="146">
        <f>M65*'Assumptions-Office'!$L9*(1+'Assumptions-Overall'!$C$35)^('CashFlow-Office'!M$7-1)</f>
        <v>11558437.630806068</v>
      </c>
      <c r="N70" s="151">
        <f>N65*'Assumptions-Office'!$L9*(1+'Assumptions-Overall'!$C$35)^('CashFlow-Office'!N$7-1)</f>
        <v>11905190.75973025</v>
      </c>
    </row>
    <row r="71" spans="2:14" hidden="1" x14ac:dyDescent="0.65">
      <c r="B71" s="150" t="str">
        <f>B66</f>
        <v>Affordable Office Space</v>
      </c>
      <c r="C71" s="8"/>
      <c r="D71" s="144">
        <f>D66*'Assumptions-Office'!$L10*(1+'Assumptions-Overall'!$C$35)^('CashFlow-Office'!D$7-1)</f>
        <v>0</v>
      </c>
      <c r="E71" s="144">
        <f>E66*'Assumptions-Office'!$L10*(1+'Assumptions-Overall'!$C$35)^('CashFlow-Office'!E$7-1)</f>
        <v>0</v>
      </c>
      <c r="F71" s="144">
        <f>F66*'Assumptions-Office'!$L10*(1+'Assumptions-Overall'!$C$35)^('CashFlow-Office'!F$7-1)</f>
        <v>0</v>
      </c>
      <c r="G71" s="144">
        <f>G66*'Assumptions-Office'!$L10*(1+'Assumptions-Overall'!$C$35)^('CashFlow-Office'!G$7-1)</f>
        <v>0</v>
      </c>
      <c r="H71" s="144">
        <f>H66*'Assumptions-Office'!$L10*(1+'Assumptions-Overall'!$C$35)^('CashFlow-Office'!H$7-1)</f>
        <v>0</v>
      </c>
      <c r="I71" s="144">
        <f>I66*'Assumptions-Office'!$L10*(1+'Assumptions-Overall'!$C$35)^('CashFlow-Office'!I$7-1)</f>
        <v>0</v>
      </c>
      <c r="J71" s="144">
        <f>J66*'Assumptions-Office'!$L10*(1+'Assumptions-Overall'!$C$35)^('CashFlow-Office'!J$7-1)</f>
        <v>0</v>
      </c>
      <c r="K71" s="144">
        <f>K66*'Assumptions-Office'!$L10*(1+'Assumptions-Overall'!$C$35)^('CashFlow-Office'!K$7-1)</f>
        <v>0</v>
      </c>
      <c r="L71" s="144">
        <f>L66*'Assumptions-Office'!$L10*(1+'Assumptions-Overall'!$C$35)^('CashFlow-Office'!L$7-1)</f>
        <v>0</v>
      </c>
      <c r="M71" s="144">
        <f>M66*'Assumptions-Office'!$L10*(1+'Assumptions-Overall'!$C$35)^('CashFlow-Office'!M$7-1)</f>
        <v>0</v>
      </c>
      <c r="N71" s="152">
        <f>N66*'Assumptions-Office'!$L10*(1+'Assumptions-Overall'!$C$35)^('CashFlow-Office'!N$7-1)</f>
        <v>0</v>
      </c>
    </row>
    <row r="72" spans="2:14" x14ac:dyDescent="0.65">
      <c r="B72" s="3" t="s">
        <v>230</v>
      </c>
      <c r="C72" s="8"/>
      <c r="D72" s="146">
        <f t="shared" ref="D72:N72" si="22">SUM(D70:D71)</f>
        <v>0</v>
      </c>
      <c r="E72" s="146">
        <f t="shared" si="22"/>
        <v>0</v>
      </c>
      <c r="F72" s="146">
        <f t="shared" si="22"/>
        <v>0</v>
      </c>
      <c r="G72" s="146">
        <f t="shared" si="22"/>
        <v>9680009.5476600006</v>
      </c>
      <c r="H72" s="146">
        <f t="shared" si="22"/>
        <v>9970409.8340897989</v>
      </c>
      <c r="I72" s="146">
        <f t="shared" si="22"/>
        <v>10269522.129112493</v>
      </c>
      <c r="J72" s="146">
        <f t="shared" si="22"/>
        <v>10577607.792985868</v>
      </c>
      <c r="K72" s="146">
        <f t="shared" si="22"/>
        <v>10894936.026775444</v>
      </c>
      <c r="L72" s="146">
        <f t="shared" si="22"/>
        <v>11221784.107578706</v>
      </c>
      <c r="M72" s="146">
        <f t="shared" si="22"/>
        <v>11558437.630806068</v>
      </c>
      <c r="N72" s="151">
        <f t="shared" si="22"/>
        <v>11905190.75973025</v>
      </c>
    </row>
    <row r="73" spans="2:14" x14ac:dyDescent="0.65">
      <c r="B73" s="3"/>
      <c r="C73" s="8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51"/>
    </row>
    <row r="74" spans="2:14" s="365" customFormat="1" x14ac:dyDescent="0.65">
      <c r="B74" s="391" t="s">
        <v>231</v>
      </c>
      <c r="C74" s="366"/>
      <c r="D74" s="366"/>
      <c r="E74" s="366"/>
      <c r="F74" s="366"/>
      <c r="G74" s="366"/>
      <c r="H74" s="366"/>
      <c r="I74" s="366"/>
      <c r="J74" s="366"/>
      <c r="K74" s="366"/>
      <c r="L74" s="366"/>
      <c r="M74" s="366"/>
      <c r="N74" s="393"/>
    </row>
    <row r="75" spans="2:14" s="365" customFormat="1" x14ac:dyDescent="0.65">
      <c r="B75" s="464" t="str">
        <f>B70</f>
        <v>Market Rate Office Space</v>
      </c>
      <c r="C75" s="366"/>
      <c r="D75" s="446">
        <f>D65*'Assumptions-Office'!$N9*(1+'Assumptions-Overall'!$C$35)^('CashFlow-Office'!D$7-1)</f>
        <v>0</v>
      </c>
      <c r="E75" s="446">
        <f>E65*'Assumptions-Office'!$N9*(1+'Assumptions-Overall'!$C$35)^('CashFlow-Office'!E$7-1)</f>
        <v>0</v>
      </c>
      <c r="F75" s="446">
        <f>F65*'Assumptions-Office'!$N9*(1+'Assumptions-Overall'!$C$35)^('CashFlow-Office'!F$7-1)</f>
        <v>0</v>
      </c>
      <c r="G75" s="446">
        <f>G65*'Assumptions-Office'!$N9*(1+'Assumptions-Overall'!$C$35)^('CashFlow-Office'!G$7-1)</f>
        <v>0</v>
      </c>
      <c r="H75" s="446">
        <f>H65*'Assumptions-Office'!$N9*(1+'Assumptions-Overall'!$C$35)^('CashFlow-Office'!H$7-1)</f>
        <v>0</v>
      </c>
      <c r="I75" s="446">
        <f>I65*'Assumptions-Office'!$N9*(1+'Assumptions-Overall'!$C$35)^('CashFlow-Office'!I$7-1)</f>
        <v>0</v>
      </c>
      <c r="J75" s="446">
        <f>J65*'Assumptions-Office'!$N9*(1+'Assumptions-Overall'!$C$35)^('CashFlow-Office'!J$7-1)</f>
        <v>0</v>
      </c>
      <c r="K75" s="446">
        <f>K65*'Assumptions-Office'!$N9*(1+'Assumptions-Overall'!$C$35)^('CashFlow-Office'!K$7-1)</f>
        <v>0</v>
      </c>
      <c r="L75" s="446">
        <f>L65*'Assumptions-Office'!$N9*(1+'Assumptions-Overall'!$C$35)^('CashFlow-Office'!L$7-1)</f>
        <v>0</v>
      </c>
      <c r="M75" s="446">
        <f>M65*'Assumptions-Office'!$N9*(1+'Assumptions-Overall'!$C$35)^('CashFlow-Office'!M$7-1)</f>
        <v>0</v>
      </c>
      <c r="N75" s="450">
        <f>N65*'Assumptions-Office'!$N9*(1+'Assumptions-Overall'!$C$35)^('CashFlow-Office'!N$7-1)</f>
        <v>0</v>
      </c>
    </row>
    <row r="76" spans="2:14" s="365" customFormat="1" x14ac:dyDescent="0.65">
      <c r="B76" s="464" t="str">
        <f>B71</f>
        <v>Affordable Office Space</v>
      </c>
      <c r="C76" s="366"/>
      <c r="D76" s="465">
        <f>D66*'Assumptions-Office'!$N10*(1+'Assumptions-Overall'!$C$35)^('CashFlow-Office'!D$7-1)</f>
        <v>0</v>
      </c>
      <c r="E76" s="465">
        <f>E66*'Assumptions-Office'!$N10*(1+'Assumptions-Overall'!$C$35)^('CashFlow-Office'!E$7-1)</f>
        <v>0</v>
      </c>
      <c r="F76" s="465">
        <f>F66*'Assumptions-Office'!$N10*(1+'Assumptions-Overall'!$C$35)^('CashFlow-Office'!F$7-1)</f>
        <v>0</v>
      </c>
      <c r="G76" s="465">
        <f>G66*'Assumptions-Office'!$N10*(1+'Assumptions-Overall'!$C$35)^('CashFlow-Office'!G$7-1)</f>
        <v>0</v>
      </c>
      <c r="H76" s="465">
        <f>H66*'Assumptions-Office'!$N10*(1+'Assumptions-Overall'!$C$35)^('CashFlow-Office'!H$7-1)</f>
        <v>0</v>
      </c>
      <c r="I76" s="465">
        <f>I66*'Assumptions-Office'!$N10*(1+'Assumptions-Overall'!$C$35)^('CashFlow-Office'!I$7-1)</f>
        <v>0</v>
      </c>
      <c r="J76" s="465">
        <f>J66*'Assumptions-Office'!$N10*(1+'Assumptions-Overall'!$C$35)^('CashFlow-Office'!J$7-1)</f>
        <v>0</v>
      </c>
      <c r="K76" s="465">
        <f>K66*'Assumptions-Office'!$N10*(1+'Assumptions-Overall'!$C$35)^('CashFlow-Office'!K$7-1)</f>
        <v>0</v>
      </c>
      <c r="L76" s="465">
        <f>L66*'Assumptions-Office'!$N10*(1+'Assumptions-Overall'!$C$35)^('CashFlow-Office'!L$7-1)</f>
        <v>0</v>
      </c>
      <c r="M76" s="465">
        <f>M66*'Assumptions-Office'!$N10*(1+'Assumptions-Overall'!$C$35)^('CashFlow-Office'!M$7-1)</f>
        <v>0</v>
      </c>
      <c r="N76" s="466">
        <f>N66*'Assumptions-Office'!$N10*(1+'Assumptions-Overall'!$C$35)^('CashFlow-Office'!N$7-1)</f>
        <v>0</v>
      </c>
    </row>
    <row r="77" spans="2:14" s="365" customFormat="1" x14ac:dyDescent="0.65">
      <c r="B77" s="391" t="s">
        <v>232</v>
      </c>
      <c r="C77" s="366"/>
      <c r="D77" s="446">
        <f t="shared" ref="D77:N77" si="23">SUM(D75:D76)</f>
        <v>0</v>
      </c>
      <c r="E77" s="446">
        <f t="shared" si="23"/>
        <v>0</v>
      </c>
      <c r="F77" s="446">
        <f t="shared" si="23"/>
        <v>0</v>
      </c>
      <c r="G77" s="446">
        <f t="shared" si="23"/>
        <v>0</v>
      </c>
      <c r="H77" s="446">
        <f t="shared" si="23"/>
        <v>0</v>
      </c>
      <c r="I77" s="446">
        <f t="shared" si="23"/>
        <v>0</v>
      </c>
      <c r="J77" s="446">
        <f t="shared" si="23"/>
        <v>0</v>
      </c>
      <c r="K77" s="446">
        <f t="shared" si="23"/>
        <v>0</v>
      </c>
      <c r="L77" s="446">
        <f t="shared" si="23"/>
        <v>0</v>
      </c>
      <c r="M77" s="446">
        <f t="shared" si="23"/>
        <v>0</v>
      </c>
      <c r="N77" s="450">
        <f t="shared" si="23"/>
        <v>0</v>
      </c>
    </row>
    <row r="78" spans="2:14" x14ac:dyDescent="0.65">
      <c r="B78" s="3"/>
      <c r="C78" s="8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51"/>
    </row>
    <row r="79" spans="2:14" x14ac:dyDescent="0.65">
      <c r="B79" s="3" t="s">
        <v>201</v>
      </c>
      <c r="C79" s="8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51"/>
    </row>
    <row r="80" spans="2:14" x14ac:dyDescent="0.65">
      <c r="B80" s="150" t="s">
        <v>228</v>
      </c>
      <c r="C80" s="8"/>
      <c r="D80" s="146">
        <f>-D72*'Assumptions-Office'!$S$8</f>
        <v>0</v>
      </c>
      <c r="E80" s="146">
        <f>-E72*'Assumptions-Office'!$S$8</f>
        <v>0</v>
      </c>
      <c r="F80" s="146">
        <f>-F72*'Assumptions-Office'!$S$8</f>
        <v>0</v>
      </c>
      <c r="G80" s="146">
        <f>-G72*'Assumptions-Office'!$S$8</f>
        <v>-484000.47738300008</v>
      </c>
      <c r="H80" s="146">
        <f>-H72*'Assumptions-Office'!$S$8</f>
        <v>-498520.49170448998</v>
      </c>
      <c r="I80" s="146">
        <f>-I72*'Assumptions-Office'!$S$8</f>
        <v>-513476.10645562469</v>
      </c>
      <c r="J80" s="146">
        <f>-J72*'Assumptions-Office'!$S$8</f>
        <v>-528880.38964929339</v>
      </c>
      <c r="K80" s="146">
        <f>-K72*'Assumptions-Office'!$S$8</f>
        <v>-544746.80133877217</v>
      </c>
      <c r="L80" s="146">
        <f>-L72*'Assumptions-Office'!$S$8</f>
        <v>-561089.20537893532</v>
      </c>
      <c r="M80" s="146">
        <f>-M72*'Assumptions-Office'!$S$8</f>
        <v>-577921.88154030347</v>
      </c>
      <c r="N80" s="151">
        <f>-N72*'Assumptions-Office'!$S$8</f>
        <v>-595259.53798651253</v>
      </c>
    </row>
    <row r="81" spans="2:14" x14ac:dyDescent="0.65">
      <c r="B81" s="150" t="s">
        <v>203</v>
      </c>
      <c r="C81" s="8"/>
      <c r="D81" s="144">
        <f>-(C72=0)*((D72)*'Assumptions-Office'!$S$9+SUM('CashFlow-Office'!D80))</f>
        <v>0</v>
      </c>
      <c r="E81" s="144">
        <f>-(D72=0)*((E72)*'Assumptions-Office'!$S$9+SUM('CashFlow-Office'!E80))</f>
        <v>0</v>
      </c>
      <c r="F81" s="144">
        <f>-(E72=0)*((F72)*'Assumptions-Office'!$S$9+SUM('CashFlow-Office'!F80))</f>
        <v>0</v>
      </c>
      <c r="G81" s="144">
        <f>-(F72=0)*((G72)*'Assumptions-Office'!$S$9+SUM('CashFlow-Office'!G80))</f>
        <v>-2420002.3869150002</v>
      </c>
      <c r="H81" s="144">
        <f>-(G72=0)*((H72)*'Assumptions-Office'!$S$9+SUM('CashFlow-Office'!H80))</f>
        <v>0</v>
      </c>
      <c r="I81" s="144">
        <f>-(H72=0)*((I72)*'Assumptions-Office'!$S$9+SUM('CashFlow-Office'!I80))</f>
        <v>0</v>
      </c>
      <c r="J81" s="144">
        <f>-(I72=0)*((J72)*'Assumptions-Office'!$S$9+SUM('CashFlow-Office'!J80))</f>
        <v>0</v>
      </c>
      <c r="K81" s="144">
        <f>-(J72=0)*((K72)*'Assumptions-Office'!$S$9+SUM('CashFlow-Office'!K80))</f>
        <v>0</v>
      </c>
      <c r="L81" s="144">
        <f>-(K72=0)*((L72)*'Assumptions-Office'!$S$9+SUM('CashFlow-Office'!L80))</f>
        <v>0</v>
      </c>
      <c r="M81" s="144">
        <f>-(L72=0)*((M72)*'Assumptions-Office'!$S$9+SUM('CashFlow-Office'!M80))</f>
        <v>0</v>
      </c>
      <c r="N81" s="152">
        <f>-(M72=0)*((N72)*'Assumptions-Office'!$S$9+SUM('CashFlow-Office'!N80))</f>
        <v>0</v>
      </c>
    </row>
    <row r="82" spans="2:14" x14ac:dyDescent="0.65">
      <c r="B82" s="3" t="s">
        <v>204</v>
      </c>
      <c r="C82" s="8"/>
      <c r="D82" s="146">
        <f t="shared" ref="D82:N82" si="24">SUM(D80:D81)</f>
        <v>0</v>
      </c>
      <c r="E82" s="146">
        <f t="shared" si="24"/>
        <v>0</v>
      </c>
      <c r="F82" s="146">
        <f t="shared" si="24"/>
        <v>0</v>
      </c>
      <c r="G82" s="146">
        <f t="shared" si="24"/>
        <v>-2904002.864298</v>
      </c>
      <c r="H82" s="146">
        <f t="shared" si="24"/>
        <v>-498520.49170448998</v>
      </c>
      <c r="I82" s="146">
        <f t="shared" si="24"/>
        <v>-513476.10645562469</v>
      </c>
      <c r="J82" s="146">
        <f t="shared" si="24"/>
        <v>-528880.38964929339</v>
      </c>
      <c r="K82" s="146">
        <f t="shared" si="24"/>
        <v>-544746.80133877217</v>
      </c>
      <c r="L82" s="146">
        <f t="shared" si="24"/>
        <v>-561089.20537893532</v>
      </c>
      <c r="M82" s="146">
        <f t="shared" si="24"/>
        <v>-577921.88154030347</v>
      </c>
      <c r="N82" s="151">
        <f t="shared" si="24"/>
        <v>-595259.53798651253</v>
      </c>
    </row>
    <row r="83" spans="2:14" x14ac:dyDescent="0.65">
      <c r="B83" s="3"/>
      <c r="C83" s="8"/>
      <c r="D83" s="146"/>
      <c r="E83" s="146"/>
      <c r="F83" s="146"/>
      <c r="G83" s="146"/>
      <c r="H83" s="128"/>
      <c r="I83" s="146"/>
      <c r="J83" s="146"/>
      <c r="K83" s="146"/>
      <c r="L83" s="146"/>
      <c r="M83" s="146"/>
      <c r="N83" s="151"/>
    </row>
    <row r="84" spans="2:14" x14ac:dyDescent="0.65">
      <c r="B84" s="3" t="s">
        <v>205</v>
      </c>
      <c r="C84" s="8"/>
      <c r="D84" s="145">
        <f t="shared" ref="D84:N84" si="25">D72+D82</f>
        <v>0</v>
      </c>
      <c r="E84" s="145">
        <f t="shared" si="25"/>
        <v>0</v>
      </c>
      <c r="F84" s="145">
        <f t="shared" si="25"/>
        <v>0</v>
      </c>
      <c r="G84" s="145">
        <f t="shared" si="25"/>
        <v>6776006.6833620006</v>
      </c>
      <c r="H84" s="145">
        <f t="shared" si="25"/>
        <v>9471889.3423853088</v>
      </c>
      <c r="I84" s="145">
        <f t="shared" si="25"/>
        <v>9756046.0226568691</v>
      </c>
      <c r="J84" s="145">
        <f t="shared" si="25"/>
        <v>10048727.403336573</v>
      </c>
      <c r="K84" s="145">
        <f t="shared" si="25"/>
        <v>10350189.225436673</v>
      </c>
      <c r="L84" s="145">
        <f t="shared" si="25"/>
        <v>10660694.902199771</v>
      </c>
      <c r="M84" s="145">
        <f t="shared" si="25"/>
        <v>10980515.749265764</v>
      </c>
      <c r="N84" s="153">
        <f t="shared" si="25"/>
        <v>11309931.221743736</v>
      </c>
    </row>
    <row r="85" spans="2:14" x14ac:dyDescent="0.65">
      <c r="B85" s="3"/>
      <c r="C85" s="8"/>
      <c r="D85" s="146"/>
      <c r="E85" s="146"/>
      <c r="F85" s="146"/>
      <c r="G85" s="146"/>
      <c r="H85" s="146"/>
      <c r="I85" s="146"/>
      <c r="J85" s="146"/>
      <c r="K85" s="146"/>
      <c r="L85" s="146"/>
      <c r="M85" s="146"/>
      <c r="N85" s="151"/>
    </row>
    <row r="86" spans="2:14" x14ac:dyDescent="0.65">
      <c r="B86" s="3" t="s">
        <v>207</v>
      </c>
      <c r="C86" s="8"/>
      <c r="D86" s="146">
        <f>-D61*'Assumptions-Office'!$S$12*(1+'Assumptions-Overall'!$C$39)^('CashFlow-Office'!D$7-1)</f>
        <v>0</v>
      </c>
      <c r="E86" s="146">
        <f>-E61*'Assumptions-Office'!$S$12*(1+'Assumptions-Overall'!$C$39)^('CashFlow-Office'!E$7-1)</f>
        <v>0</v>
      </c>
      <c r="F86" s="146">
        <f>-F61*'Assumptions-Office'!$S$12*(1+'Assumptions-Overall'!$C$39)^('CashFlow-Office'!F$7-1)</f>
        <v>0</v>
      </c>
      <c r="G86" s="146">
        <f>-G61*'Assumptions-Office'!$S$12*(1+'Assumptions-Overall'!$C$39)^('CashFlow-Office'!G$7-1)</f>
        <v>-3710670.3266030001</v>
      </c>
      <c r="H86" s="146">
        <f>-H61*'Assumptions-Office'!$S$12*(1+'Assumptions-Overall'!$C$39)^('CashFlow-Office'!H$7-1)</f>
        <v>-3821990.4364010897</v>
      </c>
      <c r="I86" s="146">
        <f>-I61*'Assumptions-Office'!$S$12*(1+'Assumptions-Overall'!$C$39)^('CashFlow-Office'!I$7-1)</f>
        <v>-3936650.149493122</v>
      </c>
      <c r="J86" s="146">
        <f>-J61*'Assumptions-Office'!$S$12*(1+'Assumptions-Overall'!$C$39)^('CashFlow-Office'!J$7-1)</f>
        <v>-4054749.6539779161</v>
      </c>
      <c r="K86" s="146">
        <f>-K61*'Assumptions-Office'!$S$12*(1+'Assumptions-Overall'!$C$39)^('CashFlow-Office'!K$7-1)</f>
        <v>-4176392.1435972536</v>
      </c>
      <c r="L86" s="146">
        <f>-L61*'Assumptions-Office'!$S$12*(1+'Assumptions-Overall'!$C$39)^('CashFlow-Office'!L$7-1)</f>
        <v>-4301683.9079051707</v>
      </c>
      <c r="M86" s="146">
        <f>-M61*'Assumptions-Office'!$S$12*(1+'Assumptions-Overall'!$C$39)^('CashFlow-Office'!M$7-1)</f>
        <v>-4430734.4251423264</v>
      </c>
      <c r="N86" s="151">
        <f>-N61*'Assumptions-Office'!$S$12*(1+'Assumptions-Overall'!$C$39)^('CashFlow-Office'!N$7-1)</f>
        <v>-4563656.4578965958</v>
      </c>
    </row>
    <row r="87" spans="2:14" x14ac:dyDescent="0.65">
      <c r="B87" s="3"/>
      <c r="C87" s="8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51"/>
    </row>
    <row r="88" spans="2:14" x14ac:dyDescent="0.65">
      <c r="B88" s="3" t="s">
        <v>209</v>
      </c>
      <c r="C88" s="8"/>
      <c r="D88" s="145">
        <f>SUM(D84:D86)</f>
        <v>0</v>
      </c>
      <c r="E88" s="145">
        <f t="shared" ref="E88:N88" si="26">SUM(E84:E86)</f>
        <v>0</v>
      </c>
      <c r="F88" s="145">
        <f t="shared" si="26"/>
        <v>0</v>
      </c>
      <c r="G88" s="145">
        <f t="shared" si="26"/>
        <v>3065336.3567590006</v>
      </c>
      <c r="H88" s="145">
        <f t="shared" si="26"/>
        <v>5649898.9059842192</v>
      </c>
      <c r="I88" s="145">
        <f t="shared" si="26"/>
        <v>5819395.8731637467</v>
      </c>
      <c r="J88" s="145">
        <f t="shared" si="26"/>
        <v>5993977.7493586577</v>
      </c>
      <c r="K88" s="145">
        <f t="shared" si="26"/>
        <v>6173797.081839419</v>
      </c>
      <c r="L88" s="145">
        <f t="shared" si="26"/>
        <v>6359010.9942946006</v>
      </c>
      <c r="M88" s="145">
        <f t="shared" si="26"/>
        <v>6549781.3241234375</v>
      </c>
      <c r="N88" s="153">
        <f t="shared" si="26"/>
        <v>6746274.7638471406</v>
      </c>
    </row>
    <row r="89" spans="2:14" x14ac:dyDescent="0.65">
      <c r="B89" s="3"/>
      <c r="C89" s="8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59"/>
    </row>
    <row r="90" spans="2:14" x14ac:dyDescent="0.65">
      <c r="B90" s="3" t="s">
        <v>189</v>
      </c>
      <c r="C90" s="8"/>
      <c r="D90" s="146">
        <f>-D61*'Assumptions-Office'!$S$14*(1+'Assumptions-Overall'!$C$40)^('CashFlow-Office'!D$7-1)</f>
        <v>0</v>
      </c>
      <c r="E90" s="146">
        <f>-E61*'Assumptions-Office'!$S$14*(1+'Assumptions-Overall'!$C$40)^('CashFlow-Office'!E$7-1)</f>
        <v>0</v>
      </c>
      <c r="F90" s="146">
        <f>-F61*'Assumptions-Office'!$S$14*(1+'Assumptions-Overall'!$C$40)^('CashFlow-Office'!F$7-1)</f>
        <v>0</v>
      </c>
      <c r="G90" s="146">
        <f>-G61*'Assumptions-Office'!$S$14*(1+'Assumptions-Overall'!$C$40)^('CashFlow-Office'!G$7-1)</f>
        <v>-64533.396984400002</v>
      </c>
      <c r="H90" s="146">
        <f>-H61*'Assumptions-Office'!$S$14*(1+'Assumptions-Overall'!$C$40)^('CashFlow-Office'!H$7-1)</f>
        <v>-66469.398893931997</v>
      </c>
      <c r="I90" s="146">
        <f>-I61*'Assumptions-Office'!$S$14*(1+'Assumptions-Overall'!$C$40)^('CashFlow-Office'!I$7-1)</f>
        <v>-68463.480860749958</v>
      </c>
      <c r="J90" s="146">
        <f>-J61*'Assumptions-Office'!$S$14*(1+'Assumptions-Overall'!$C$40)^('CashFlow-Office'!J$7-1)</f>
        <v>-70517.385286572462</v>
      </c>
      <c r="K90" s="146">
        <f>-K61*'Assumptions-Office'!$S$14*(1+'Assumptions-Overall'!$C$40)^('CashFlow-Office'!K$7-1)</f>
        <v>-72632.906845169637</v>
      </c>
      <c r="L90" s="146">
        <f>-L61*'Assumptions-Office'!$S$14*(1+'Assumptions-Overall'!$C$40)^('CashFlow-Office'!L$7-1)</f>
        <v>-74811.894050524716</v>
      </c>
      <c r="M90" s="146">
        <f>-M61*'Assumptions-Office'!$S$14*(1+'Assumptions-Overall'!$C$40)^('CashFlow-Office'!M$7-1)</f>
        <v>-77056.250872040458</v>
      </c>
      <c r="N90" s="151"/>
    </row>
    <row r="91" spans="2:14" x14ac:dyDescent="0.65">
      <c r="B91" s="3"/>
      <c r="C91" s="8"/>
      <c r="D91" s="146"/>
      <c r="E91" s="146"/>
      <c r="F91" s="146"/>
      <c r="G91" s="146"/>
      <c r="H91" s="146"/>
      <c r="I91" s="146"/>
      <c r="J91" s="146"/>
      <c r="K91" s="146"/>
      <c r="L91" s="146"/>
      <c r="M91" s="146"/>
      <c r="N91" s="151"/>
    </row>
    <row r="92" spans="2:14" x14ac:dyDescent="0.65">
      <c r="B92" s="3" t="s">
        <v>208</v>
      </c>
      <c r="C92" s="8"/>
      <c r="D92" s="145">
        <f>SUM(D88:D90)</f>
        <v>0</v>
      </c>
      <c r="E92" s="145">
        <f t="shared" ref="E92:M92" si="27">SUM(E88:E90)</f>
        <v>0</v>
      </c>
      <c r="F92" s="145">
        <f t="shared" si="27"/>
        <v>0</v>
      </c>
      <c r="G92" s="145">
        <f t="shared" si="27"/>
        <v>3000802.9597746003</v>
      </c>
      <c r="H92" s="145">
        <f t="shared" si="27"/>
        <v>5583429.5070902873</v>
      </c>
      <c r="I92" s="145">
        <f t="shared" si="27"/>
        <v>5750932.3923029965</v>
      </c>
      <c r="J92" s="145">
        <f t="shared" si="27"/>
        <v>5923460.3640720854</v>
      </c>
      <c r="K92" s="145">
        <f t="shared" si="27"/>
        <v>6101164.1749942489</v>
      </c>
      <c r="L92" s="145">
        <f t="shared" si="27"/>
        <v>6284199.100244076</v>
      </c>
      <c r="M92" s="145">
        <f t="shared" si="27"/>
        <v>6472725.0732513973</v>
      </c>
      <c r="N92" s="151"/>
    </row>
    <row r="93" spans="2:14" x14ac:dyDescent="0.65">
      <c r="B93" s="3"/>
      <c r="C93" s="8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51"/>
    </row>
    <row r="94" spans="2:14" x14ac:dyDescent="0.65">
      <c r="B94" s="36" t="s">
        <v>130</v>
      </c>
      <c r="C94" s="8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51"/>
    </row>
    <row r="95" spans="2:14" x14ac:dyDescent="0.65">
      <c r="B95" s="3" t="s">
        <v>210</v>
      </c>
      <c r="C95" s="8"/>
      <c r="D95" s="146">
        <f>-(AND(D$8&gt;=YEAR(PhaseIIConBegin),D$8&lt;=YEAR(PhaseIIConEnd)))*SUM($D62:$N62)*SUM('Assumptions-Overall'!$J$23:$J$24)*(1+'Assumptions-Overall'!$C$41)^('CashFlow-Office'!D$7-1)/(YEAR(PhaseIIConEnd)-YEAR(PhaseIIConBegin)+1)</f>
        <v>0</v>
      </c>
      <c r="E95" s="146">
        <f>-(AND(E$8&gt;=YEAR(PhaseIIConBegin),E$8&lt;=YEAR(PhaseIIConEnd)))*SUM($D62:$N62)*SUM('Assumptions-Overall'!$J$23:$J$24)*(1+'Assumptions-Overall'!$C$41)^('CashFlow-Office'!E$7-1)/(YEAR(PhaseIIConEnd)-YEAR(PhaseIIConBegin)+1)</f>
        <v>0</v>
      </c>
      <c r="F95" s="146">
        <f>-(AND(F$8&gt;=YEAR(PhaseIIConBegin),F$8&lt;=YEAR(PhaseIIConEnd)))*SUM($D62:$N62)*SUM('Assumptions-Overall'!$J$23:$J$24)*(1+'Assumptions-Overall'!$C$41)^('CashFlow-Office'!F$7-1)/(YEAR(PhaseIIConEnd)-YEAR(PhaseIIConBegin)+1)</f>
        <v>-28977374.859499998</v>
      </c>
      <c r="G95" s="146">
        <f>-(AND(G$8&gt;=YEAR(PhaseIIConBegin),G$8&lt;=YEAR(PhaseIIConEnd)))*SUM($D62:$N62)*SUM('Assumptions-Overall'!$J$23:$J$24)*(1+'Assumptions-Overall'!$C$41)^('CashFlow-Office'!G$7-1)/(YEAR(PhaseIIConEnd)-YEAR(PhaseIIConBegin)+1)</f>
        <v>-29846696.105285</v>
      </c>
      <c r="H95" s="146">
        <f>-(AND(H$8&gt;=YEAR(PhaseIIConBegin),H$8&lt;=YEAR(PhaseIIConEnd)))*SUM($D62:$N62)*SUM('Assumptions-Overall'!$J$23:$J$24)*(1+'Assumptions-Overall'!$C$41)^('CashFlow-Office'!H$7-1)/(YEAR(PhaseIIConEnd)-YEAR(PhaseIIConBegin)+1)</f>
        <v>0</v>
      </c>
      <c r="I95" s="146">
        <f>-(AND(I$8&gt;=YEAR(PhaseIIConBegin),I$8&lt;=YEAR(PhaseIIConEnd)))*SUM($D62:$N62)*SUM('Assumptions-Overall'!$J$23:$J$24)*(1+'Assumptions-Overall'!$C$41)^('CashFlow-Office'!I$7-1)/(YEAR(PhaseIIConEnd)-YEAR(PhaseIIConBegin)+1)</f>
        <v>0</v>
      </c>
      <c r="J95" s="146">
        <f>-(AND(J$8&gt;=YEAR(PhaseIIConBegin),J$8&lt;=YEAR(PhaseIIConEnd)))*SUM($D62:$N62)*SUM('Assumptions-Overall'!$J$23:$J$24)*(1+'Assumptions-Overall'!$C$41)^('CashFlow-Office'!J$7-1)/(YEAR(PhaseIIConEnd)-YEAR(PhaseIIConBegin)+1)</f>
        <v>0</v>
      </c>
      <c r="K95" s="146">
        <f>-(AND(K$8&gt;=YEAR(PhaseIIConBegin),K$8&lt;=YEAR(PhaseIIConEnd)))*SUM($D62:$N62)*SUM('Assumptions-Overall'!$J$23:$J$24)*(1+'Assumptions-Overall'!$C$41)^('CashFlow-Office'!K$7-1)/(YEAR(PhaseIIConEnd)-YEAR(PhaseIIConBegin)+1)</f>
        <v>0</v>
      </c>
      <c r="L95" s="146">
        <f>-(AND(L$8&gt;=YEAR(PhaseIIConBegin),L$8&lt;=YEAR(PhaseIIConEnd)))*SUM($D62:$N62)*SUM('Assumptions-Overall'!$J$23:$J$24)*(1+'Assumptions-Overall'!$C$41)^('CashFlow-Office'!L$7-1)/(YEAR(PhaseIIConEnd)-YEAR(PhaseIIConBegin)+1)</f>
        <v>0</v>
      </c>
      <c r="M95" s="146">
        <f>-(AND(M$8&gt;=YEAR(PhaseIIConBegin),M$8&lt;=YEAR(PhaseIIConEnd)))*SUM($D62:$N62)*SUM('Assumptions-Overall'!$J$23:$J$24)*(1+'Assumptions-Overall'!$C$41)^('CashFlow-Office'!M$7-1)/(YEAR(PhaseIIConEnd)-YEAR(PhaseIIConBegin)+1)</f>
        <v>0</v>
      </c>
      <c r="N95" s="151"/>
    </row>
    <row r="96" spans="2:14" x14ac:dyDescent="0.65">
      <c r="B96" s="3" t="s">
        <v>211</v>
      </c>
      <c r="C96" s="8"/>
      <c r="D96" s="146">
        <f>(AND(D$8&gt;=YEAR(PhaseIIPreconBegin),D$8&lt;=YEAR(PhaseIIConEnd)))*SUM($D95:$N95)*'Assumptions-Overall'!$H$43/(YEAR(PhaseIIConEnd)-YEAR(PhaseIIPreconBegin)+1)</f>
        <v>0</v>
      </c>
      <c r="E96" s="146">
        <f>(AND(E$8&gt;=YEAR(PhaseIIPreconBegin),E$8&lt;=YEAR(PhaseIIConEnd)))*SUM($D95:$N95)*'Assumptions-Overall'!$H$43/(YEAR(PhaseIIConEnd)-YEAR(PhaseIIPreconBegin)+1)</f>
        <v>-1176481.4192956998</v>
      </c>
      <c r="F96" s="146">
        <f>(AND(F$8&gt;=YEAR(PhaseIIPreconBegin),F$8&lt;=YEAR(PhaseIIConEnd)))*SUM($D95:$N95)*'Assumptions-Overall'!$H$43/(YEAR(PhaseIIConEnd)-YEAR(PhaseIIPreconBegin)+1)</f>
        <v>-1176481.4192956998</v>
      </c>
      <c r="G96" s="146">
        <f>(AND(G$8&gt;=YEAR(PhaseIIPreconBegin),G$8&lt;=YEAR(PhaseIIConEnd)))*SUM($D95:$N95)*'Assumptions-Overall'!$H$43/(YEAR(PhaseIIConEnd)-YEAR(PhaseIIPreconBegin)+1)</f>
        <v>-1176481.4192956998</v>
      </c>
      <c r="H96" s="146">
        <f>(AND(H$8&gt;=YEAR(PhaseIIPreconBegin),H$8&lt;=YEAR(PhaseIIConEnd)))*SUM($D95:$N95)*'Assumptions-Overall'!$H$43/(YEAR(PhaseIIConEnd)-YEAR(PhaseIIPreconBegin)+1)</f>
        <v>0</v>
      </c>
      <c r="I96" s="146">
        <f>(AND(I$8&gt;=YEAR(PhaseIIPreconBegin),I$8&lt;=YEAR(PhaseIIConEnd)))*SUM($D95:$N95)*'Assumptions-Overall'!$H$43/(YEAR(PhaseIIConEnd)-YEAR(PhaseIIPreconBegin)+1)</f>
        <v>0</v>
      </c>
      <c r="J96" s="146">
        <f>(AND(J$8&gt;=YEAR(PhaseIIPreconBegin),J$8&lt;=YEAR(PhaseIIConEnd)))*SUM($D95:$N95)*'Assumptions-Overall'!$H$43/(YEAR(PhaseIIConEnd)-YEAR(PhaseIIPreconBegin)+1)</f>
        <v>0</v>
      </c>
      <c r="K96" s="146">
        <f>(AND(K$8&gt;=YEAR(PhaseIIPreconBegin),K$8&lt;=YEAR(PhaseIIConEnd)))*SUM($D95:$N95)*'Assumptions-Overall'!$H$43/(YEAR(PhaseIIConEnd)-YEAR(PhaseIIPreconBegin)+1)</f>
        <v>0</v>
      </c>
      <c r="L96" s="146">
        <f>(AND(L$8&gt;=YEAR(PhaseIIPreconBegin),L$8&lt;=YEAR(PhaseIIConEnd)))*SUM($D95:$N95)*'Assumptions-Overall'!$H$43/(YEAR(PhaseIIConEnd)-YEAR(PhaseIIPreconBegin)+1)</f>
        <v>0</v>
      </c>
      <c r="M96" s="146">
        <f>(AND(M$8&gt;=YEAR(PhaseIIPreconBegin),M$8&lt;=YEAR(PhaseIIConEnd)))*SUM($D95:$N95)*'Assumptions-Overall'!$H$43/(YEAR(PhaseIIConEnd)-YEAR(PhaseIIPreconBegin)+1)</f>
        <v>0</v>
      </c>
      <c r="N96" s="151"/>
    </row>
    <row r="97" spans="2:14" x14ac:dyDescent="0.65">
      <c r="B97" s="3" t="s">
        <v>115</v>
      </c>
      <c r="C97" s="8"/>
      <c r="D97" s="146">
        <f>(AND(D$8&gt;=YEAR(PhaseIIPreconBegin),D$8&lt;=YEAR(PhaseIIConEnd)))*SUM($D95:$N95)*'Assumptions-Overall'!$H$44/(YEAR(PhaseIIConEnd)-YEAR(PhaseIIPreconBegin)+1)</f>
        <v>0</v>
      </c>
      <c r="E97" s="146">
        <f>(AND(E$8&gt;=YEAR(PhaseIIPreconBegin),E$8&lt;=YEAR(PhaseIIConEnd)))*SUM($D95:$N95)*'Assumptions-Overall'!$H$44/(YEAR(PhaseIIConEnd)-YEAR(PhaseIIPreconBegin)+1)</f>
        <v>-1960802.3654928331</v>
      </c>
      <c r="F97" s="146">
        <f>(AND(F$8&gt;=YEAR(PhaseIIPreconBegin),F$8&lt;=YEAR(PhaseIIConEnd)))*SUM($D95:$N95)*'Assumptions-Overall'!$H$44/(YEAR(PhaseIIConEnd)-YEAR(PhaseIIPreconBegin)+1)</f>
        <v>-1960802.3654928331</v>
      </c>
      <c r="G97" s="146">
        <f>(AND(G$8&gt;=YEAR(PhaseIIPreconBegin),G$8&lt;=YEAR(PhaseIIConEnd)))*SUM($D95:$N95)*'Assumptions-Overall'!$H$44/(YEAR(PhaseIIConEnd)-YEAR(PhaseIIPreconBegin)+1)</f>
        <v>-1960802.3654928331</v>
      </c>
      <c r="H97" s="146">
        <f>(AND(H$8&gt;=YEAR(PhaseIIPreconBegin),H$8&lt;=YEAR(PhaseIIConEnd)))*SUM($D95:$N95)*'Assumptions-Overall'!$H$44/(YEAR(PhaseIIConEnd)-YEAR(PhaseIIPreconBegin)+1)</f>
        <v>0</v>
      </c>
      <c r="I97" s="146">
        <f>(AND(I$8&gt;=YEAR(PhaseIIPreconBegin),I$8&lt;=YEAR(PhaseIIConEnd)))*SUM($D95:$N95)*'Assumptions-Overall'!$H$44/(YEAR(PhaseIIConEnd)-YEAR(PhaseIIPreconBegin)+1)</f>
        <v>0</v>
      </c>
      <c r="J97" s="146">
        <f>(AND(J$8&gt;=YEAR(PhaseIIPreconBegin),J$8&lt;=YEAR(PhaseIIConEnd)))*SUM($D95:$N95)*'Assumptions-Overall'!$H$44/(YEAR(PhaseIIConEnd)-YEAR(PhaseIIPreconBegin)+1)</f>
        <v>0</v>
      </c>
      <c r="K97" s="146">
        <f>(AND(K$8&gt;=YEAR(PhaseIIPreconBegin),K$8&lt;=YEAR(PhaseIIConEnd)))*SUM($D95:$N95)*'Assumptions-Overall'!$H$44/(YEAR(PhaseIIConEnd)-YEAR(PhaseIIPreconBegin)+1)</f>
        <v>0</v>
      </c>
      <c r="L97" s="146">
        <f>(AND(L$8&gt;=YEAR(PhaseIIPreconBegin),L$8&lt;=YEAR(PhaseIIConEnd)))*SUM($D95:$N95)*'Assumptions-Overall'!$H$44/(YEAR(PhaseIIConEnd)-YEAR(PhaseIIPreconBegin)+1)</f>
        <v>0</v>
      </c>
      <c r="M97" s="146">
        <f>(AND(M$8&gt;=YEAR(PhaseIIPreconBegin),M$8&lt;=YEAR(PhaseIIConEnd)))*SUM($D95:$N95)*'Assumptions-Overall'!$H$44/(YEAR(PhaseIIConEnd)-YEAR(PhaseIIPreconBegin)+1)</f>
        <v>0</v>
      </c>
      <c r="N97" s="151"/>
    </row>
    <row r="98" spans="2:14" x14ac:dyDescent="0.65">
      <c r="B98" s="3" t="s">
        <v>116</v>
      </c>
      <c r="C98" s="8"/>
      <c r="D98" s="144">
        <f>SUM(D95:D97)*'Assumptions-Overall'!$H$45</f>
        <v>0</v>
      </c>
      <c r="E98" s="144">
        <f>SUM(E95:E97)*'Assumptions-Overall'!$H$45</f>
        <v>-156864.18923942666</v>
      </c>
      <c r="F98" s="144">
        <f>SUM(F95:F97)*'Assumptions-Overall'!$H$45</f>
        <v>-1605732.9322144266</v>
      </c>
      <c r="G98" s="144">
        <f>SUM(G95:G97)*'Assumptions-Overall'!$H$45</f>
        <v>-1649198.9945036767</v>
      </c>
      <c r="H98" s="144">
        <f>SUM(H95:H97)*'Assumptions-Overall'!$H$45</f>
        <v>0</v>
      </c>
      <c r="I98" s="144">
        <f>SUM(I95:I97)*'Assumptions-Overall'!$H$45</f>
        <v>0</v>
      </c>
      <c r="J98" s="144">
        <f>SUM(J95:J97)*'Assumptions-Overall'!$H$45</f>
        <v>0</v>
      </c>
      <c r="K98" s="144">
        <f>SUM(K95:K97)*'Assumptions-Overall'!$H$45</f>
        <v>0</v>
      </c>
      <c r="L98" s="144">
        <f>SUM(L95:L97)*'Assumptions-Overall'!$H$45</f>
        <v>0</v>
      </c>
      <c r="M98" s="144">
        <f>SUM(M95:M97)*'Assumptions-Overall'!$H$45</f>
        <v>0</v>
      </c>
      <c r="N98" s="151"/>
    </row>
    <row r="99" spans="2:14" x14ac:dyDescent="0.65">
      <c r="B99" s="3" t="s">
        <v>212</v>
      </c>
      <c r="C99" s="8"/>
      <c r="D99" s="146">
        <f>SUM(D95:D98)</f>
        <v>0</v>
      </c>
      <c r="E99" s="146">
        <f t="shared" ref="E99" si="28">SUM(E95:E98)</f>
        <v>-3294147.9740279596</v>
      </c>
      <c r="F99" s="146">
        <f t="shared" ref="F99" si="29">SUM(F95:F98)</f>
        <v>-33720391.576502956</v>
      </c>
      <c r="G99" s="146">
        <f t="shared" ref="G99" si="30">SUM(G95:G98)</f>
        <v>-34633178.884577207</v>
      </c>
      <c r="H99" s="146">
        <f t="shared" ref="H99" si="31">SUM(H95:H98)</f>
        <v>0</v>
      </c>
      <c r="I99" s="146">
        <f t="shared" ref="I99" si="32">SUM(I95:I98)</f>
        <v>0</v>
      </c>
      <c r="J99" s="146">
        <f t="shared" ref="J99" si="33">SUM(J95:J98)</f>
        <v>0</v>
      </c>
      <c r="K99" s="146">
        <f t="shared" ref="K99" si="34">SUM(K95:K98)</f>
        <v>0</v>
      </c>
      <c r="L99" s="146">
        <f t="shared" ref="L99" si="35">SUM(L95:L98)</f>
        <v>0</v>
      </c>
      <c r="M99" s="146">
        <f t="shared" ref="M99" si="36">SUM(M95:M98)</f>
        <v>0</v>
      </c>
      <c r="N99" s="151"/>
    </row>
    <row r="100" spans="2:14" x14ac:dyDescent="0.65">
      <c r="B100" s="3"/>
      <c r="C100" s="8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51"/>
    </row>
    <row r="101" spans="2:14" x14ac:dyDescent="0.65">
      <c r="B101" s="36" t="s">
        <v>213</v>
      </c>
      <c r="C101" s="8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51"/>
    </row>
    <row r="102" spans="2:14" x14ac:dyDescent="0.65">
      <c r="B102" s="3" t="s">
        <v>215</v>
      </c>
      <c r="C102" s="8"/>
      <c r="D102" s="146">
        <f>(D$8=YEAR('Assumptions-Overall'!$C$30))*E88/'Assumptions-Overall'!$V$18</f>
        <v>0</v>
      </c>
      <c r="E102" s="146">
        <f>(E$8=YEAR('Assumptions-Overall'!$C$30))*F88/'Assumptions-Overall'!$V$18</f>
        <v>0</v>
      </c>
      <c r="F102" s="146">
        <f>(F$8=YEAR('Assumptions-Overall'!$C$30))*G88/'Assumptions-Overall'!$V$18</f>
        <v>0</v>
      </c>
      <c r="G102" s="146">
        <f>(G$8=YEAR('Assumptions-Overall'!$C$30))*H88/'Assumptions-Overall'!$V$18</f>
        <v>0</v>
      </c>
      <c r="H102" s="146">
        <f>(H$8=YEAR('Assumptions-Overall'!$C$30))*I88/'Assumptions-Overall'!$V$18</f>
        <v>0</v>
      </c>
      <c r="I102" s="146">
        <f>(I$8=YEAR('Assumptions-Overall'!$C$30))*J88/'Assumptions-Overall'!$V$18</f>
        <v>0</v>
      </c>
      <c r="J102" s="146">
        <f>(J$8=YEAR('Assumptions-Overall'!$C$30))*K88/'Assumptions-Overall'!$V$18</f>
        <v>0</v>
      </c>
      <c r="K102" s="146">
        <f>(K$8=YEAR('Assumptions-Overall'!$C$30))*L88/'Assumptions-Overall'!$V$18</f>
        <v>0</v>
      </c>
      <c r="L102" s="146">
        <f>(L$8=YEAR('Assumptions-Overall'!$C$30))*M88/'Assumptions-Overall'!$V$18</f>
        <v>0</v>
      </c>
      <c r="M102" s="146">
        <f>(M$8=YEAR('Assumptions-Overall'!$C$30))*N88/'Assumptions-Overall'!$V$18</f>
        <v>68490099.125351682</v>
      </c>
      <c r="N102" s="151"/>
    </row>
    <row r="103" spans="2:14" x14ac:dyDescent="0.65">
      <c r="B103" s="3" t="s">
        <v>216</v>
      </c>
      <c r="C103" s="8"/>
      <c r="D103" s="144">
        <f>-D102*'Assumptions-Overall'!$R$27</f>
        <v>0</v>
      </c>
      <c r="E103" s="144">
        <f>-E102*'Assumptions-Overall'!$R$27</f>
        <v>0</v>
      </c>
      <c r="F103" s="144">
        <f>-F102*'Assumptions-Overall'!$R$27</f>
        <v>0</v>
      </c>
      <c r="G103" s="144">
        <f>-G102*'Assumptions-Overall'!$R$27</f>
        <v>0</v>
      </c>
      <c r="H103" s="144">
        <f>-H102*'Assumptions-Overall'!$R$27</f>
        <v>0</v>
      </c>
      <c r="I103" s="144">
        <f>-I102*'Assumptions-Overall'!$R$27</f>
        <v>0</v>
      </c>
      <c r="J103" s="144">
        <f>-J102*'Assumptions-Overall'!$R$27</f>
        <v>0</v>
      </c>
      <c r="K103" s="144">
        <f>-K102*'Assumptions-Overall'!$R$27</f>
        <v>0</v>
      </c>
      <c r="L103" s="144">
        <f>-L102*'Assumptions-Overall'!$R$27</f>
        <v>0</v>
      </c>
      <c r="M103" s="144">
        <f>-M102*'Assumptions-Overall'!$R$27</f>
        <v>-1369801.9825070337</v>
      </c>
      <c r="N103" s="151"/>
    </row>
    <row r="104" spans="2:14" x14ac:dyDescent="0.65">
      <c r="B104" s="3" t="s">
        <v>217</v>
      </c>
      <c r="C104" s="8"/>
      <c r="D104" s="146">
        <f>SUM(D102:D103)</f>
        <v>0</v>
      </c>
      <c r="E104" s="146">
        <f t="shared" ref="E104" si="37">SUM(E102:E103)</f>
        <v>0</v>
      </c>
      <c r="F104" s="146">
        <f t="shared" ref="F104" si="38">SUM(F102:F103)</f>
        <v>0</v>
      </c>
      <c r="G104" s="146">
        <f t="shared" ref="G104" si="39">SUM(G102:G103)</f>
        <v>0</v>
      </c>
      <c r="H104" s="146">
        <f t="shared" ref="H104" si="40">SUM(H102:H103)</f>
        <v>0</v>
      </c>
      <c r="I104" s="146">
        <f t="shared" ref="I104" si="41">SUM(I102:I103)</f>
        <v>0</v>
      </c>
      <c r="J104" s="146">
        <f t="shared" ref="J104" si="42">SUM(J102:J103)</f>
        <v>0</v>
      </c>
      <c r="K104" s="146">
        <f t="shared" ref="K104" si="43">SUM(K102:K103)</f>
        <v>0</v>
      </c>
      <c r="L104" s="146">
        <f t="shared" ref="L104" si="44">SUM(L102:L103)</f>
        <v>0</v>
      </c>
      <c r="M104" s="146">
        <f t="shared" ref="M104" si="45">SUM(M102:M103)</f>
        <v>67120297.142844647</v>
      </c>
      <c r="N104" s="151"/>
    </row>
    <row r="105" spans="2:14" x14ac:dyDescent="0.65">
      <c r="B105" s="3"/>
      <c r="C105" s="8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51"/>
    </row>
    <row r="106" spans="2:14" x14ac:dyDescent="0.65">
      <c r="B106" s="3" t="s">
        <v>214</v>
      </c>
      <c r="C106" s="8"/>
      <c r="D106" s="146">
        <f t="shared" ref="D106:M106" si="46">D92+D99+D104</f>
        <v>0</v>
      </c>
      <c r="E106" s="146">
        <f t="shared" si="46"/>
        <v>-3294147.9740279596</v>
      </c>
      <c r="F106" s="146">
        <f t="shared" si="46"/>
        <v>-33720391.576502956</v>
      </c>
      <c r="G106" s="146">
        <f t="shared" si="46"/>
        <v>-31632375.924802609</v>
      </c>
      <c r="H106" s="146">
        <f t="shared" si="46"/>
        <v>5583429.5070902873</v>
      </c>
      <c r="I106" s="146">
        <f t="shared" si="46"/>
        <v>5750932.3923029965</v>
      </c>
      <c r="J106" s="146">
        <f t="shared" si="46"/>
        <v>5923460.3640720854</v>
      </c>
      <c r="K106" s="146">
        <f t="shared" si="46"/>
        <v>6101164.1749942489</v>
      </c>
      <c r="L106" s="146">
        <f t="shared" si="46"/>
        <v>6284199.100244076</v>
      </c>
      <c r="M106" s="146">
        <f t="shared" si="46"/>
        <v>73593022.216096044</v>
      </c>
      <c r="N106" s="151"/>
    </row>
    <row r="107" spans="2:14" x14ac:dyDescent="0.65">
      <c r="B107" s="3" t="s">
        <v>218</v>
      </c>
      <c r="C107" s="158">
        <f>IFERROR(IRR(D106:M106),"n/a")</f>
        <v>7.4680743670175742E-2</v>
      </c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51"/>
    </row>
    <row r="108" spans="2:14" ht="13" thickBot="1" x14ac:dyDescent="0.8">
      <c r="B108" s="5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1"/>
    </row>
    <row r="109" spans="2:14" x14ac:dyDescent="0.65">
      <c r="B109" s="154"/>
      <c r="C109" s="155"/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6"/>
    </row>
    <row r="110" spans="2:14" x14ac:dyDescent="0.65">
      <c r="B110" s="147" t="s">
        <v>198</v>
      </c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9"/>
    </row>
    <row r="111" spans="2:14" x14ac:dyDescent="0.65">
      <c r="B111" s="3" t="s">
        <v>194</v>
      </c>
      <c r="C111" s="8"/>
      <c r="D111" s="148">
        <f t="shared" ref="D111:N111" si="47">SUM(D115:D116)</f>
        <v>0</v>
      </c>
      <c r="E111" s="148">
        <f t="shared" si="47"/>
        <v>0</v>
      </c>
      <c r="F111" s="148">
        <f t="shared" si="47"/>
        <v>0</v>
      </c>
      <c r="G111" s="148">
        <f t="shared" si="47"/>
        <v>0</v>
      </c>
      <c r="H111" s="148">
        <f t="shared" si="47"/>
        <v>0</v>
      </c>
      <c r="I111" s="148">
        <f t="shared" si="47"/>
        <v>0</v>
      </c>
      <c r="J111" s="148">
        <f t="shared" si="47"/>
        <v>0</v>
      </c>
      <c r="K111" s="148">
        <f t="shared" si="47"/>
        <v>0</v>
      </c>
      <c r="L111" s="148">
        <f t="shared" si="47"/>
        <v>0</v>
      </c>
      <c r="M111" s="148">
        <f t="shared" si="47"/>
        <v>170000</v>
      </c>
      <c r="N111" s="149">
        <f t="shared" si="47"/>
        <v>170000</v>
      </c>
    </row>
    <row r="112" spans="2:14" x14ac:dyDescent="0.65">
      <c r="B112" s="3" t="s">
        <v>195</v>
      </c>
      <c r="C112" s="8"/>
      <c r="D112" s="148">
        <f>D111-C111</f>
        <v>0</v>
      </c>
      <c r="E112" s="148">
        <f t="shared" ref="E112" si="48">E111-D111</f>
        <v>0</v>
      </c>
      <c r="F112" s="148">
        <f t="shared" ref="F112" si="49">F111-E111</f>
        <v>0</v>
      </c>
      <c r="G112" s="148">
        <f t="shared" ref="G112" si="50">G111-F111</f>
        <v>0</v>
      </c>
      <c r="H112" s="148">
        <f t="shared" ref="H112" si="51">H111-G111</f>
        <v>0</v>
      </c>
      <c r="I112" s="148">
        <f t="shared" ref="I112" si="52">I111-H111</f>
        <v>0</v>
      </c>
      <c r="J112" s="148">
        <f t="shared" ref="J112" si="53">J111-I111</f>
        <v>0</v>
      </c>
      <c r="K112" s="148">
        <f t="shared" ref="K112" si="54">K111-J111</f>
        <v>0</v>
      </c>
      <c r="L112" s="148">
        <f t="shared" ref="L112" si="55">L111-K111</f>
        <v>0</v>
      </c>
      <c r="M112" s="148">
        <f t="shared" ref="M112" si="56">M111-L111</f>
        <v>170000</v>
      </c>
      <c r="N112" s="149">
        <f t="shared" ref="N112" si="57">N111-M111</f>
        <v>0</v>
      </c>
    </row>
    <row r="113" spans="2:14" x14ac:dyDescent="0.65">
      <c r="B113" s="3"/>
      <c r="C113" s="8"/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9"/>
    </row>
    <row r="114" spans="2:14" x14ac:dyDescent="0.65">
      <c r="B114" s="36" t="s">
        <v>227</v>
      </c>
      <c r="C114" s="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9"/>
    </row>
    <row r="115" spans="2:14" x14ac:dyDescent="0.65">
      <c r="B115" s="3" t="str">
        <f>B70</f>
        <v>Market Rate Office Space</v>
      </c>
      <c r="C115" s="8"/>
      <c r="D115" s="148">
        <f>(D$8&gt;=YEAR(PhaseIIIComplete))*'Assumptions-Office'!$F9</f>
        <v>0</v>
      </c>
      <c r="E115" s="148">
        <f>(E$8&gt;=YEAR(PhaseIIIComplete))*'Assumptions-Office'!$F9</f>
        <v>0</v>
      </c>
      <c r="F115" s="148">
        <f>(F$8&gt;=YEAR(PhaseIIIComplete))*'Assumptions-Office'!$F9</f>
        <v>0</v>
      </c>
      <c r="G115" s="148">
        <f>(G$8&gt;=YEAR(PhaseIIIComplete))*'Assumptions-Office'!$F9</f>
        <v>0</v>
      </c>
      <c r="H115" s="148">
        <f>(H$8&gt;=YEAR(PhaseIIIComplete))*'Assumptions-Office'!$F9</f>
        <v>0</v>
      </c>
      <c r="I115" s="148">
        <f>(I$8&gt;=YEAR(PhaseIIIComplete))*'Assumptions-Office'!$F9</f>
        <v>0</v>
      </c>
      <c r="J115" s="148">
        <f>(J$8&gt;=YEAR(PhaseIIIComplete))*'Assumptions-Office'!$F9</f>
        <v>0</v>
      </c>
      <c r="K115" s="148">
        <f>(K$8&gt;=YEAR(PhaseIIIComplete))*'Assumptions-Office'!$F9</f>
        <v>0</v>
      </c>
      <c r="L115" s="148">
        <f>(L$8&gt;=YEAR(PhaseIIIComplete))*'Assumptions-Office'!$F9</f>
        <v>0</v>
      </c>
      <c r="M115" s="148">
        <f>(M$8&gt;=YEAR(PhaseIIIComplete))*'Assumptions-Office'!$F9</f>
        <v>170000</v>
      </c>
      <c r="N115" s="149">
        <f>(N$8&gt;=YEAR(PhaseIIIComplete))*'Assumptions-Office'!$F9</f>
        <v>170000</v>
      </c>
    </row>
    <row r="116" spans="2:14" x14ac:dyDescent="0.65">
      <c r="B116" s="3" t="str">
        <f>B71</f>
        <v>Affordable Office Space</v>
      </c>
      <c r="C116" s="8"/>
      <c r="D116" s="148">
        <f>(D$8&gt;=YEAR(PhaseIIIComplete))*'Assumptions-Office'!$F10</f>
        <v>0</v>
      </c>
      <c r="E116" s="148">
        <f>(E$8&gt;=YEAR(PhaseIIIComplete))*'Assumptions-Office'!$F10</f>
        <v>0</v>
      </c>
      <c r="F116" s="148">
        <f>(F$8&gt;=YEAR(PhaseIIIComplete))*'Assumptions-Office'!$F10</f>
        <v>0</v>
      </c>
      <c r="G116" s="148">
        <f>(G$8&gt;=YEAR(PhaseIIIComplete))*'Assumptions-Office'!$F10</f>
        <v>0</v>
      </c>
      <c r="H116" s="148">
        <f>(H$8&gt;=YEAR(PhaseIIIComplete))*'Assumptions-Office'!$F10</f>
        <v>0</v>
      </c>
      <c r="I116" s="148">
        <f>(I$8&gt;=YEAR(PhaseIIIComplete))*'Assumptions-Office'!$F10</f>
        <v>0</v>
      </c>
      <c r="J116" s="148">
        <f>(J$8&gt;=YEAR(PhaseIIIComplete))*'Assumptions-Office'!$F10</f>
        <v>0</v>
      </c>
      <c r="K116" s="148">
        <f>(K$8&gt;=YEAR(PhaseIIIComplete))*'Assumptions-Office'!$F10</f>
        <v>0</v>
      </c>
      <c r="L116" s="148">
        <f>(L$8&gt;=YEAR(PhaseIIIComplete))*'Assumptions-Office'!$F10</f>
        <v>0</v>
      </c>
      <c r="M116" s="148">
        <f>(M$8&gt;=YEAR(PhaseIIIComplete))*'Assumptions-Office'!$F10</f>
        <v>0</v>
      </c>
      <c r="N116" s="149">
        <f>(N$8&gt;=YEAR(PhaseIIIComplete))*'Assumptions-Office'!$F10</f>
        <v>0</v>
      </c>
    </row>
    <row r="117" spans="2:14" x14ac:dyDescent="0.65">
      <c r="B117" s="3"/>
      <c r="C117" s="8"/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9"/>
    </row>
    <row r="118" spans="2:14" x14ac:dyDescent="0.65">
      <c r="B118" s="36" t="s">
        <v>206</v>
      </c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9"/>
    </row>
    <row r="119" spans="2:14" x14ac:dyDescent="0.65">
      <c r="B119" s="3" t="s">
        <v>229</v>
      </c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9"/>
    </row>
    <row r="120" spans="2:14" x14ac:dyDescent="0.65">
      <c r="B120" s="150" t="str">
        <f>B115</f>
        <v>Market Rate Office Space</v>
      </c>
      <c r="C120" s="8"/>
      <c r="D120" s="146">
        <f>D115*'Assumptions-Office'!$L9*(1+'Assumptions-Overall'!$C$35)^('CashFlow-Office'!D$7-1)</f>
        <v>0</v>
      </c>
      <c r="E120" s="146">
        <f>E115*'Assumptions-Office'!$L9*(1+'Assumptions-Overall'!$C$35)^('CashFlow-Office'!E$7-1)</f>
        <v>0</v>
      </c>
      <c r="F120" s="146">
        <f>F115*'Assumptions-Office'!$L9*(1+'Assumptions-Overall'!$C$35)^('CashFlow-Office'!F$7-1)</f>
        <v>0</v>
      </c>
      <c r="G120" s="146">
        <f>G115*'Assumptions-Office'!$L9*(1+'Assumptions-Overall'!$C$35)^('CashFlow-Office'!G$7-1)</f>
        <v>0</v>
      </c>
      <c r="H120" s="146">
        <f>H115*'Assumptions-Office'!$L9*(1+'Assumptions-Overall'!$C$35)^('CashFlow-Office'!H$7-1)</f>
        <v>0</v>
      </c>
      <c r="I120" s="146">
        <f>I115*'Assumptions-Office'!$L9*(1+'Assumptions-Overall'!$C$35)^('CashFlow-Office'!I$7-1)</f>
        <v>0</v>
      </c>
      <c r="J120" s="146">
        <f>J115*'Assumptions-Office'!$L9*(1+'Assumptions-Overall'!$C$35)^('CashFlow-Office'!J$7-1)</f>
        <v>0</v>
      </c>
      <c r="K120" s="146">
        <f>K115*'Assumptions-Office'!$L9*(1+'Assumptions-Overall'!$C$35)^('CashFlow-Office'!K$7-1)</f>
        <v>0</v>
      </c>
      <c r="L120" s="146">
        <f>L115*'Assumptions-Office'!$L9*(1+'Assumptions-Overall'!$C$35)^('CashFlow-Office'!L$7-1)</f>
        <v>0</v>
      </c>
      <c r="M120" s="146">
        <f>M115*'Assumptions-Office'!$L9*(1+'Assumptions-Overall'!$C$35)^('CashFlow-Office'!M$7-1)</f>
        <v>6654343.2375291465</v>
      </c>
      <c r="N120" s="151">
        <f>N115*'Assumptions-Office'!$L9*(1+'Assumptions-Overall'!$C$35)^('CashFlow-Office'!N$7-1)</f>
        <v>6853973.5346550215</v>
      </c>
    </row>
    <row r="121" spans="2:14" x14ac:dyDescent="0.65">
      <c r="B121" s="150" t="str">
        <f>B116</f>
        <v>Affordable Office Space</v>
      </c>
      <c r="C121" s="8"/>
      <c r="D121" s="144">
        <f>D116*'Assumptions-Office'!$L10*(1+'Assumptions-Overall'!$C$35)^('CashFlow-Office'!D$7-1)</f>
        <v>0</v>
      </c>
      <c r="E121" s="144">
        <f>E116*'Assumptions-Office'!$L10*(1+'Assumptions-Overall'!$C$35)^('CashFlow-Office'!E$7-1)</f>
        <v>0</v>
      </c>
      <c r="F121" s="144">
        <f>F116*'Assumptions-Office'!$L10*(1+'Assumptions-Overall'!$C$35)^('CashFlow-Office'!F$7-1)</f>
        <v>0</v>
      </c>
      <c r="G121" s="144">
        <f>G116*'Assumptions-Office'!$L10*(1+'Assumptions-Overall'!$C$35)^('CashFlow-Office'!G$7-1)</f>
        <v>0</v>
      </c>
      <c r="H121" s="144">
        <f>H116*'Assumptions-Office'!$L10*(1+'Assumptions-Overall'!$C$35)^('CashFlow-Office'!H$7-1)</f>
        <v>0</v>
      </c>
      <c r="I121" s="144">
        <f>I116*'Assumptions-Office'!$L10*(1+'Assumptions-Overall'!$C$35)^('CashFlow-Office'!I$7-1)</f>
        <v>0</v>
      </c>
      <c r="J121" s="144">
        <f>J116*'Assumptions-Office'!$L10*(1+'Assumptions-Overall'!$C$35)^('CashFlow-Office'!J$7-1)</f>
        <v>0</v>
      </c>
      <c r="K121" s="144">
        <f>K116*'Assumptions-Office'!$L10*(1+'Assumptions-Overall'!$C$35)^('CashFlow-Office'!K$7-1)</f>
        <v>0</v>
      </c>
      <c r="L121" s="144">
        <f>L116*'Assumptions-Office'!$L10*(1+'Assumptions-Overall'!$C$35)^('CashFlow-Office'!L$7-1)</f>
        <v>0</v>
      </c>
      <c r="M121" s="144">
        <f>M116*'Assumptions-Office'!$L10*(1+'Assumptions-Overall'!$C$35)^('CashFlow-Office'!M$7-1)</f>
        <v>0</v>
      </c>
      <c r="N121" s="152">
        <f>N116*'Assumptions-Office'!$L10*(1+'Assumptions-Overall'!$C$35)^('CashFlow-Office'!N$7-1)</f>
        <v>0</v>
      </c>
    </row>
    <row r="122" spans="2:14" x14ac:dyDescent="0.65">
      <c r="B122" s="3" t="s">
        <v>230</v>
      </c>
      <c r="C122" s="8"/>
      <c r="D122" s="146">
        <f t="shared" ref="D122:N122" si="58">SUM(D120:D121)</f>
        <v>0</v>
      </c>
      <c r="E122" s="146">
        <f t="shared" si="58"/>
        <v>0</v>
      </c>
      <c r="F122" s="146">
        <f t="shared" si="58"/>
        <v>0</v>
      </c>
      <c r="G122" s="146">
        <f t="shared" si="58"/>
        <v>0</v>
      </c>
      <c r="H122" s="146">
        <f t="shared" si="58"/>
        <v>0</v>
      </c>
      <c r="I122" s="146">
        <f t="shared" si="58"/>
        <v>0</v>
      </c>
      <c r="J122" s="146">
        <f t="shared" si="58"/>
        <v>0</v>
      </c>
      <c r="K122" s="146">
        <f t="shared" si="58"/>
        <v>0</v>
      </c>
      <c r="L122" s="146">
        <f t="shared" si="58"/>
        <v>0</v>
      </c>
      <c r="M122" s="146">
        <f t="shared" si="58"/>
        <v>6654343.2375291465</v>
      </c>
      <c r="N122" s="151">
        <f t="shared" si="58"/>
        <v>6853973.5346550215</v>
      </c>
    </row>
    <row r="123" spans="2:14" x14ac:dyDescent="0.65">
      <c r="B123" s="3"/>
      <c r="C123" s="8"/>
      <c r="D123" s="146"/>
      <c r="E123" s="146"/>
      <c r="F123" s="146"/>
      <c r="G123" s="146"/>
      <c r="H123" s="146"/>
      <c r="I123" s="146"/>
      <c r="J123" s="146"/>
      <c r="K123" s="146"/>
      <c r="L123" s="146"/>
      <c r="M123" s="146"/>
      <c r="N123" s="151"/>
    </row>
    <row r="124" spans="2:14" x14ac:dyDescent="0.65">
      <c r="B124" s="3" t="s">
        <v>231</v>
      </c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9"/>
    </row>
    <row r="125" spans="2:14" x14ac:dyDescent="0.65">
      <c r="B125" s="150" t="str">
        <f>B120</f>
        <v>Market Rate Office Space</v>
      </c>
      <c r="C125" s="8"/>
      <c r="D125" s="146">
        <f>D115*'Assumptions-Office'!$N9*(1+'Assumptions-Overall'!$C$35)^('CashFlow-Office'!D$7-1)</f>
        <v>0</v>
      </c>
      <c r="E125" s="146">
        <f>E115*'Assumptions-Office'!$N9*(1+'Assumptions-Overall'!$C$35)^('CashFlow-Office'!E$7-1)</f>
        <v>0</v>
      </c>
      <c r="F125" s="146">
        <f>F115*'Assumptions-Office'!$N9*(1+'Assumptions-Overall'!$C$35)^('CashFlow-Office'!F$7-1)</f>
        <v>0</v>
      </c>
      <c r="G125" s="146">
        <f>G115*'Assumptions-Office'!$N9*(1+'Assumptions-Overall'!$C$35)^('CashFlow-Office'!G$7-1)</f>
        <v>0</v>
      </c>
      <c r="H125" s="146">
        <f>H115*'Assumptions-Office'!$N9*(1+'Assumptions-Overall'!$C$35)^('CashFlow-Office'!H$7-1)</f>
        <v>0</v>
      </c>
      <c r="I125" s="146">
        <f>I115*'Assumptions-Office'!$N9*(1+'Assumptions-Overall'!$C$35)^('CashFlow-Office'!I$7-1)</f>
        <v>0</v>
      </c>
      <c r="J125" s="146">
        <f>J115*'Assumptions-Office'!$N9*(1+'Assumptions-Overall'!$C$35)^('CashFlow-Office'!J$7-1)</f>
        <v>0</v>
      </c>
      <c r="K125" s="146">
        <f>K115*'Assumptions-Office'!$N9*(1+'Assumptions-Overall'!$C$35)^('CashFlow-Office'!K$7-1)</f>
        <v>0</v>
      </c>
      <c r="L125" s="146">
        <f>L115*'Assumptions-Office'!$N9*(1+'Assumptions-Overall'!$C$35)^('CashFlow-Office'!L$7-1)</f>
        <v>0</v>
      </c>
      <c r="M125" s="146">
        <f>M115*'Assumptions-Office'!$N9*(1+'Assumptions-Overall'!$C$35)^('CashFlow-Office'!M$7-1)</f>
        <v>0</v>
      </c>
      <c r="N125" s="151">
        <f>N115*'Assumptions-Office'!$N9*(1+'Assumptions-Overall'!$C$35)^('CashFlow-Office'!N$7-1)</f>
        <v>0</v>
      </c>
    </row>
    <row r="126" spans="2:14" x14ac:dyDescent="0.65">
      <c r="B126" s="150" t="str">
        <f>B121</f>
        <v>Affordable Office Space</v>
      </c>
      <c r="C126" s="8"/>
      <c r="D126" s="144">
        <f>D116*'Assumptions-Office'!$N10*(1+'Assumptions-Overall'!$C$35)^('CashFlow-Office'!D$7-1)</f>
        <v>0</v>
      </c>
      <c r="E126" s="144">
        <f>E116*'Assumptions-Office'!$N10*(1+'Assumptions-Overall'!$C$35)^('CashFlow-Office'!E$7-1)</f>
        <v>0</v>
      </c>
      <c r="F126" s="144">
        <f>F116*'Assumptions-Office'!$N10*(1+'Assumptions-Overall'!$C$35)^('CashFlow-Office'!F$7-1)</f>
        <v>0</v>
      </c>
      <c r="G126" s="144">
        <f>G116*'Assumptions-Office'!$N10*(1+'Assumptions-Overall'!$C$35)^('CashFlow-Office'!G$7-1)</f>
        <v>0</v>
      </c>
      <c r="H126" s="144">
        <f>H116*'Assumptions-Office'!$N10*(1+'Assumptions-Overall'!$C$35)^('CashFlow-Office'!H$7-1)</f>
        <v>0</v>
      </c>
      <c r="I126" s="144">
        <f>I116*'Assumptions-Office'!$N10*(1+'Assumptions-Overall'!$C$35)^('CashFlow-Office'!I$7-1)</f>
        <v>0</v>
      </c>
      <c r="J126" s="144">
        <f>J116*'Assumptions-Office'!$N10*(1+'Assumptions-Overall'!$C$35)^('CashFlow-Office'!J$7-1)</f>
        <v>0</v>
      </c>
      <c r="K126" s="144">
        <f>K116*'Assumptions-Office'!$N10*(1+'Assumptions-Overall'!$C$35)^('CashFlow-Office'!K$7-1)</f>
        <v>0</v>
      </c>
      <c r="L126" s="144">
        <f>L116*'Assumptions-Office'!$N10*(1+'Assumptions-Overall'!$C$35)^('CashFlow-Office'!L$7-1)</f>
        <v>0</v>
      </c>
      <c r="M126" s="144">
        <f>M116*'Assumptions-Office'!$N10*(1+'Assumptions-Overall'!$C$35)^('CashFlow-Office'!M$7-1)</f>
        <v>0</v>
      </c>
      <c r="N126" s="152">
        <f>N116*'Assumptions-Office'!$N10*(1+'Assumptions-Overall'!$C$35)^('CashFlow-Office'!N$7-1)</f>
        <v>0</v>
      </c>
    </row>
    <row r="127" spans="2:14" x14ac:dyDescent="0.65">
      <c r="B127" s="3" t="s">
        <v>232</v>
      </c>
      <c r="C127" s="8"/>
      <c r="D127" s="146">
        <f t="shared" ref="D127:N127" si="59">SUM(D125:D126)</f>
        <v>0</v>
      </c>
      <c r="E127" s="146">
        <f t="shared" si="59"/>
        <v>0</v>
      </c>
      <c r="F127" s="146">
        <f t="shared" si="59"/>
        <v>0</v>
      </c>
      <c r="G127" s="146">
        <f t="shared" si="59"/>
        <v>0</v>
      </c>
      <c r="H127" s="146">
        <f t="shared" si="59"/>
        <v>0</v>
      </c>
      <c r="I127" s="146">
        <f t="shared" si="59"/>
        <v>0</v>
      </c>
      <c r="J127" s="146">
        <f t="shared" si="59"/>
        <v>0</v>
      </c>
      <c r="K127" s="146">
        <f t="shared" si="59"/>
        <v>0</v>
      </c>
      <c r="L127" s="146">
        <f t="shared" si="59"/>
        <v>0</v>
      </c>
      <c r="M127" s="146">
        <f t="shared" si="59"/>
        <v>0</v>
      </c>
      <c r="N127" s="151">
        <f t="shared" si="59"/>
        <v>0</v>
      </c>
    </row>
    <row r="128" spans="2:14" x14ac:dyDescent="0.65">
      <c r="B128" s="3"/>
      <c r="C128" s="8"/>
      <c r="D128" s="146"/>
      <c r="E128" s="146"/>
      <c r="F128" s="146"/>
      <c r="G128" s="146"/>
      <c r="H128" s="146"/>
      <c r="I128" s="146"/>
      <c r="J128" s="146"/>
      <c r="K128" s="146"/>
      <c r="L128" s="146"/>
      <c r="M128" s="146"/>
      <c r="N128" s="151"/>
    </row>
    <row r="129" spans="2:14" x14ac:dyDescent="0.65">
      <c r="B129" s="3" t="s">
        <v>201</v>
      </c>
      <c r="C129" s="8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51"/>
    </row>
    <row r="130" spans="2:14" x14ac:dyDescent="0.65">
      <c r="B130" s="150" t="s">
        <v>228</v>
      </c>
      <c r="C130" s="8"/>
      <c r="D130" s="146">
        <f>-(D122+D127)*'Assumptions-Office'!$S$8</f>
        <v>0</v>
      </c>
      <c r="E130" s="146">
        <f>-(E122+E127)*'Assumptions-Office'!$S$8</f>
        <v>0</v>
      </c>
      <c r="F130" s="146">
        <f>-(F122+F127)*'Assumptions-Office'!$S$8</f>
        <v>0</v>
      </c>
      <c r="G130" s="146">
        <f>-(G122+G127)*'Assumptions-Office'!$S$8</f>
        <v>0</v>
      </c>
      <c r="H130" s="146">
        <f>-(H122+H127)*'Assumptions-Office'!$S$8</f>
        <v>0</v>
      </c>
      <c r="I130" s="146">
        <f>-(I122+I127)*'Assumptions-Office'!$S$8</f>
        <v>0</v>
      </c>
      <c r="J130" s="146">
        <f>-(J122+J127)*'Assumptions-Office'!$S$8</f>
        <v>0</v>
      </c>
      <c r="K130" s="146">
        <f>-(K122+K127)*'Assumptions-Office'!$S$8</f>
        <v>0</v>
      </c>
      <c r="L130" s="146">
        <f>-(L122+L127)*'Assumptions-Office'!$S$8</f>
        <v>0</v>
      </c>
      <c r="M130" s="146">
        <f>-(M122+M127)*'Assumptions-Office'!$S$8</f>
        <v>-332717.16187645734</v>
      </c>
      <c r="N130" s="151">
        <f>-(N122+N127)*'Assumptions-Office'!$S$8</f>
        <v>-342698.67673275108</v>
      </c>
    </row>
    <row r="131" spans="2:14" x14ac:dyDescent="0.65">
      <c r="B131" s="150" t="s">
        <v>203</v>
      </c>
      <c r="C131" s="8"/>
      <c r="D131" s="144">
        <f>-(C122=0)*((D122+D127)*'Assumptions-Office'!$S$9+SUM('CashFlow-Office'!D130))</f>
        <v>0</v>
      </c>
      <c r="E131" s="144">
        <f>-(D122=0)*((E122+E127)*'Assumptions-Office'!$S$9+SUM('CashFlow-Office'!E130))</f>
        <v>0</v>
      </c>
      <c r="F131" s="144">
        <f>-(E122=0)*((F122+F127)*'Assumptions-Office'!$S$9+SUM('CashFlow-Office'!F130))</f>
        <v>0</v>
      </c>
      <c r="G131" s="144">
        <f>-(F122=0)*((G122+G127)*'Assumptions-Office'!$S$9+SUM('CashFlow-Office'!G130))</f>
        <v>0</v>
      </c>
      <c r="H131" s="144">
        <f>-(G122=0)*((H122+H127)*'Assumptions-Office'!$S$9+SUM('CashFlow-Office'!H130))</f>
        <v>0</v>
      </c>
      <c r="I131" s="144">
        <f>-(H122=0)*((I122+I127)*'Assumptions-Office'!$S$9+SUM('CashFlow-Office'!I130))</f>
        <v>0</v>
      </c>
      <c r="J131" s="144">
        <f>-(I122=0)*((J122+J127)*'Assumptions-Office'!$S$9+SUM('CashFlow-Office'!J130))</f>
        <v>0</v>
      </c>
      <c r="K131" s="144">
        <f>-(J122=0)*((K122+K127)*'Assumptions-Office'!$S$9+SUM('CashFlow-Office'!K130))</f>
        <v>0</v>
      </c>
      <c r="L131" s="144">
        <f>-(K122=0)*((L122+L127)*'Assumptions-Office'!$S$9+SUM('CashFlow-Office'!L130))</f>
        <v>0</v>
      </c>
      <c r="M131" s="144">
        <f>-(L122=0)*((M122+M127)*'Assumptions-Office'!$S$9+SUM('CashFlow-Office'!M130))</f>
        <v>-1663585.8093822866</v>
      </c>
      <c r="N131" s="152">
        <f>-(M122=0)*((N122+N127)*'Assumptions-Office'!$S$9+SUM('CashFlow-Office'!N130))</f>
        <v>0</v>
      </c>
    </row>
    <row r="132" spans="2:14" x14ac:dyDescent="0.65">
      <c r="B132" s="3" t="s">
        <v>204</v>
      </c>
      <c r="C132" s="8"/>
      <c r="D132" s="146">
        <f t="shared" ref="D132:N132" si="60">SUM(D130:D131)</f>
        <v>0</v>
      </c>
      <c r="E132" s="146">
        <f t="shared" si="60"/>
        <v>0</v>
      </c>
      <c r="F132" s="146">
        <f t="shared" si="60"/>
        <v>0</v>
      </c>
      <c r="G132" s="146">
        <f t="shared" si="60"/>
        <v>0</v>
      </c>
      <c r="H132" s="146">
        <f t="shared" si="60"/>
        <v>0</v>
      </c>
      <c r="I132" s="146">
        <f t="shared" si="60"/>
        <v>0</v>
      </c>
      <c r="J132" s="146">
        <f t="shared" si="60"/>
        <v>0</v>
      </c>
      <c r="K132" s="146">
        <f t="shared" si="60"/>
        <v>0</v>
      </c>
      <c r="L132" s="146">
        <f t="shared" si="60"/>
        <v>0</v>
      </c>
      <c r="M132" s="146">
        <f t="shared" si="60"/>
        <v>-1996302.9712587439</v>
      </c>
      <c r="N132" s="151">
        <f t="shared" si="60"/>
        <v>-342698.67673275108</v>
      </c>
    </row>
    <row r="133" spans="2:14" x14ac:dyDescent="0.65">
      <c r="B133" s="3"/>
      <c r="C133" s="8"/>
      <c r="D133" s="146"/>
      <c r="E133" s="146"/>
      <c r="F133" s="146"/>
      <c r="G133" s="146"/>
      <c r="H133" s="128"/>
      <c r="I133" s="146"/>
      <c r="J133" s="146"/>
      <c r="K133" s="146"/>
      <c r="L133" s="146"/>
      <c r="M133" s="146"/>
      <c r="N133" s="151"/>
    </row>
    <row r="134" spans="2:14" x14ac:dyDescent="0.65">
      <c r="B134" s="3" t="s">
        <v>205</v>
      </c>
      <c r="C134" s="8"/>
      <c r="D134" s="145">
        <f t="shared" ref="D134:N134" si="61">D122+D127+D132</f>
        <v>0</v>
      </c>
      <c r="E134" s="145">
        <f t="shared" si="61"/>
        <v>0</v>
      </c>
      <c r="F134" s="145">
        <f t="shared" si="61"/>
        <v>0</v>
      </c>
      <c r="G134" s="145">
        <f t="shared" si="61"/>
        <v>0</v>
      </c>
      <c r="H134" s="145">
        <f t="shared" si="61"/>
        <v>0</v>
      </c>
      <c r="I134" s="145">
        <f t="shared" si="61"/>
        <v>0</v>
      </c>
      <c r="J134" s="145">
        <f t="shared" si="61"/>
        <v>0</v>
      </c>
      <c r="K134" s="145">
        <f t="shared" si="61"/>
        <v>0</v>
      </c>
      <c r="L134" s="145">
        <f t="shared" si="61"/>
        <v>0</v>
      </c>
      <c r="M134" s="145">
        <f t="shared" si="61"/>
        <v>4658040.2662704028</v>
      </c>
      <c r="N134" s="153">
        <f t="shared" si="61"/>
        <v>6511274.8579222709</v>
      </c>
    </row>
    <row r="135" spans="2:14" x14ac:dyDescent="0.65">
      <c r="B135" s="3"/>
      <c r="C135" s="8"/>
      <c r="D135" s="146"/>
      <c r="E135" s="146"/>
      <c r="F135" s="146"/>
      <c r="G135" s="146"/>
      <c r="H135" s="146"/>
      <c r="I135" s="146"/>
      <c r="J135" s="146"/>
      <c r="K135" s="146"/>
      <c r="L135" s="146"/>
      <c r="M135" s="146"/>
      <c r="N135" s="151"/>
    </row>
    <row r="136" spans="2:14" x14ac:dyDescent="0.65">
      <c r="B136" s="3" t="s">
        <v>207</v>
      </c>
      <c r="C136" s="8"/>
      <c r="D136" s="146">
        <f>-D111*'Assumptions-Office'!$S$12*(1+'Assumptions-Overall'!$C$39)^('CashFlow-Office'!D$7-1)</f>
        <v>0</v>
      </c>
      <c r="E136" s="146">
        <f>-E111*'Assumptions-Office'!$S$12*(1+'Assumptions-Overall'!$C$39)^('CashFlow-Office'!E$7-1)</f>
        <v>0</v>
      </c>
      <c r="F136" s="146">
        <f>-F111*'Assumptions-Office'!$S$12*(1+'Assumptions-Overall'!$C$39)^('CashFlow-Office'!F$7-1)</f>
        <v>0</v>
      </c>
      <c r="G136" s="146">
        <f>-G111*'Assumptions-Office'!$S$12*(1+'Assumptions-Overall'!$C$39)^('CashFlow-Office'!G$7-1)</f>
        <v>0</v>
      </c>
      <c r="H136" s="146">
        <f>-H111*'Assumptions-Office'!$S$12*(1+'Assumptions-Overall'!$C$39)^('CashFlow-Office'!H$7-1)</f>
        <v>0</v>
      </c>
      <c r="I136" s="146">
        <f>-I111*'Assumptions-Office'!$S$12*(1+'Assumptions-Overall'!$C$39)^('CashFlow-Office'!I$7-1)</f>
        <v>0</v>
      </c>
      <c r="J136" s="146">
        <f>-J111*'Assumptions-Office'!$S$12*(1+'Assumptions-Overall'!$C$39)^('CashFlow-Office'!J$7-1)</f>
        <v>0</v>
      </c>
      <c r="K136" s="146">
        <f>-K111*'Assumptions-Office'!$S$12*(1+'Assumptions-Overall'!$C$39)^('CashFlow-Office'!K$7-1)</f>
        <v>0</v>
      </c>
      <c r="L136" s="146">
        <f>-L111*'Assumptions-Office'!$S$12*(1+'Assumptions-Overall'!$C$39)^('CashFlow-Office'!L$7-1)</f>
        <v>0</v>
      </c>
      <c r="M136" s="146">
        <f>-M111*'Assumptions-Office'!$S$12*(1+'Assumptions-Overall'!$C$39)^('CashFlow-Office'!M$7-1)</f>
        <v>-2550831.5743861729</v>
      </c>
      <c r="N136" s="151">
        <f>-N111*'Assumptions-Office'!$S$12*(1+'Assumptions-Overall'!$C$39)^('CashFlow-Office'!N$7-1)</f>
        <v>-2627356.5216177581</v>
      </c>
    </row>
    <row r="137" spans="2:14" x14ac:dyDescent="0.65">
      <c r="B137" s="3"/>
      <c r="C137" s="8"/>
      <c r="D137" s="146"/>
      <c r="E137" s="146"/>
      <c r="F137" s="146"/>
      <c r="G137" s="146"/>
      <c r="H137" s="146"/>
      <c r="I137" s="146"/>
      <c r="J137" s="146"/>
      <c r="K137" s="146"/>
      <c r="L137" s="146"/>
      <c r="M137" s="146"/>
      <c r="N137" s="151"/>
    </row>
    <row r="138" spans="2:14" x14ac:dyDescent="0.65">
      <c r="B138" s="3" t="s">
        <v>209</v>
      </c>
      <c r="C138" s="8"/>
      <c r="D138" s="145">
        <f>SUM(D134:D136)</f>
        <v>0</v>
      </c>
      <c r="E138" s="145">
        <f t="shared" ref="E138:N138" si="62">SUM(E134:E136)</f>
        <v>0</v>
      </c>
      <c r="F138" s="145">
        <f t="shared" si="62"/>
        <v>0</v>
      </c>
      <c r="G138" s="145">
        <f t="shared" si="62"/>
        <v>0</v>
      </c>
      <c r="H138" s="145">
        <f t="shared" si="62"/>
        <v>0</v>
      </c>
      <c r="I138" s="145">
        <f t="shared" si="62"/>
        <v>0</v>
      </c>
      <c r="J138" s="145">
        <f t="shared" si="62"/>
        <v>0</v>
      </c>
      <c r="K138" s="145">
        <f t="shared" si="62"/>
        <v>0</v>
      </c>
      <c r="L138" s="145">
        <f t="shared" si="62"/>
        <v>0</v>
      </c>
      <c r="M138" s="145">
        <f t="shared" si="62"/>
        <v>2107208.6918842299</v>
      </c>
      <c r="N138" s="153">
        <f t="shared" si="62"/>
        <v>3883918.3363045128</v>
      </c>
    </row>
    <row r="139" spans="2:14" x14ac:dyDescent="0.65">
      <c r="B139" s="3"/>
      <c r="C139" s="8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59"/>
    </row>
    <row r="140" spans="2:14" x14ac:dyDescent="0.65">
      <c r="B140" s="3" t="s">
        <v>189</v>
      </c>
      <c r="C140" s="8"/>
      <c r="D140" s="146">
        <f>-D111*'Assumptions-Office'!$S$14*(1+'Assumptions-Overall'!$C$40)^('CashFlow-Office'!D$7-1)</f>
        <v>0</v>
      </c>
      <c r="E140" s="146">
        <f>-E111*'Assumptions-Office'!$S$14*(1+'Assumptions-Overall'!$C$40)^('CashFlow-Office'!E$7-1)</f>
        <v>0</v>
      </c>
      <c r="F140" s="146">
        <f>-F111*'Assumptions-Office'!$S$14*(1+'Assumptions-Overall'!$C$40)^('CashFlow-Office'!F$7-1)</f>
        <v>0</v>
      </c>
      <c r="G140" s="146">
        <f>-G111*'Assumptions-Office'!$S$14*(1+'Assumptions-Overall'!$C$40)^('CashFlow-Office'!G$7-1)</f>
        <v>0</v>
      </c>
      <c r="H140" s="146">
        <f>-H111*'Assumptions-Office'!$S$14*(1+'Assumptions-Overall'!$C$40)^('CashFlow-Office'!H$7-1)</f>
        <v>0</v>
      </c>
      <c r="I140" s="146">
        <f>-I111*'Assumptions-Office'!$S$14*(1+'Assumptions-Overall'!$C$40)^('CashFlow-Office'!I$7-1)</f>
        <v>0</v>
      </c>
      <c r="J140" s="146">
        <f>-J111*'Assumptions-Office'!$S$14*(1+'Assumptions-Overall'!$C$40)^('CashFlow-Office'!J$7-1)</f>
        <v>0</v>
      </c>
      <c r="K140" s="146">
        <f>-K111*'Assumptions-Office'!$S$14*(1+'Assumptions-Overall'!$C$40)^('CashFlow-Office'!K$7-1)</f>
        <v>0</v>
      </c>
      <c r="L140" s="146">
        <f>-L111*'Assumptions-Office'!$S$14*(1+'Assumptions-Overall'!$C$40)^('CashFlow-Office'!L$7-1)</f>
        <v>0</v>
      </c>
      <c r="M140" s="146">
        <f>-M111*'Assumptions-Office'!$S$14*(1+'Assumptions-Overall'!$C$40)^('CashFlow-Office'!M$7-1)</f>
        <v>-44362.28825019431</v>
      </c>
      <c r="N140" s="151"/>
    </row>
    <row r="141" spans="2:14" x14ac:dyDescent="0.65">
      <c r="B141" s="3"/>
      <c r="C141" s="8"/>
      <c r="D141" s="146"/>
      <c r="E141" s="146"/>
      <c r="F141" s="146"/>
      <c r="G141" s="146"/>
      <c r="H141" s="146"/>
      <c r="I141" s="146"/>
      <c r="J141" s="146"/>
      <c r="K141" s="146"/>
      <c r="L141" s="146"/>
      <c r="M141" s="146"/>
      <c r="N141" s="151"/>
    </row>
    <row r="142" spans="2:14" x14ac:dyDescent="0.65">
      <c r="B142" s="3" t="s">
        <v>208</v>
      </c>
      <c r="C142" s="8"/>
      <c r="D142" s="145">
        <f>SUM(D138:D140)</f>
        <v>0</v>
      </c>
      <c r="E142" s="145">
        <f t="shared" ref="E142:M142" si="63">SUM(E138:E140)</f>
        <v>0</v>
      </c>
      <c r="F142" s="145">
        <f t="shared" si="63"/>
        <v>0</v>
      </c>
      <c r="G142" s="145">
        <f t="shared" si="63"/>
        <v>0</v>
      </c>
      <c r="H142" s="145">
        <f t="shared" si="63"/>
        <v>0</v>
      </c>
      <c r="I142" s="145">
        <f t="shared" si="63"/>
        <v>0</v>
      </c>
      <c r="J142" s="145">
        <f t="shared" si="63"/>
        <v>0</v>
      </c>
      <c r="K142" s="145">
        <f t="shared" si="63"/>
        <v>0</v>
      </c>
      <c r="L142" s="145">
        <f t="shared" si="63"/>
        <v>0</v>
      </c>
      <c r="M142" s="145">
        <f t="shared" si="63"/>
        <v>2062846.4036340355</v>
      </c>
      <c r="N142" s="151"/>
    </row>
    <row r="143" spans="2:14" x14ac:dyDescent="0.65">
      <c r="B143" s="3"/>
      <c r="C143" s="8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51"/>
    </row>
    <row r="144" spans="2:14" x14ac:dyDescent="0.65">
      <c r="B144" s="36" t="s">
        <v>130</v>
      </c>
      <c r="C144" s="8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51"/>
    </row>
    <row r="145" spans="2:14" x14ac:dyDescent="0.65">
      <c r="B145" s="3" t="s">
        <v>210</v>
      </c>
      <c r="C145" s="8"/>
      <c r="D145" s="146">
        <f>-(AND(D$8&gt;=YEAR(PhaseIIIConBegin),D$8&lt;=YEAR(PhaseIIIConEnd)))*SUM($D112:$N112)*SUM('Assumptions-Overall'!$J$23:$J$24)*(1+'Assumptions-Overall'!$C$41)^('CashFlow-Office'!D$7-1)/(YEAR(PhaseIIIConEnd)-YEAR(PhaseIIIConBegin)+1)</f>
        <v>0</v>
      </c>
      <c r="E145" s="146">
        <f>-(AND(E$8&gt;=YEAR(PhaseIIIConBegin),E$8&lt;=YEAR(PhaseIIIConEnd)))*SUM($D112:$N112)*SUM('Assumptions-Overall'!$J$23:$J$24)*(1+'Assumptions-Overall'!$C$41)^('CashFlow-Office'!E$7-1)/(YEAR(PhaseIIIConEnd)-YEAR(PhaseIIIConBegin)+1)</f>
        <v>0</v>
      </c>
      <c r="F145" s="146">
        <f>-(AND(F$8&gt;=YEAR(PhaseIIIConBegin),F$8&lt;=YEAR(PhaseIIIConEnd)))*SUM($D112:$N112)*SUM('Assumptions-Overall'!$J$23:$J$24)*(1+'Assumptions-Overall'!$C$41)^('CashFlow-Office'!F$7-1)/(YEAR(PhaseIIIConEnd)-YEAR(PhaseIIIConBegin)+1)</f>
        <v>0</v>
      </c>
      <c r="G145" s="146">
        <f>-(AND(G$8&gt;=YEAR(PhaseIIIConBegin),G$8&lt;=YEAR(PhaseIIIConEnd)))*SUM($D112:$N112)*SUM('Assumptions-Overall'!$J$23:$J$24)*(1+'Assumptions-Overall'!$C$41)^('CashFlow-Office'!G$7-1)/(YEAR(PhaseIIIConEnd)-YEAR(PhaseIIIConBegin)+1)</f>
        <v>0</v>
      </c>
      <c r="H145" s="146">
        <f>-(AND(H$8&gt;=YEAR(PhaseIIIConBegin),H$8&lt;=YEAR(PhaseIIIConEnd)))*SUM($D112:$N112)*SUM('Assumptions-Overall'!$J$23:$J$24)*(1+'Assumptions-Overall'!$C$41)^('CashFlow-Office'!H$7-1)/(YEAR(PhaseIIIConEnd)-YEAR(PhaseIIIConBegin)+1)</f>
        <v>0</v>
      </c>
      <c r="I145" s="146">
        <f>-(AND(I$8&gt;=YEAR(PhaseIIIConBegin),I$8&lt;=YEAR(PhaseIIIConEnd)))*SUM($D112:$N112)*SUM('Assumptions-Overall'!$J$23:$J$24)*(1+'Assumptions-Overall'!$C$41)^('CashFlow-Office'!I$7-1)/(YEAR(PhaseIIIConEnd)-YEAR(PhaseIIIConBegin)+1)</f>
        <v>0</v>
      </c>
      <c r="J145" s="146">
        <f>-(AND(J$8&gt;=YEAR(PhaseIIIConBegin),J$8&lt;=YEAR(PhaseIIIConEnd)))*SUM($D112:$N112)*SUM('Assumptions-Overall'!$J$23:$J$24)*(1+'Assumptions-Overall'!$C$41)^('CashFlow-Office'!J$7-1)/(YEAR(PhaseIIIConEnd)-YEAR(PhaseIIIConBegin)+1)</f>
        <v>0</v>
      </c>
      <c r="K145" s="146">
        <f>-(AND(K$8&gt;=YEAR(PhaseIIIConBegin),K$8&lt;=YEAR(PhaseIIIConEnd)))*SUM($D112:$N112)*SUM('Assumptions-Overall'!$J$23:$J$24)*(1+'Assumptions-Overall'!$C$41)^('CashFlow-Office'!K$7-1)/(YEAR(PhaseIIIConEnd)-YEAR(PhaseIIIConBegin)+1)</f>
        <v>-19339766.533806082</v>
      </c>
      <c r="L145" s="146">
        <f>-(AND(L$8&gt;=YEAR(PhaseIIIConBegin),L$8&lt;=YEAR(PhaseIIIConEnd)))*SUM($D112:$N112)*SUM('Assumptions-Overall'!$J$23:$J$24)*(1+'Assumptions-Overall'!$C$41)^('CashFlow-Office'!L$7-1)/(YEAR(PhaseIIIConEnd)-YEAR(PhaseIIIConBegin)+1)</f>
        <v>-19919959.52982026</v>
      </c>
      <c r="M145" s="146">
        <f>-(AND(M$8&gt;=YEAR(PhaseIIIConBegin),M$8&lt;=YEAR(PhaseIIIConEnd)))*SUM($D112:$N112)*SUM('Assumptions-Overall'!$J$23:$J$24)*(1+'Assumptions-Overall'!$C$41)^('CashFlow-Office'!M$7-1)/(YEAR(PhaseIIIConEnd)-YEAR(PhaseIIIConBegin)+1)</f>
        <v>0</v>
      </c>
      <c r="N145" s="151"/>
    </row>
    <row r="146" spans="2:14" x14ac:dyDescent="0.65">
      <c r="B146" s="3" t="s">
        <v>211</v>
      </c>
      <c r="C146" s="8"/>
      <c r="D146" s="146">
        <f>(AND(D$8&gt;=YEAR(PhaseIIIPreconBegin),D$8&lt;=YEAR(PhaseIIIConEnd)))*SUM($D145:$N145)*'Assumptions-Overall'!$H$43/(YEAR(PhaseIIIConEnd)-YEAR(PhaseIIIPreconBegin)+1)</f>
        <v>0</v>
      </c>
      <c r="E146" s="146">
        <f>(AND(E$8&gt;=YEAR(PhaseIIIPreconBegin),E$8&lt;=YEAR(PhaseIIIConEnd)))*SUM($D145:$N145)*'Assumptions-Overall'!$H$43/(YEAR(PhaseIIIConEnd)-YEAR(PhaseIIIPreconBegin)+1)</f>
        <v>0</v>
      </c>
      <c r="F146" s="146">
        <f>(AND(F$8&gt;=YEAR(PhaseIIIPreconBegin),F$8&lt;=YEAR(PhaseIIIConEnd)))*SUM($D145:$N145)*'Assumptions-Overall'!$H$43/(YEAR(PhaseIIIConEnd)-YEAR(PhaseIIIPreconBegin)+1)</f>
        <v>0</v>
      </c>
      <c r="G146" s="146">
        <f>(AND(G$8&gt;=YEAR(PhaseIIIPreconBegin),G$8&lt;=YEAR(PhaseIIIConEnd)))*SUM($D145:$N145)*'Assumptions-Overall'!$H$43/(YEAR(PhaseIIIConEnd)-YEAR(PhaseIIIPreconBegin)+1)</f>
        <v>0</v>
      </c>
      <c r="H146" s="146">
        <f>(AND(H$8&gt;=YEAR(PhaseIIIPreconBegin),H$8&lt;=YEAR(PhaseIIIConEnd)))*SUM($D145:$N145)*'Assumptions-Overall'!$H$43/(YEAR(PhaseIIIConEnd)-YEAR(PhaseIIIPreconBegin)+1)</f>
        <v>0</v>
      </c>
      <c r="I146" s="146">
        <f>(AND(I$8&gt;=YEAR(PhaseIIIPreconBegin),I$8&lt;=YEAR(PhaseIIIConEnd)))*SUM($D145:$N145)*'Assumptions-Overall'!$H$43/(YEAR(PhaseIIIConEnd)-YEAR(PhaseIIIPreconBegin)+1)</f>
        <v>-588895.89095439506</v>
      </c>
      <c r="J146" s="146">
        <f>(AND(J$8&gt;=YEAR(PhaseIIIPreconBegin),J$8&lt;=YEAR(PhaseIIIConEnd)))*SUM($D145:$N145)*'Assumptions-Overall'!$H$43/(YEAR(PhaseIIIConEnd)-YEAR(PhaseIIIPreconBegin)+1)</f>
        <v>-588895.89095439506</v>
      </c>
      <c r="K146" s="146">
        <f>(AND(K$8&gt;=YEAR(PhaseIIIPreconBegin),K$8&lt;=YEAR(PhaseIIIConEnd)))*SUM($D145:$N145)*'Assumptions-Overall'!$H$43/(YEAR(PhaseIIIConEnd)-YEAR(PhaseIIIPreconBegin)+1)</f>
        <v>-588895.89095439506</v>
      </c>
      <c r="L146" s="146">
        <f>(AND(L$8&gt;=YEAR(PhaseIIIPreconBegin),L$8&lt;=YEAR(PhaseIIIConEnd)))*SUM($D145:$N145)*'Assumptions-Overall'!$H$43/(YEAR(PhaseIIIConEnd)-YEAR(PhaseIIIPreconBegin)+1)</f>
        <v>-588895.89095439506</v>
      </c>
      <c r="M146" s="146">
        <f>(AND(M$8&gt;=YEAR(PhaseIIIPreconBegin),M$8&lt;=YEAR(PhaseIIIConEnd)))*SUM($D145:$N145)*'Assumptions-Overall'!$H$43/(YEAR(PhaseIIIConEnd)-YEAR(PhaseIIIPreconBegin)+1)</f>
        <v>0</v>
      </c>
      <c r="N146" s="151"/>
    </row>
    <row r="147" spans="2:14" x14ac:dyDescent="0.65">
      <c r="B147" s="3" t="s">
        <v>115</v>
      </c>
      <c r="C147" s="8"/>
      <c r="D147" s="146">
        <f>(AND(D$8&gt;=YEAR(PhaseIIIPreconBegin),D$8&lt;=YEAR(PhaseIIIConEnd)))*SUM($D145:$N145)*'Assumptions-Overall'!$H$44/(YEAR(PhaseIIIConEnd)-YEAR(PhaseIIIPreconBegin)+1)</f>
        <v>0</v>
      </c>
      <c r="E147" s="146">
        <f>(AND(E$8&gt;=YEAR(PhaseIIIPreconBegin),E$8&lt;=YEAR(PhaseIIIConEnd)))*SUM($D145:$N145)*'Assumptions-Overall'!$H$44/(YEAR(PhaseIIIConEnd)-YEAR(PhaseIIIPreconBegin)+1)</f>
        <v>0</v>
      </c>
      <c r="F147" s="146">
        <f>(AND(F$8&gt;=YEAR(PhaseIIIPreconBegin),F$8&lt;=YEAR(PhaseIIIConEnd)))*SUM($D145:$N145)*'Assumptions-Overall'!$H$44/(YEAR(PhaseIIIConEnd)-YEAR(PhaseIIIPreconBegin)+1)</f>
        <v>0</v>
      </c>
      <c r="G147" s="146">
        <f>(AND(G$8&gt;=YEAR(PhaseIIIPreconBegin),G$8&lt;=YEAR(PhaseIIIConEnd)))*SUM($D145:$N145)*'Assumptions-Overall'!$H$44/(YEAR(PhaseIIIConEnd)-YEAR(PhaseIIIPreconBegin)+1)</f>
        <v>0</v>
      </c>
      <c r="H147" s="146">
        <f>(AND(H$8&gt;=YEAR(PhaseIIIPreconBegin),H$8&lt;=YEAR(PhaseIIIConEnd)))*SUM($D145:$N145)*'Assumptions-Overall'!$H$44/(YEAR(PhaseIIIConEnd)-YEAR(PhaseIIIPreconBegin)+1)</f>
        <v>0</v>
      </c>
      <c r="I147" s="146">
        <f>(AND(I$8&gt;=YEAR(PhaseIIIPreconBegin),I$8&lt;=YEAR(PhaseIIIConEnd)))*SUM($D145:$N145)*'Assumptions-Overall'!$H$44/(YEAR(PhaseIIIConEnd)-YEAR(PhaseIIIPreconBegin)+1)</f>
        <v>-981493.15159065858</v>
      </c>
      <c r="J147" s="146">
        <f>(AND(J$8&gt;=YEAR(PhaseIIIPreconBegin),J$8&lt;=YEAR(PhaseIIIConEnd)))*SUM($D145:$N145)*'Assumptions-Overall'!$H$44/(YEAR(PhaseIIIConEnd)-YEAR(PhaseIIIPreconBegin)+1)</f>
        <v>-981493.15159065858</v>
      </c>
      <c r="K147" s="146">
        <f>(AND(K$8&gt;=YEAR(PhaseIIIPreconBegin),K$8&lt;=YEAR(PhaseIIIConEnd)))*SUM($D145:$N145)*'Assumptions-Overall'!$H$44/(YEAR(PhaseIIIConEnd)-YEAR(PhaseIIIPreconBegin)+1)</f>
        <v>-981493.15159065858</v>
      </c>
      <c r="L147" s="146">
        <f>(AND(L$8&gt;=YEAR(PhaseIIIPreconBegin),L$8&lt;=YEAR(PhaseIIIConEnd)))*SUM($D145:$N145)*'Assumptions-Overall'!$H$44/(YEAR(PhaseIIIConEnd)-YEAR(PhaseIIIPreconBegin)+1)</f>
        <v>-981493.15159065858</v>
      </c>
      <c r="M147" s="146">
        <f>(AND(M$8&gt;=YEAR(PhaseIIIPreconBegin),M$8&lt;=YEAR(PhaseIIIConEnd)))*SUM($D145:$N145)*'Assumptions-Overall'!$H$44/(YEAR(PhaseIIIConEnd)-YEAR(PhaseIIIPreconBegin)+1)</f>
        <v>0</v>
      </c>
      <c r="N147" s="151"/>
    </row>
    <row r="148" spans="2:14" x14ac:dyDescent="0.65">
      <c r="B148" s="3" t="s">
        <v>116</v>
      </c>
      <c r="C148" s="8"/>
      <c r="D148" s="144">
        <f>SUM(D145:D147)*'Assumptions-Overall'!$H$45</f>
        <v>0</v>
      </c>
      <c r="E148" s="144">
        <f>SUM(E145:E147)*'Assumptions-Overall'!$H$45</f>
        <v>0</v>
      </c>
      <c r="F148" s="144">
        <f>SUM(F145:F147)*'Assumptions-Overall'!$H$45</f>
        <v>0</v>
      </c>
      <c r="G148" s="144">
        <f>SUM(G145:G147)*'Assumptions-Overall'!$H$45</f>
        <v>0</v>
      </c>
      <c r="H148" s="144">
        <f>SUM(H145:H147)*'Assumptions-Overall'!$H$45</f>
        <v>0</v>
      </c>
      <c r="I148" s="144">
        <f>SUM(I145:I147)*'Assumptions-Overall'!$H$45</f>
        <v>-78519.452127252691</v>
      </c>
      <c r="J148" s="144">
        <f>SUM(J145:J147)*'Assumptions-Overall'!$H$45</f>
        <v>-78519.452127252691</v>
      </c>
      <c r="K148" s="144">
        <f>SUM(K145:K147)*'Assumptions-Overall'!$H$45</f>
        <v>-1045507.7788175568</v>
      </c>
      <c r="L148" s="144">
        <f>SUM(L145:L147)*'Assumptions-Overall'!$H$45</f>
        <v>-1074517.4286182658</v>
      </c>
      <c r="M148" s="144">
        <f>SUM(M145:M147)*'Assumptions-Overall'!$H$45</f>
        <v>0</v>
      </c>
      <c r="N148" s="151"/>
    </row>
    <row r="149" spans="2:14" x14ac:dyDescent="0.65">
      <c r="B149" s="3" t="s">
        <v>212</v>
      </c>
      <c r="C149" s="8"/>
      <c r="D149" s="146">
        <f>SUM(D145:D148)</f>
        <v>0</v>
      </c>
      <c r="E149" s="146">
        <f t="shared" ref="E149" si="64">SUM(E145:E148)</f>
        <v>0</v>
      </c>
      <c r="F149" s="146">
        <f t="shared" ref="F149" si="65">SUM(F145:F148)</f>
        <v>0</v>
      </c>
      <c r="G149" s="146">
        <f t="shared" ref="G149" si="66">SUM(G145:G148)</f>
        <v>0</v>
      </c>
      <c r="H149" s="146">
        <f t="shared" ref="H149" si="67">SUM(H145:H148)</f>
        <v>0</v>
      </c>
      <c r="I149" s="146">
        <f t="shared" ref="I149" si="68">SUM(I145:I148)</f>
        <v>-1648908.4946723063</v>
      </c>
      <c r="J149" s="146">
        <f t="shared" ref="J149" si="69">SUM(J145:J148)</f>
        <v>-1648908.4946723063</v>
      </c>
      <c r="K149" s="146">
        <f t="shared" ref="K149" si="70">SUM(K145:K148)</f>
        <v>-21955663.355168693</v>
      </c>
      <c r="L149" s="146">
        <f t="shared" ref="L149" si="71">SUM(L145:L148)</f>
        <v>-22564866.000983581</v>
      </c>
      <c r="M149" s="146">
        <f t="shared" ref="M149" si="72">SUM(M145:M148)</f>
        <v>0</v>
      </c>
      <c r="N149" s="151"/>
    </row>
    <row r="150" spans="2:14" x14ac:dyDescent="0.65">
      <c r="B150" s="3"/>
      <c r="C150" s="8"/>
      <c r="D150" s="146"/>
      <c r="E150" s="146"/>
      <c r="F150" s="146"/>
      <c r="G150" s="146"/>
      <c r="H150" s="146"/>
      <c r="I150" s="146"/>
      <c r="J150" s="146"/>
      <c r="K150" s="146"/>
      <c r="L150" s="146"/>
      <c r="M150" s="146"/>
      <c r="N150" s="151"/>
    </row>
    <row r="151" spans="2:14" x14ac:dyDescent="0.65">
      <c r="B151" s="36" t="s">
        <v>213</v>
      </c>
      <c r="C151" s="8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51"/>
    </row>
    <row r="152" spans="2:14" x14ac:dyDescent="0.65">
      <c r="B152" s="3" t="s">
        <v>215</v>
      </c>
      <c r="C152" s="8"/>
      <c r="D152" s="146">
        <f>(D$8=YEAR('Assumptions-Overall'!$C$30))*E138/'Assumptions-Overall'!$V$18</f>
        <v>0</v>
      </c>
      <c r="E152" s="146">
        <f>(E$8=YEAR('Assumptions-Overall'!$C$30))*F138/'Assumptions-Overall'!$V$18</f>
        <v>0</v>
      </c>
      <c r="F152" s="146">
        <f>(F$8=YEAR('Assumptions-Overall'!$C$30))*G138/'Assumptions-Overall'!$V$18</f>
        <v>0</v>
      </c>
      <c r="G152" s="146">
        <f>(G$8=YEAR('Assumptions-Overall'!$C$30))*H138/'Assumptions-Overall'!$V$18</f>
        <v>0</v>
      </c>
      <c r="H152" s="146">
        <f>(H$8=YEAR('Assumptions-Overall'!$C$30))*I138/'Assumptions-Overall'!$V$18</f>
        <v>0</v>
      </c>
      <c r="I152" s="146">
        <f>(I$8=YEAR('Assumptions-Overall'!$C$30))*J138/'Assumptions-Overall'!$V$18</f>
        <v>0</v>
      </c>
      <c r="J152" s="146">
        <f>(J$8=YEAR('Assumptions-Overall'!$C$30))*K138/'Assumptions-Overall'!$V$18</f>
        <v>0</v>
      </c>
      <c r="K152" s="146">
        <f>(K$8=YEAR('Assumptions-Overall'!$C$30))*L138/'Assumptions-Overall'!$V$18</f>
        <v>0</v>
      </c>
      <c r="L152" s="146">
        <f>(L$8=YEAR('Assumptions-Overall'!$C$30))*M138/'Assumptions-Overall'!$V$18</f>
        <v>0</v>
      </c>
      <c r="M152" s="146">
        <f>(M$8=YEAR('Assumptions-Overall'!$C$30))*N138/'Assumptions-Overall'!$V$18</f>
        <v>39430643.008167647</v>
      </c>
      <c r="N152" s="151"/>
    </row>
    <row r="153" spans="2:14" x14ac:dyDescent="0.65">
      <c r="B153" s="3" t="s">
        <v>216</v>
      </c>
      <c r="C153" s="8"/>
      <c r="D153" s="144">
        <f>-D152*'Assumptions-Overall'!$R$27</f>
        <v>0</v>
      </c>
      <c r="E153" s="144">
        <f>-E152*'Assumptions-Overall'!$R$27</f>
        <v>0</v>
      </c>
      <c r="F153" s="144">
        <f>-F152*'Assumptions-Overall'!$R$27</f>
        <v>0</v>
      </c>
      <c r="G153" s="144">
        <f>-G152*'Assumptions-Overall'!$R$27</f>
        <v>0</v>
      </c>
      <c r="H153" s="144">
        <f>-H152*'Assumptions-Overall'!$R$27</f>
        <v>0</v>
      </c>
      <c r="I153" s="144">
        <f>-I152*'Assumptions-Overall'!$R$27</f>
        <v>0</v>
      </c>
      <c r="J153" s="144">
        <f>-J152*'Assumptions-Overall'!$R$27</f>
        <v>0</v>
      </c>
      <c r="K153" s="144">
        <f>-K152*'Assumptions-Overall'!$R$27</f>
        <v>0</v>
      </c>
      <c r="L153" s="144">
        <f>-L152*'Assumptions-Overall'!$R$27</f>
        <v>0</v>
      </c>
      <c r="M153" s="144">
        <f>-M152*'Assumptions-Overall'!$R$27</f>
        <v>-788612.86016335292</v>
      </c>
      <c r="N153" s="151"/>
    </row>
    <row r="154" spans="2:14" x14ac:dyDescent="0.65">
      <c r="B154" s="3" t="s">
        <v>217</v>
      </c>
      <c r="C154" s="8"/>
      <c r="D154" s="146">
        <f>SUM(D152:D153)</f>
        <v>0</v>
      </c>
      <c r="E154" s="146">
        <f t="shared" ref="E154" si="73">SUM(E152:E153)</f>
        <v>0</v>
      </c>
      <c r="F154" s="146">
        <f t="shared" ref="F154" si="74">SUM(F152:F153)</f>
        <v>0</v>
      </c>
      <c r="G154" s="146">
        <f t="shared" ref="G154" si="75">SUM(G152:G153)</f>
        <v>0</v>
      </c>
      <c r="H154" s="146">
        <f t="shared" ref="H154" si="76">SUM(H152:H153)</f>
        <v>0</v>
      </c>
      <c r="I154" s="146">
        <f t="shared" ref="I154" si="77">SUM(I152:I153)</f>
        <v>0</v>
      </c>
      <c r="J154" s="146">
        <f t="shared" ref="J154" si="78">SUM(J152:J153)</f>
        <v>0</v>
      </c>
      <c r="K154" s="146">
        <f t="shared" ref="K154" si="79">SUM(K152:K153)</f>
        <v>0</v>
      </c>
      <c r="L154" s="146">
        <f t="shared" ref="L154" si="80">SUM(L152:L153)</f>
        <v>0</v>
      </c>
      <c r="M154" s="146">
        <f t="shared" ref="M154" si="81">SUM(M152:M153)</f>
        <v>38642030.148004293</v>
      </c>
      <c r="N154" s="151"/>
    </row>
    <row r="155" spans="2:14" x14ac:dyDescent="0.65">
      <c r="B155" s="3"/>
      <c r="C155" s="8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51"/>
    </row>
    <row r="156" spans="2:14" x14ac:dyDescent="0.65">
      <c r="B156" s="3" t="s">
        <v>214</v>
      </c>
      <c r="C156" s="8"/>
      <c r="D156" s="146">
        <f t="shared" ref="D156:M156" si="82">D142+D149+D154</f>
        <v>0</v>
      </c>
      <c r="E156" s="146">
        <f t="shared" si="82"/>
        <v>0</v>
      </c>
      <c r="F156" s="146">
        <f t="shared" si="82"/>
        <v>0</v>
      </c>
      <c r="G156" s="146">
        <f t="shared" si="82"/>
        <v>0</v>
      </c>
      <c r="H156" s="146">
        <f t="shared" si="82"/>
        <v>0</v>
      </c>
      <c r="I156" s="146">
        <f t="shared" si="82"/>
        <v>-1648908.4946723063</v>
      </c>
      <c r="J156" s="146">
        <f t="shared" si="82"/>
        <v>-1648908.4946723063</v>
      </c>
      <c r="K156" s="146">
        <f t="shared" si="82"/>
        <v>-21955663.355168693</v>
      </c>
      <c r="L156" s="146">
        <f t="shared" si="82"/>
        <v>-22564866.000983581</v>
      </c>
      <c r="M156" s="146">
        <f t="shared" si="82"/>
        <v>40704876.551638328</v>
      </c>
      <c r="N156" s="151"/>
    </row>
    <row r="157" spans="2:14" x14ac:dyDescent="0.65">
      <c r="B157" s="3" t="s">
        <v>218</v>
      </c>
      <c r="C157" s="158">
        <f>IFERROR(IRR(D156:M156),"n/a")</f>
        <v>-9.5377014169302665E-2</v>
      </c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51"/>
    </row>
    <row r="158" spans="2:14" ht="13" thickBot="1" x14ac:dyDescent="0.8">
      <c r="B158" s="5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1"/>
    </row>
    <row r="160" spans="2:14" x14ac:dyDescent="0.65">
      <c r="B160" s="1" t="s">
        <v>278</v>
      </c>
      <c r="D160" s="171">
        <f t="shared" ref="D160:M160" si="83">D156+D106+D56</f>
        <v>0</v>
      </c>
      <c r="E160" s="171">
        <f t="shared" si="83"/>
        <v>-3294147.9740279596</v>
      </c>
      <c r="F160" s="171">
        <f t="shared" si="83"/>
        <v>-33720391.576502956</v>
      </c>
      <c r="G160" s="171">
        <f t="shared" si="83"/>
        <v>-31632375.924802609</v>
      </c>
      <c r="H160" s="171">
        <f t="shared" si="83"/>
        <v>5583429.5070902873</v>
      </c>
      <c r="I160" s="171">
        <f t="shared" si="83"/>
        <v>4102023.8976306901</v>
      </c>
      <c r="J160" s="171">
        <f t="shared" si="83"/>
        <v>4274551.8693997785</v>
      </c>
      <c r="K160" s="171">
        <f t="shared" si="83"/>
        <v>-15854499.180174444</v>
      </c>
      <c r="L160" s="171">
        <f t="shared" si="83"/>
        <v>-16280666.900739506</v>
      </c>
      <c r="M160" s="171">
        <f t="shared" si="83"/>
        <v>114297898.76773438</v>
      </c>
    </row>
    <row r="161" spans="2:3" x14ac:dyDescent="0.65">
      <c r="B161" s="1" t="s">
        <v>279</v>
      </c>
      <c r="C161" s="172">
        <f>IRR(D160:M160)</f>
        <v>5.3561996741422258E-2</v>
      </c>
    </row>
  </sheetData>
  <mergeCells count="2">
    <mergeCell ref="B2:C2"/>
    <mergeCell ref="B6:N6"/>
  </mergeCells>
  <pageMargins left="0.7" right="0.7" top="0.75" bottom="0.75" header="0.3" footer="0.3"/>
  <pageSetup orientation="portrait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94E49-DE80-40A9-8CF1-96A0AE44D3BA}">
  <sheetPr>
    <tabColor rgb="FFF0C2DC"/>
  </sheetPr>
  <dimension ref="A1:N19"/>
  <sheetViews>
    <sheetView workbookViewId="0">
      <selection activeCell="C17" sqref="C17"/>
    </sheetView>
  </sheetViews>
  <sheetFormatPr defaultColWidth="9.08984375" defaultRowHeight="12.25" x14ac:dyDescent="0.65"/>
  <cols>
    <col min="1" max="1" width="2.76953125" style="1" customWidth="1"/>
    <col min="2" max="2" width="22.453125" style="1" customWidth="1"/>
    <col min="3" max="3" width="9.08984375" style="1"/>
    <col min="4" max="4" width="6.76953125" style="1" customWidth="1"/>
    <col min="5" max="5" width="7.08984375" style="1" customWidth="1"/>
    <col min="6" max="6" width="7.76953125" style="1" customWidth="1"/>
    <col min="7" max="7" width="2.76953125" style="1" customWidth="1"/>
    <col min="8" max="8" width="14.76953125" style="1" customWidth="1"/>
    <col min="9" max="9" width="11.76953125" style="1" customWidth="1"/>
    <col min="10" max="10" width="16.76953125" style="1" customWidth="1"/>
    <col min="11" max="11" width="14.08984375" style="1" customWidth="1"/>
    <col min="12" max="12" width="2.76953125" style="1" customWidth="1"/>
    <col min="13" max="13" width="20.76953125" style="1" customWidth="1"/>
    <col min="14" max="14" width="21.453125" style="1" customWidth="1"/>
    <col min="15" max="16384" width="9.08984375" style="1"/>
  </cols>
  <sheetData>
    <row r="1" spans="1:14" ht="13" thickBot="1" x14ac:dyDescent="0.8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4" ht="14.25" x14ac:dyDescent="0.9">
      <c r="A2" s="365"/>
      <c r="B2" s="982" t="s">
        <v>37</v>
      </c>
      <c r="C2" s="983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</row>
    <row r="3" spans="1:14" x14ac:dyDescent="0.65">
      <c r="A3" s="365"/>
      <c r="B3" s="391" t="s">
        <v>36</v>
      </c>
      <c r="C3" s="386" t="str">
        <f>ProjectName</f>
        <v>8th Hill</v>
      </c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1:14" ht="13" thickBot="1" x14ac:dyDescent="0.8">
      <c r="A4" s="365"/>
      <c r="B4" s="392" t="s">
        <v>35</v>
      </c>
      <c r="C4" s="406">
        <f>TeamNumber</f>
        <v>192021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</row>
    <row r="5" spans="1:14" ht="13" thickBot="1" x14ac:dyDescent="0.8">
      <c r="A5" s="365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</row>
    <row r="6" spans="1:14" ht="14.25" x14ac:dyDescent="0.9">
      <c r="A6" s="365"/>
      <c r="B6" s="986" t="s">
        <v>174</v>
      </c>
      <c r="C6" s="987"/>
      <c r="D6" s="987"/>
      <c r="E6" s="987"/>
      <c r="F6" s="988"/>
      <c r="G6" s="365"/>
      <c r="H6" s="979" t="s">
        <v>176</v>
      </c>
      <c r="I6" s="980"/>
      <c r="J6" s="980"/>
      <c r="K6" s="981"/>
      <c r="L6" s="365"/>
      <c r="M6" s="979" t="s">
        <v>160</v>
      </c>
      <c r="N6" s="981"/>
    </row>
    <row r="7" spans="1:14" x14ac:dyDescent="0.65">
      <c r="A7" s="365"/>
      <c r="B7" s="407"/>
      <c r="C7" s="371"/>
      <c r="D7" s="371" t="s">
        <v>104</v>
      </c>
      <c r="E7" s="371" t="s">
        <v>104</v>
      </c>
      <c r="F7" s="386" t="s">
        <v>104</v>
      </c>
      <c r="G7" s="365"/>
      <c r="H7" s="409" t="s">
        <v>177</v>
      </c>
      <c r="I7" s="436" t="s">
        <v>178</v>
      </c>
      <c r="J7" s="377" t="s">
        <v>179</v>
      </c>
      <c r="K7" s="379" t="s">
        <v>180</v>
      </c>
      <c r="L7" s="365"/>
      <c r="M7" s="409" t="s">
        <v>184</v>
      </c>
      <c r="N7" s="379" t="s">
        <v>181</v>
      </c>
    </row>
    <row r="8" spans="1:14" x14ac:dyDescent="0.65">
      <c r="A8" s="365"/>
      <c r="B8" s="409" t="s">
        <v>177</v>
      </c>
      <c r="C8" s="377" t="s">
        <v>103</v>
      </c>
      <c r="D8" s="377" t="s">
        <v>25</v>
      </c>
      <c r="E8" s="377" t="s">
        <v>24</v>
      </c>
      <c r="F8" s="379" t="s">
        <v>23</v>
      </c>
      <c r="G8" s="365"/>
      <c r="H8" s="391" t="str">
        <f>B9</f>
        <v>Lifestyle Hotel</v>
      </c>
      <c r="I8" s="437">
        <v>200</v>
      </c>
      <c r="J8" s="438">
        <v>0.85</v>
      </c>
      <c r="K8" s="439">
        <f>I8*J8</f>
        <v>170</v>
      </c>
      <c r="L8" s="365"/>
      <c r="M8" s="391" t="s">
        <v>182</v>
      </c>
      <c r="N8" s="427">
        <v>0.3</v>
      </c>
    </row>
    <row r="9" spans="1:14" ht="13" thickBot="1" x14ac:dyDescent="0.8">
      <c r="A9" s="365"/>
      <c r="B9" s="391" t="s">
        <v>175</v>
      </c>
      <c r="C9" s="22">
        <f>SUM(D9:F9)</f>
        <v>735</v>
      </c>
      <c r="D9" s="22">
        <v>0</v>
      </c>
      <c r="E9" s="22">
        <v>0</v>
      </c>
      <c r="F9" s="381">
        <f>SUMIFS(BuildingSummary!$C63:$U63,BuildingSummary!$C$18:$U$18, F8)</f>
        <v>735</v>
      </c>
      <c r="G9" s="365"/>
      <c r="H9" s="392" t="str">
        <f>B10</f>
        <v>Professional Hotel</v>
      </c>
      <c r="I9" s="440">
        <v>170</v>
      </c>
      <c r="J9" s="441">
        <v>0.85</v>
      </c>
      <c r="K9" s="442">
        <f>I9*J9</f>
        <v>144.5</v>
      </c>
      <c r="L9" s="365"/>
      <c r="M9" s="391" t="s">
        <v>183</v>
      </c>
      <c r="N9" s="427">
        <v>0.05</v>
      </c>
    </row>
    <row r="10" spans="1:14" x14ac:dyDescent="0.65">
      <c r="A10" s="365"/>
      <c r="B10" s="391" t="s">
        <v>432</v>
      </c>
      <c r="C10" s="22">
        <f>SUM(D10:F10)</f>
        <v>995</v>
      </c>
      <c r="D10" s="22">
        <f>SUMIFS(BuildingSummary!$C63:$U63,BuildingSummary!$C$18:$U$18, D8)</f>
        <v>995</v>
      </c>
      <c r="E10" s="22">
        <f>SUMIFS(BuildingSummary!$C64:$U64,BuildingSummary!$C$18:$U$18, E8)</f>
        <v>0</v>
      </c>
      <c r="F10" s="381">
        <f>SUMIFS(BuildingSummary!$C64:$U64,BuildingSummary!$C$18:$U$18, F9)</f>
        <v>0</v>
      </c>
      <c r="G10" s="365"/>
      <c r="H10" s="365"/>
      <c r="I10" s="365"/>
      <c r="J10" s="365"/>
      <c r="K10" s="365"/>
      <c r="L10" s="365"/>
      <c r="M10" s="391"/>
      <c r="N10" s="427"/>
    </row>
    <row r="11" spans="1:14" ht="13" thickBot="1" x14ac:dyDescent="0.8">
      <c r="A11" s="365"/>
      <c r="B11" s="392" t="s">
        <v>28</v>
      </c>
      <c r="C11" s="387">
        <f>SUM(C9:C10)</f>
        <v>1730</v>
      </c>
      <c r="D11" s="387">
        <f>SUM(D9:D10)</f>
        <v>995</v>
      </c>
      <c r="E11" s="387">
        <f>SUM(E9:E10)</f>
        <v>0</v>
      </c>
      <c r="F11" s="389">
        <f>SUM(F9:F10)</f>
        <v>735</v>
      </c>
      <c r="G11" s="365"/>
      <c r="H11" s="365"/>
      <c r="I11" s="365"/>
      <c r="J11" s="365"/>
      <c r="K11" s="365"/>
      <c r="L11" s="365"/>
      <c r="M11" s="409" t="s">
        <v>185</v>
      </c>
      <c r="N11" s="379" t="s">
        <v>186</v>
      </c>
    </row>
    <row r="12" spans="1:14" x14ac:dyDescent="0.65">
      <c r="A12" s="365"/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91" t="str">
        <f>M8</f>
        <v>Food &amp; Beverage</v>
      </c>
      <c r="N12" s="427">
        <v>0.3</v>
      </c>
    </row>
    <row r="13" spans="1:14" x14ac:dyDescent="0.65">
      <c r="A13" s="365"/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91" t="str">
        <f>M9</f>
        <v>Other Departments</v>
      </c>
      <c r="N13" s="427">
        <v>0.1</v>
      </c>
    </row>
    <row r="14" spans="1:14" x14ac:dyDescent="0.65">
      <c r="A14" s="365"/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91"/>
      <c r="N14" s="393"/>
    </row>
    <row r="15" spans="1:14" x14ac:dyDescent="0.65">
      <c r="A15" s="365"/>
      <c r="B15" s="443"/>
      <c r="C15" s="443"/>
      <c r="D15" s="443"/>
      <c r="E15" s="443"/>
      <c r="F15" s="443"/>
      <c r="G15" s="443"/>
      <c r="H15" s="443"/>
      <c r="I15" s="365"/>
      <c r="J15" s="365"/>
      <c r="K15" s="365"/>
      <c r="L15" s="365"/>
      <c r="M15" s="409" t="s">
        <v>187</v>
      </c>
      <c r="N15" s="379" t="s">
        <v>188</v>
      </c>
    </row>
    <row r="16" spans="1:14" x14ac:dyDescent="0.65">
      <c r="A16" s="365"/>
      <c r="B16" s="443"/>
      <c r="C16" s="443"/>
      <c r="D16" s="443"/>
      <c r="E16" s="443"/>
      <c r="F16" s="443"/>
      <c r="G16" s="443"/>
      <c r="H16" s="443"/>
      <c r="I16" s="365"/>
      <c r="J16" s="365"/>
      <c r="K16" s="365"/>
      <c r="L16" s="365"/>
      <c r="M16" s="391" t="s">
        <v>507</v>
      </c>
      <c r="N16" s="444">
        <f>33000+1440</f>
        <v>34440</v>
      </c>
    </row>
    <row r="17" spans="1:14" ht="13" thickBot="1" x14ac:dyDescent="0.8">
      <c r="A17" s="365"/>
      <c r="B17" s="443"/>
      <c r="C17" s="443"/>
      <c r="D17" s="443"/>
      <c r="E17" s="443"/>
      <c r="F17" s="443"/>
      <c r="G17" s="443"/>
      <c r="H17" s="443"/>
      <c r="I17" s="365"/>
      <c r="J17" s="365"/>
      <c r="K17" s="365"/>
      <c r="L17" s="365"/>
      <c r="M17" s="392" t="s">
        <v>189</v>
      </c>
      <c r="N17" s="445">
        <v>10000</v>
      </c>
    </row>
    <row r="18" spans="1:14" x14ac:dyDescent="0.65">
      <c r="A18" s="365"/>
      <c r="B18" s="443"/>
      <c r="C18" s="443"/>
      <c r="D18" s="443"/>
      <c r="E18" s="443"/>
      <c r="F18" s="443"/>
      <c r="G18" s="443"/>
      <c r="H18" s="443"/>
      <c r="I18" s="365"/>
      <c r="J18" s="365"/>
      <c r="K18" s="365"/>
      <c r="L18" s="365"/>
      <c r="M18" s="999" t="s">
        <v>508</v>
      </c>
      <c r="N18" s="999"/>
    </row>
    <row r="19" spans="1:14" x14ac:dyDescent="0.65">
      <c r="A19" s="365"/>
      <c r="B19" s="443"/>
      <c r="C19" s="443"/>
      <c r="D19" s="443"/>
      <c r="E19" s="443"/>
      <c r="F19" s="443"/>
      <c r="G19" s="443"/>
      <c r="H19" s="443"/>
      <c r="I19" s="365"/>
      <c r="J19" s="365"/>
      <c r="K19" s="365"/>
      <c r="L19" s="365"/>
      <c r="M19" s="365"/>
      <c r="N19" s="365"/>
    </row>
  </sheetData>
  <mergeCells count="5">
    <mergeCell ref="B2:C2"/>
    <mergeCell ref="B6:F6"/>
    <mergeCell ref="H6:K6"/>
    <mergeCell ref="M6:N6"/>
    <mergeCell ref="M18:N18"/>
  </mergeCells>
  <pageMargins left="0.7" right="0.7" top="0.75" bottom="0.75" header="0.3" footer="0.3"/>
  <pageSetup orientation="portrait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2C1B0-90FE-4FF4-9167-356BD183EF81}">
  <sheetPr>
    <tabColor rgb="FFC1F5FB"/>
  </sheetPr>
  <dimension ref="B1:N207"/>
  <sheetViews>
    <sheetView topLeftCell="A175" workbookViewId="0">
      <selection activeCell="B212" sqref="B212"/>
    </sheetView>
  </sheetViews>
  <sheetFormatPr defaultColWidth="9.08984375" defaultRowHeight="12.25" x14ac:dyDescent="0.65"/>
  <cols>
    <col min="1" max="1" width="2.76953125" style="1" customWidth="1"/>
    <col min="2" max="2" width="35.76953125" style="1" customWidth="1"/>
    <col min="3" max="3" width="9.08984375" style="1"/>
    <col min="4" max="14" width="11.453125" style="1" customWidth="1"/>
    <col min="15" max="16384" width="9.08984375" style="1"/>
  </cols>
  <sheetData>
    <row r="1" spans="2:14" ht="13" thickBot="1" x14ac:dyDescent="0.8">
      <c r="D1" s="365"/>
      <c r="E1" s="365"/>
      <c r="F1" s="365"/>
      <c r="G1" s="365"/>
      <c r="H1" s="365"/>
    </row>
    <row r="2" spans="2:14" ht="14.25" x14ac:dyDescent="0.9">
      <c r="B2" s="982" t="s">
        <v>37</v>
      </c>
      <c r="C2" s="983"/>
      <c r="D2" s="670"/>
      <c r="E2" s="639"/>
      <c r="F2" s="639"/>
      <c r="G2" s="639"/>
      <c r="H2" s="365"/>
    </row>
    <row r="3" spans="2:14" x14ac:dyDescent="0.65">
      <c r="B3" s="3" t="s">
        <v>36</v>
      </c>
      <c r="C3" s="4" t="str">
        <f>ProjectName</f>
        <v>8th Hill</v>
      </c>
      <c r="D3" s="670"/>
      <c r="E3" s="639"/>
      <c r="F3" s="639"/>
      <c r="G3" s="639"/>
      <c r="H3" s="365"/>
    </row>
    <row r="4" spans="2:14" ht="13" thickBot="1" x14ac:dyDescent="0.8">
      <c r="B4" s="5" t="s">
        <v>35</v>
      </c>
      <c r="C4" s="6">
        <f>TeamNumber</f>
        <v>192021</v>
      </c>
      <c r="D4" s="670"/>
      <c r="E4" s="639"/>
      <c r="F4" s="639"/>
      <c r="G4" s="639"/>
      <c r="H4" s="365"/>
    </row>
    <row r="5" spans="2:14" ht="13" thickBot="1" x14ac:dyDescent="0.8"/>
    <row r="6" spans="2:14" ht="15" thickBot="1" x14ac:dyDescent="1.05">
      <c r="B6" s="986" t="s">
        <v>234</v>
      </c>
      <c r="C6" s="987"/>
      <c r="D6" s="987"/>
      <c r="E6" s="987"/>
      <c r="F6" s="987"/>
      <c r="G6" s="987"/>
      <c r="H6" s="987"/>
      <c r="I6" s="987"/>
      <c r="J6" s="987"/>
      <c r="K6" s="987"/>
      <c r="L6" s="987"/>
      <c r="M6" s="987"/>
      <c r="N6" s="988"/>
    </row>
    <row r="7" spans="2:14" x14ac:dyDescent="0.65">
      <c r="B7" s="154" t="s">
        <v>191</v>
      </c>
      <c r="C7" s="155"/>
      <c r="D7" s="155">
        <v>1</v>
      </c>
      <c r="E7" s="155">
        <f>D7+1</f>
        <v>2</v>
      </c>
      <c r="F7" s="155">
        <f t="shared" ref="F7:N8" si="0">E7+1</f>
        <v>3</v>
      </c>
      <c r="G7" s="155">
        <f t="shared" si="0"/>
        <v>4</v>
      </c>
      <c r="H7" s="155">
        <f t="shared" si="0"/>
        <v>5</v>
      </c>
      <c r="I7" s="155">
        <f t="shared" si="0"/>
        <v>6</v>
      </c>
      <c r="J7" s="155">
        <f t="shared" si="0"/>
        <v>7</v>
      </c>
      <c r="K7" s="155">
        <f t="shared" si="0"/>
        <v>8</v>
      </c>
      <c r="L7" s="155">
        <f t="shared" si="0"/>
        <v>9</v>
      </c>
      <c r="M7" s="155">
        <f t="shared" si="0"/>
        <v>10</v>
      </c>
      <c r="N7" s="156">
        <f t="shared" si="0"/>
        <v>11</v>
      </c>
    </row>
    <row r="8" spans="2:14" x14ac:dyDescent="0.65">
      <c r="B8" s="3" t="s">
        <v>192</v>
      </c>
      <c r="C8" s="8"/>
      <c r="D8" s="8">
        <f>YEAR('Assumptions-Overall'!C9)</f>
        <v>2019</v>
      </c>
      <c r="E8" s="8">
        <f>D8+1</f>
        <v>2020</v>
      </c>
      <c r="F8" s="8">
        <f t="shared" si="0"/>
        <v>2021</v>
      </c>
      <c r="G8" s="8">
        <f t="shared" si="0"/>
        <v>2022</v>
      </c>
      <c r="H8" s="8">
        <f t="shared" si="0"/>
        <v>2023</v>
      </c>
      <c r="I8" s="8">
        <f t="shared" si="0"/>
        <v>2024</v>
      </c>
      <c r="J8" s="8">
        <f t="shared" si="0"/>
        <v>2025</v>
      </c>
      <c r="K8" s="8">
        <f t="shared" si="0"/>
        <v>2026</v>
      </c>
      <c r="L8" s="8">
        <f t="shared" si="0"/>
        <v>2027</v>
      </c>
      <c r="M8" s="8">
        <f t="shared" si="0"/>
        <v>2028</v>
      </c>
      <c r="N8" s="9">
        <f t="shared" si="0"/>
        <v>2029</v>
      </c>
    </row>
    <row r="9" spans="2:14" x14ac:dyDescent="0.65">
      <c r="B9" s="3" t="s">
        <v>237</v>
      </c>
      <c r="C9" s="8"/>
      <c r="D9" s="8">
        <f>_xlfn.NUMBERVALUE("12/31/"&amp;D8)-_xlfn.NUMBERVALUE("1/1/"&amp;D8)+1</f>
        <v>365</v>
      </c>
      <c r="E9" s="8">
        <f t="shared" ref="E9:N9" si="1">_xlfn.NUMBERVALUE("12/31/"&amp;E8)-_xlfn.NUMBERVALUE("1/1/"&amp;E8)+1</f>
        <v>366</v>
      </c>
      <c r="F9" s="8">
        <f t="shared" si="1"/>
        <v>365</v>
      </c>
      <c r="G9" s="8">
        <f t="shared" si="1"/>
        <v>365</v>
      </c>
      <c r="H9" s="8">
        <f t="shared" si="1"/>
        <v>365</v>
      </c>
      <c r="I9" s="8">
        <f t="shared" si="1"/>
        <v>366</v>
      </c>
      <c r="J9" s="8">
        <f t="shared" si="1"/>
        <v>365</v>
      </c>
      <c r="K9" s="8">
        <f t="shared" si="1"/>
        <v>365</v>
      </c>
      <c r="L9" s="8">
        <f t="shared" si="1"/>
        <v>365</v>
      </c>
      <c r="M9" s="8">
        <f t="shared" si="1"/>
        <v>366</v>
      </c>
      <c r="N9" s="9">
        <f t="shared" si="1"/>
        <v>365</v>
      </c>
    </row>
    <row r="10" spans="2:14" x14ac:dyDescent="0.65">
      <c r="B10" s="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2:14" x14ac:dyDescent="0.65">
      <c r="B11" s="147" t="s">
        <v>193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/>
    </row>
    <row r="12" spans="2:14" x14ac:dyDescent="0.65">
      <c r="B12" s="3" t="s">
        <v>194</v>
      </c>
      <c r="C12" s="8"/>
      <c r="D12" s="148">
        <f>(D$8&gt;=YEAR(PhaseIComplete))*SUMIF(BuildingSummary!$V$18:$X$18,"I",BuildingSummary!$V$24:$X$24)</f>
        <v>0</v>
      </c>
      <c r="E12" s="148">
        <f>(E$8&gt;=YEAR(PhaseIComplete))*SUMIF(BuildingSummary!$V$18:$X$18,"I",BuildingSummary!$V$24:$X$24)</f>
        <v>0</v>
      </c>
      <c r="F12" s="148">
        <f>(F$8&gt;=YEAR(PhaseIComplete))*SUMIF(BuildingSummary!$V$18:$X$18,"I",BuildingSummary!$V$24:$X$24)</f>
        <v>0</v>
      </c>
      <c r="G12" s="148">
        <f>(G$8&gt;=YEAR(PhaseIComplete))*SUMIF(BuildingSummary!$V$18:$X$18,"I",BuildingSummary!$V$24:$X$24)</f>
        <v>0</v>
      </c>
      <c r="H12" s="148">
        <f>(H$8&gt;=YEAR(PhaseIComplete))*SUMIF(BuildingSummary!$V$18:$X$18,"I",BuildingSummary!$V$24:$X$24)</f>
        <v>250000</v>
      </c>
      <c r="I12" s="148">
        <f>(I$8&gt;=YEAR(PhaseIComplete))*SUMIF(BuildingSummary!$V$18:$X$18,"I",BuildingSummary!$V$24:$X$24)</f>
        <v>250000</v>
      </c>
      <c r="J12" s="148">
        <f>(J$8&gt;=YEAR(PhaseIComplete))*SUMIF(BuildingSummary!$V$18:$X$18,"I",BuildingSummary!$V$24:$X$24)</f>
        <v>250000</v>
      </c>
      <c r="K12" s="148">
        <f>(K$8&gt;=YEAR(PhaseIComplete))*SUMIF(BuildingSummary!$V$18:$X$18,"I",BuildingSummary!$V$24:$X$24)</f>
        <v>250000</v>
      </c>
      <c r="L12" s="148">
        <f>(L$8&gt;=YEAR(PhaseIComplete))*SUMIF(BuildingSummary!$V$18:$X$18,"I",BuildingSummary!$V$24:$X$24)</f>
        <v>250000</v>
      </c>
      <c r="M12" s="148">
        <f>(M$8&gt;=YEAR(PhaseIComplete))*SUMIF(BuildingSummary!$V$18:$X$18,"I",BuildingSummary!$V$24:$X$24)</f>
        <v>250000</v>
      </c>
      <c r="N12" s="149">
        <f>(N$8&gt;=YEAR(PhaseIComplete))*SUMIF(BuildingSummary!$V$18:$X$18,"I",BuildingSummary!$V$24:$X$24)</f>
        <v>250000</v>
      </c>
    </row>
    <row r="13" spans="2:14" x14ac:dyDescent="0.65">
      <c r="B13" s="3" t="s">
        <v>195</v>
      </c>
      <c r="C13" s="8"/>
      <c r="D13" s="148">
        <f>D12-C12</f>
        <v>0</v>
      </c>
      <c r="E13" s="148">
        <f t="shared" ref="E13" si="2">E12-D12</f>
        <v>0</v>
      </c>
      <c r="F13" s="148">
        <f t="shared" ref="F13" si="3">F12-E12</f>
        <v>0</v>
      </c>
      <c r="G13" s="148">
        <f t="shared" ref="G13" si="4">G12-F12</f>
        <v>0</v>
      </c>
      <c r="H13" s="148">
        <f t="shared" ref="H13" si="5">H12-G12</f>
        <v>250000</v>
      </c>
      <c r="I13" s="148">
        <f t="shared" ref="I13" si="6">I12-H12</f>
        <v>0</v>
      </c>
      <c r="J13" s="148">
        <f t="shared" ref="J13" si="7">J12-I12</f>
        <v>0</v>
      </c>
      <c r="K13" s="148">
        <f t="shared" ref="K13" si="8">K12-J12</f>
        <v>0</v>
      </c>
      <c r="L13" s="148">
        <f t="shared" ref="L13" si="9">L12-K12</f>
        <v>0</v>
      </c>
      <c r="M13" s="148">
        <f t="shared" ref="M13" si="10">M12-L12</f>
        <v>0</v>
      </c>
      <c r="N13" s="149">
        <f t="shared" ref="N13" si="11">N12-M12</f>
        <v>0</v>
      </c>
    </row>
    <row r="14" spans="2:14" x14ac:dyDescent="0.65">
      <c r="B14" s="3"/>
      <c r="C14" s="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9"/>
    </row>
    <row r="15" spans="2:14" x14ac:dyDescent="0.65">
      <c r="B15" s="36" t="s">
        <v>235</v>
      </c>
      <c r="C15" s="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9"/>
    </row>
    <row r="16" spans="2:14" x14ac:dyDescent="0.65">
      <c r="B16" s="3" t="str">
        <f>'Assumptions-Hotel'!B9</f>
        <v>Lifestyle Hotel</v>
      </c>
      <c r="C16" s="8"/>
      <c r="D16" s="148">
        <f>(D$8&gt;=YEAR(PhaseIComplete))*'Assumptions-Hotel'!$D9</f>
        <v>0</v>
      </c>
      <c r="E16" s="148">
        <f>(E$8&gt;=YEAR(PhaseIComplete))*'Assumptions-Hotel'!$D9</f>
        <v>0</v>
      </c>
      <c r="F16" s="148">
        <f>(F$8&gt;=YEAR(PhaseIComplete))*'Assumptions-Hotel'!$D9</f>
        <v>0</v>
      </c>
      <c r="G16" s="148">
        <f>(G$8&gt;=YEAR(PhaseIComplete))*'Assumptions-Hotel'!$D9</f>
        <v>0</v>
      </c>
      <c r="H16" s="148">
        <f>(H$8&gt;=YEAR(PhaseIComplete))*'Assumptions-Hotel'!$D9</f>
        <v>0</v>
      </c>
      <c r="I16" s="148">
        <f>(I$8&gt;=YEAR(PhaseIComplete))*'Assumptions-Hotel'!$D9</f>
        <v>0</v>
      </c>
      <c r="J16" s="148">
        <f>(J$8&gt;=YEAR(PhaseIComplete))*'Assumptions-Hotel'!$D9</f>
        <v>0</v>
      </c>
      <c r="K16" s="148">
        <f>(K$8&gt;=YEAR(PhaseIComplete))*'Assumptions-Hotel'!$D9</f>
        <v>0</v>
      </c>
      <c r="L16" s="148">
        <f>(L$8&gt;=YEAR(PhaseIComplete))*'Assumptions-Hotel'!$D9</f>
        <v>0</v>
      </c>
      <c r="M16" s="148">
        <f>(M$8&gt;=YEAR(PhaseIComplete))*'Assumptions-Hotel'!$D9</f>
        <v>0</v>
      </c>
      <c r="N16" s="149">
        <f>(N$8&gt;=YEAR(PhaseIComplete))*'Assumptions-Hotel'!$D9</f>
        <v>0</v>
      </c>
    </row>
    <row r="17" spans="2:14" x14ac:dyDescent="0.65">
      <c r="B17" s="3" t="str">
        <f>'Assumptions-Hotel'!B10</f>
        <v>Professional Hotel</v>
      </c>
      <c r="C17" s="8"/>
      <c r="D17" s="148">
        <f>(D$8&gt;=YEAR(PhaseIComplete))*'Assumptions-Hotel'!$D10</f>
        <v>0</v>
      </c>
      <c r="E17" s="148">
        <f>(E$8&gt;=YEAR(PhaseIComplete))*'Assumptions-Hotel'!$D10</f>
        <v>0</v>
      </c>
      <c r="F17" s="148">
        <f>(F$8&gt;=YEAR(PhaseIComplete))*'Assumptions-Hotel'!$D10</f>
        <v>0</v>
      </c>
      <c r="G17" s="148">
        <f>(G$8&gt;=YEAR(PhaseIComplete))*'Assumptions-Hotel'!$D10</f>
        <v>0</v>
      </c>
      <c r="H17" s="148">
        <f>(H$8&gt;=YEAR(PhaseIComplete))*'Assumptions-Hotel'!$D10</f>
        <v>995</v>
      </c>
      <c r="I17" s="148">
        <f>(I$8&gt;=YEAR(PhaseIComplete))*'Assumptions-Hotel'!$D10</f>
        <v>995</v>
      </c>
      <c r="J17" s="148">
        <f>(J$8&gt;=YEAR(PhaseIComplete))*'Assumptions-Hotel'!$D10</f>
        <v>995</v>
      </c>
      <c r="K17" s="148">
        <f>(K$8&gt;=YEAR(PhaseIComplete))*'Assumptions-Hotel'!$D10</f>
        <v>995</v>
      </c>
      <c r="L17" s="148">
        <f>(L$8&gt;=YEAR(PhaseIComplete))*'Assumptions-Hotel'!$D10</f>
        <v>995</v>
      </c>
      <c r="M17" s="148">
        <f>(M$8&gt;=YEAR(PhaseIComplete))*'Assumptions-Hotel'!$D10</f>
        <v>995</v>
      </c>
      <c r="N17" s="149">
        <f>(N$8&gt;=YEAR(PhaseIComplete))*'Assumptions-Hotel'!$D10</f>
        <v>995</v>
      </c>
    </row>
    <row r="18" spans="2:14" x14ac:dyDescent="0.65">
      <c r="B18" s="3"/>
      <c r="C18" s="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9"/>
    </row>
    <row r="19" spans="2:14" x14ac:dyDescent="0.65">
      <c r="B19" s="36" t="s">
        <v>239</v>
      </c>
      <c r="C19" s="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9"/>
    </row>
    <row r="20" spans="2:14" x14ac:dyDescent="0.65">
      <c r="B20" s="3" t="s">
        <v>240</v>
      </c>
      <c r="C20" s="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9"/>
    </row>
    <row r="21" spans="2:14" x14ac:dyDescent="0.65">
      <c r="B21" s="150" t="str">
        <f>B16</f>
        <v>Lifestyle Hotel</v>
      </c>
      <c r="C21" s="8"/>
      <c r="D21" s="161">
        <f>'Assumptions-Hotel'!I8</f>
        <v>200</v>
      </c>
      <c r="E21" s="161">
        <f>D21*(1+'Assumptions-Overall'!$C$37)</f>
        <v>206</v>
      </c>
      <c r="F21" s="161">
        <f>E21*(1+'Assumptions-Overall'!$C$37)</f>
        <v>212.18</v>
      </c>
      <c r="G21" s="161">
        <f>F21*(1+'Assumptions-Overall'!$C$37)</f>
        <v>218.5454</v>
      </c>
      <c r="H21" s="161">
        <f>G21*(1+'Assumptions-Overall'!$C$37)</f>
        <v>225.10176200000001</v>
      </c>
      <c r="I21" s="161">
        <f>H21*(1+'Assumptions-Overall'!$C$37)</f>
        <v>231.85481486</v>
      </c>
      <c r="J21" s="161">
        <f>I21*(1+'Assumptions-Overall'!$C$37)</f>
        <v>238.81045930580001</v>
      </c>
      <c r="K21" s="161">
        <f>J21*(1+'Assumptions-Overall'!$C$37)</f>
        <v>245.974773084974</v>
      </c>
      <c r="L21" s="161">
        <f>K21*(1+'Assumptions-Overall'!$C$37)</f>
        <v>253.35401627752324</v>
      </c>
      <c r="M21" s="161">
        <f>L21*(1+'Assumptions-Overall'!$C$37)</f>
        <v>260.95463676584893</v>
      </c>
      <c r="N21" s="162">
        <f>'Assumptions-Hotel'!$I8</f>
        <v>200</v>
      </c>
    </row>
    <row r="22" spans="2:14" x14ac:dyDescent="0.65">
      <c r="B22" s="150" t="str">
        <f>B17</f>
        <v>Professional Hotel</v>
      </c>
      <c r="C22" s="8"/>
      <c r="D22" s="161">
        <f>'Assumptions-Hotel'!$I9</f>
        <v>170</v>
      </c>
      <c r="E22" s="161">
        <f>D22*(1+'Assumptions-Overall'!$C$37)</f>
        <v>175.1</v>
      </c>
      <c r="F22" s="161">
        <f>E22*(1+'Assumptions-Overall'!$C$37)</f>
        <v>180.35300000000001</v>
      </c>
      <c r="G22" s="161">
        <f>F22*(1+'Assumptions-Overall'!$C$37)</f>
        <v>185.76359000000002</v>
      </c>
      <c r="H22" s="161">
        <f>G22*(1+'Assumptions-Overall'!$C$37)</f>
        <v>191.33649770000002</v>
      </c>
      <c r="I22" s="161">
        <f>H22*(1+'Assumptions-Overall'!$C$37)</f>
        <v>197.07659263100004</v>
      </c>
      <c r="J22" s="161">
        <f>I22*(1+'Assumptions-Overall'!$C$37)</f>
        <v>202.98889040993004</v>
      </c>
      <c r="K22" s="161">
        <f>J22*(1+'Assumptions-Overall'!$C$37)</f>
        <v>209.07855712222795</v>
      </c>
      <c r="L22" s="161">
        <f>K22*(1+'Assumptions-Overall'!$C$37)</f>
        <v>215.3509138358948</v>
      </c>
      <c r="M22" s="161">
        <f>L22*(1+'Assumptions-Overall'!$C$37)</f>
        <v>221.81144125097165</v>
      </c>
      <c r="N22" s="162">
        <f>'Assumptions-Hotel'!$I9</f>
        <v>170</v>
      </c>
    </row>
    <row r="23" spans="2:14" x14ac:dyDescent="0.65">
      <c r="B23" s="3" t="s">
        <v>241</v>
      </c>
      <c r="C23" s="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9"/>
    </row>
    <row r="24" spans="2:14" x14ac:dyDescent="0.65">
      <c r="B24" s="150" t="str">
        <f>B21</f>
        <v>Lifestyle Hotel</v>
      </c>
      <c r="C24" s="8"/>
      <c r="D24" s="128">
        <f>'Assumptions-Hotel'!$J8</f>
        <v>0.85</v>
      </c>
      <c r="E24" s="128">
        <f>'Assumptions-Hotel'!$J8</f>
        <v>0.85</v>
      </c>
      <c r="F24" s="128">
        <f>'Assumptions-Hotel'!$J8</f>
        <v>0.85</v>
      </c>
      <c r="G24" s="128">
        <f>'Assumptions-Hotel'!$J8</f>
        <v>0.85</v>
      </c>
      <c r="H24" s="128">
        <f>'Assumptions-Hotel'!$J8</f>
        <v>0.85</v>
      </c>
      <c r="I24" s="128">
        <f>'Assumptions-Hotel'!$J8</f>
        <v>0.85</v>
      </c>
      <c r="J24" s="128">
        <f>'Assumptions-Hotel'!$J8</f>
        <v>0.85</v>
      </c>
      <c r="K24" s="128">
        <f>'Assumptions-Hotel'!$J8</f>
        <v>0.85</v>
      </c>
      <c r="L24" s="128">
        <f>'Assumptions-Hotel'!$J8</f>
        <v>0.85</v>
      </c>
      <c r="M24" s="128">
        <f>'Assumptions-Hotel'!$J8</f>
        <v>0.85</v>
      </c>
      <c r="N24" s="163">
        <f>'Assumptions-Hotel'!$J8</f>
        <v>0.85</v>
      </c>
    </row>
    <row r="25" spans="2:14" x14ac:dyDescent="0.65">
      <c r="B25" s="150" t="str">
        <f>B22</f>
        <v>Professional Hotel</v>
      </c>
      <c r="C25" s="8"/>
      <c r="D25" s="128">
        <f>'Assumptions-Hotel'!$J9</f>
        <v>0.85</v>
      </c>
      <c r="E25" s="128">
        <f>'Assumptions-Hotel'!$J9</f>
        <v>0.85</v>
      </c>
      <c r="F25" s="128">
        <f>'Assumptions-Hotel'!$J9</f>
        <v>0.85</v>
      </c>
      <c r="G25" s="128">
        <f>'Assumptions-Hotel'!$J9</f>
        <v>0.85</v>
      </c>
      <c r="H25" s="128">
        <f>'Assumptions-Hotel'!$J9</f>
        <v>0.85</v>
      </c>
      <c r="I25" s="128">
        <f>'Assumptions-Hotel'!$J9</f>
        <v>0.85</v>
      </c>
      <c r="J25" s="128">
        <f>'Assumptions-Hotel'!$J9</f>
        <v>0.85</v>
      </c>
      <c r="K25" s="128">
        <f>'Assumptions-Hotel'!$J9</f>
        <v>0.85</v>
      </c>
      <c r="L25" s="128">
        <f>'Assumptions-Hotel'!$J9</f>
        <v>0.85</v>
      </c>
      <c r="M25" s="128">
        <f>'Assumptions-Hotel'!$J9</f>
        <v>0.85</v>
      </c>
      <c r="N25" s="163">
        <f>'Assumptions-Hotel'!$J9</f>
        <v>0.85</v>
      </c>
    </row>
    <row r="26" spans="2:14" x14ac:dyDescent="0.65">
      <c r="B26" s="3" t="s">
        <v>242</v>
      </c>
      <c r="C26" s="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9"/>
    </row>
    <row r="27" spans="2:14" x14ac:dyDescent="0.65">
      <c r="B27" s="150" t="str">
        <f>B24</f>
        <v>Lifestyle Hotel</v>
      </c>
      <c r="C27" s="8"/>
      <c r="D27" s="161">
        <f>D21*D24</f>
        <v>170</v>
      </c>
      <c r="E27" s="161">
        <f>E21*E24</f>
        <v>175.1</v>
      </c>
      <c r="F27" s="161">
        <f t="shared" ref="F27:N27" si="12">F21*F24</f>
        <v>180.35300000000001</v>
      </c>
      <c r="G27" s="161">
        <f t="shared" si="12"/>
        <v>185.76358999999999</v>
      </c>
      <c r="H27" s="161">
        <f t="shared" si="12"/>
        <v>191.3364977</v>
      </c>
      <c r="I27" s="161">
        <f t="shared" si="12"/>
        <v>197.07659263100001</v>
      </c>
      <c r="J27" s="161">
        <f t="shared" si="12"/>
        <v>202.98889040993001</v>
      </c>
      <c r="K27" s="161">
        <f t="shared" si="12"/>
        <v>209.07855712222789</v>
      </c>
      <c r="L27" s="161">
        <f t="shared" si="12"/>
        <v>215.35091383589474</v>
      </c>
      <c r="M27" s="161">
        <f t="shared" si="12"/>
        <v>221.8114412509716</v>
      </c>
      <c r="N27" s="162">
        <f t="shared" si="12"/>
        <v>170</v>
      </c>
    </row>
    <row r="28" spans="2:14" x14ac:dyDescent="0.65">
      <c r="B28" s="150" t="str">
        <f>B25</f>
        <v>Professional Hotel</v>
      </c>
      <c r="C28" s="8"/>
      <c r="D28" s="161">
        <f>D22*D25</f>
        <v>144.5</v>
      </c>
      <c r="E28" s="161">
        <f>E22*E25</f>
        <v>148.83499999999998</v>
      </c>
      <c r="F28" s="161">
        <f t="shared" ref="F28:N28" si="13">F22*F25</f>
        <v>153.30005</v>
      </c>
      <c r="G28" s="161">
        <f t="shared" si="13"/>
        <v>157.89905150000001</v>
      </c>
      <c r="H28" s="161">
        <f t="shared" si="13"/>
        <v>162.63602304500003</v>
      </c>
      <c r="I28" s="161">
        <f t="shared" si="13"/>
        <v>167.51510373635003</v>
      </c>
      <c r="J28" s="161">
        <f t="shared" si="13"/>
        <v>172.54055684844053</v>
      </c>
      <c r="K28" s="161">
        <f t="shared" si="13"/>
        <v>177.71677355389374</v>
      </c>
      <c r="L28" s="161">
        <f t="shared" si="13"/>
        <v>183.04827676051059</v>
      </c>
      <c r="M28" s="161">
        <f t="shared" si="13"/>
        <v>188.5397250633259</v>
      </c>
      <c r="N28" s="162">
        <f t="shared" si="13"/>
        <v>144.5</v>
      </c>
    </row>
    <row r="29" spans="2:14" x14ac:dyDescent="0.65">
      <c r="B29" s="3"/>
      <c r="C29" s="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9"/>
    </row>
    <row r="30" spans="2:14" x14ac:dyDescent="0.65">
      <c r="B30" s="36" t="s">
        <v>206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9"/>
    </row>
    <row r="31" spans="2:14" x14ac:dyDescent="0.65">
      <c r="B31" s="3" t="s">
        <v>236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9"/>
    </row>
    <row r="32" spans="2:14" x14ac:dyDescent="0.65">
      <c r="B32" s="150" t="str">
        <f>B16</f>
        <v>Lifestyle Hotel</v>
      </c>
      <c r="C32" s="8"/>
      <c r="D32" s="146">
        <f>D16*D21*D$9</f>
        <v>0</v>
      </c>
      <c r="E32" s="146">
        <f t="shared" ref="E32:N32" si="14">E16*E21*E$9</f>
        <v>0</v>
      </c>
      <c r="F32" s="146">
        <f t="shared" si="14"/>
        <v>0</v>
      </c>
      <c r="G32" s="146">
        <f t="shared" si="14"/>
        <v>0</v>
      </c>
      <c r="H32" s="146">
        <f t="shared" si="14"/>
        <v>0</v>
      </c>
      <c r="I32" s="146">
        <f t="shared" si="14"/>
        <v>0</v>
      </c>
      <c r="J32" s="146">
        <f t="shared" si="14"/>
        <v>0</v>
      </c>
      <c r="K32" s="146">
        <f t="shared" si="14"/>
        <v>0</v>
      </c>
      <c r="L32" s="146">
        <f t="shared" si="14"/>
        <v>0</v>
      </c>
      <c r="M32" s="146">
        <f t="shared" si="14"/>
        <v>0</v>
      </c>
      <c r="N32" s="151">
        <f t="shared" si="14"/>
        <v>0</v>
      </c>
    </row>
    <row r="33" spans="2:14" x14ac:dyDescent="0.65">
      <c r="B33" s="150" t="str">
        <f>B17</f>
        <v>Professional Hotel</v>
      </c>
      <c r="C33" s="8"/>
      <c r="D33" s="144">
        <f t="shared" ref="D33:N33" si="15">D17*D22*D$9</f>
        <v>0</v>
      </c>
      <c r="E33" s="144">
        <f t="shared" si="15"/>
        <v>0</v>
      </c>
      <c r="F33" s="144">
        <f t="shared" si="15"/>
        <v>0</v>
      </c>
      <c r="G33" s="144">
        <f t="shared" si="15"/>
        <v>0</v>
      </c>
      <c r="H33" s="144">
        <f t="shared" si="15"/>
        <v>69488632.552197501</v>
      </c>
      <c r="I33" s="144">
        <f t="shared" si="15"/>
        <v>71769382.73843129</v>
      </c>
      <c r="J33" s="144">
        <f t="shared" si="15"/>
        <v>73720490.274626344</v>
      </c>
      <c r="K33" s="144">
        <f t="shared" si="15"/>
        <v>75932104.98286514</v>
      </c>
      <c r="L33" s="144">
        <f t="shared" si="15"/>
        <v>78210068.132351086</v>
      </c>
      <c r="M33" s="144">
        <f t="shared" si="15"/>
        <v>80777072.560366347</v>
      </c>
      <c r="N33" s="152">
        <f t="shared" si="15"/>
        <v>61739750</v>
      </c>
    </row>
    <row r="34" spans="2:14" x14ac:dyDescent="0.65">
      <c r="B34" s="3" t="s">
        <v>238</v>
      </c>
      <c r="C34" s="8"/>
      <c r="D34" s="146">
        <f t="shared" ref="D34:N34" si="16">SUM(D32:D33)</f>
        <v>0</v>
      </c>
      <c r="E34" s="146">
        <f t="shared" si="16"/>
        <v>0</v>
      </c>
      <c r="F34" s="146">
        <f t="shared" si="16"/>
        <v>0</v>
      </c>
      <c r="G34" s="146">
        <f t="shared" si="16"/>
        <v>0</v>
      </c>
      <c r="H34" s="146">
        <f t="shared" si="16"/>
        <v>69488632.552197501</v>
      </c>
      <c r="I34" s="146">
        <f t="shared" si="16"/>
        <v>71769382.73843129</v>
      </c>
      <c r="J34" s="146">
        <f t="shared" si="16"/>
        <v>73720490.274626344</v>
      </c>
      <c r="K34" s="146">
        <f t="shared" si="16"/>
        <v>75932104.98286514</v>
      </c>
      <c r="L34" s="146">
        <f t="shared" si="16"/>
        <v>78210068.132351086</v>
      </c>
      <c r="M34" s="146">
        <f t="shared" si="16"/>
        <v>80777072.560366347</v>
      </c>
      <c r="N34" s="151">
        <f t="shared" si="16"/>
        <v>61739750</v>
      </c>
    </row>
    <row r="35" spans="2:14" x14ac:dyDescent="0.65">
      <c r="B35" s="3"/>
      <c r="C35" s="8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51"/>
    </row>
    <row r="36" spans="2:14" x14ac:dyDescent="0.65">
      <c r="B36" s="3" t="s">
        <v>244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9"/>
    </row>
    <row r="37" spans="2:14" x14ac:dyDescent="0.65">
      <c r="B37" s="150" t="str">
        <f>B32</f>
        <v>Lifestyle Hotel</v>
      </c>
      <c r="C37" s="8"/>
      <c r="D37" s="146">
        <f>D32*'Assumptions-Hotel'!$N$8</f>
        <v>0</v>
      </c>
      <c r="E37" s="146">
        <f>E32*'Assumptions-Hotel'!$N$8</f>
        <v>0</v>
      </c>
      <c r="F37" s="146">
        <f>F32*'Assumptions-Hotel'!$N$8</f>
        <v>0</v>
      </c>
      <c r="G37" s="146">
        <f>G32*'Assumptions-Hotel'!$N$8</f>
        <v>0</v>
      </c>
      <c r="H37" s="146">
        <f>H32*'Assumptions-Hotel'!$N$8</f>
        <v>0</v>
      </c>
      <c r="I37" s="146">
        <f>I32*'Assumptions-Hotel'!$N$8</f>
        <v>0</v>
      </c>
      <c r="J37" s="146">
        <f>J32*'Assumptions-Hotel'!$N$8</f>
        <v>0</v>
      </c>
      <c r="K37" s="146">
        <f>K32*'Assumptions-Hotel'!$N$8</f>
        <v>0</v>
      </c>
      <c r="L37" s="146">
        <f>L32*'Assumptions-Hotel'!$N$8</f>
        <v>0</v>
      </c>
      <c r="M37" s="146">
        <f>M32*'Assumptions-Hotel'!$N$8</f>
        <v>0</v>
      </c>
      <c r="N37" s="151">
        <f>N32*'Assumptions-Hotel'!$N$8</f>
        <v>0</v>
      </c>
    </row>
    <row r="38" spans="2:14" x14ac:dyDescent="0.65">
      <c r="B38" s="150" t="str">
        <f>B33</f>
        <v>Professional Hotel</v>
      </c>
      <c r="C38" s="8"/>
      <c r="D38" s="144">
        <f>D33*'Assumptions-Hotel'!$N$8</f>
        <v>0</v>
      </c>
      <c r="E38" s="144">
        <f>E33*'Assumptions-Hotel'!$N$8</f>
        <v>0</v>
      </c>
      <c r="F38" s="144">
        <f>F33*'Assumptions-Hotel'!$N$8</f>
        <v>0</v>
      </c>
      <c r="G38" s="144">
        <f>G33*'Assumptions-Hotel'!$N$8</f>
        <v>0</v>
      </c>
      <c r="H38" s="144">
        <f>H33*'Assumptions-Hotel'!$N$8</f>
        <v>20846589.76565925</v>
      </c>
      <c r="I38" s="144">
        <f>I33*'Assumptions-Hotel'!$N$8</f>
        <v>21530814.821529385</v>
      </c>
      <c r="J38" s="144">
        <f>J33*'Assumptions-Hotel'!$N$8</f>
        <v>22116147.082387902</v>
      </c>
      <c r="K38" s="144">
        <f>K33*'Assumptions-Hotel'!$N$8</f>
        <v>22779631.494859543</v>
      </c>
      <c r="L38" s="144">
        <f>L33*'Assumptions-Hotel'!$N$8</f>
        <v>23463020.439705323</v>
      </c>
      <c r="M38" s="144">
        <f>M33*'Assumptions-Hotel'!$N$8</f>
        <v>24233121.768109903</v>
      </c>
      <c r="N38" s="152">
        <f>N33*'Assumptions-Hotel'!$N$8</f>
        <v>18521925</v>
      </c>
    </row>
    <row r="39" spans="2:14" x14ac:dyDescent="0.65">
      <c r="B39" s="3" t="s">
        <v>245</v>
      </c>
      <c r="C39" s="8"/>
      <c r="D39" s="146">
        <f t="shared" ref="D39:N39" si="17">SUM(D37:D38)</f>
        <v>0</v>
      </c>
      <c r="E39" s="146">
        <f t="shared" si="17"/>
        <v>0</v>
      </c>
      <c r="F39" s="146">
        <f t="shared" si="17"/>
        <v>0</v>
      </c>
      <c r="G39" s="146">
        <f t="shared" si="17"/>
        <v>0</v>
      </c>
      <c r="H39" s="146">
        <f t="shared" si="17"/>
        <v>20846589.76565925</v>
      </c>
      <c r="I39" s="146">
        <f t="shared" si="17"/>
        <v>21530814.821529385</v>
      </c>
      <c r="J39" s="146">
        <f t="shared" si="17"/>
        <v>22116147.082387902</v>
      </c>
      <c r="K39" s="146">
        <f t="shared" si="17"/>
        <v>22779631.494859543</v>
      </c>
      <c r="L39" s="146">
        <f t="shared" si="17"/>
        <v>23463020.439705323</v>
      </c>
      <c r="M39" s="146">
        <f t="shared" si="17"/>
        <v>24233121.768109903</v>
      </c>
      <c r="N39" s="151">
        <f t="shared" si="17"/>
        <v>18521925</v>
      </c>
    </row>
    <row r="40" spans="2:14" x14ac:dyDescent="0.65">
      <c r="B40" s="3"/>
      <c r="C40" s="8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51"/>
    </row>
    <row r="41" spans="2:14" x14ac:dyDescent="0.65">
      <c r="B41" s="3" t="s">
        <v>246</v>
      </c>
      <c r="C41" s="8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51"/>
    </row>
    <row r="42" spans="2:14" x14ac:dyDescent="0.65">
      <c r="B42" s="150" t="str">
        <f>B37</f>
        <v>Lifestyle Hotel</v>
      </c>
      <c r="C42" s="8"/>
      <c r="D42" s="146">
        <f>D32*'Assumptions-Hotel'!$N$9</f>
        <v>0</v>
      </c>
      <c r="E42" s="146">
        <f>E32*'Assumptions-Hotel'!$N$9</f>
        <v>0</v>
      </c>
      <c r="F42" s="146">
        <f>F32*'Assumptions-Hotel'!$N$9</f>
        <v>0</v>
      </c>
      <c r="G42" s="146">
        <f>G32*'Assumptions-Hotel'!$N$9</f>
        <v>0</v>
      </c>
      <c r="H42" s="146">
        <f>H32*'Assumptions-Hotel'!$N$9</f>
        <v>0</v>
      </c>
      <c r="I42" s="146">
        <f>I32*'Assumptions-Hotel'!$N$9</f>
        <v>0</v>
      </c>
      <c r="J42" s="146">
        <f>J32*'Assumptions-Hotel'!$N$9</f>
        <v>0</v>
      </c>
      <c r="K42" s="146">
        <f>K32*'Assumptions-Hotel'!$N$9</f>
        <v>0</v>
      </c>
      <c r="L42" s="146">
        <f>L32*'Assumptions-Hotel'!$N$9</f>
        <v>0</v>
      </c>
      <c r="M42" s="146">
        <f>M32*'Assumptions-Hotel'!$N$9</f>
        <v>0</v>
      </c>
      <c r="N42" s="151">
        <f>N32*'Assumptions-Hotel'!$N$9</f>
        <v>0</v>
      </c>
    </row>
    <row r="43" spans="2:14" x14ac:dyDescent="0.65">
      <c r="B43" s="150" t="str">
        <f>B38</f>
        <v>Professional Hotel</v>
      </c>
      <c r="C43" s="8"/>
      <c r="D43" s="144">
        <f>D33*'Assumptions-Hotel'!$N$9</f>
        <v>0</v>
      </c>
      <c r="E43" s="144">
        <f>E33*'Assumptions-Hotel'!$N$9</f>
        <v>0</v>
      </c>
      <c r="F43" s="144">
        <f>F33*'Assumptions-Hotel'!$N$9</f>
        <v>0</v>
      </c>
      <c r="G43" s="144">
        <f>G33*'Assumptions-Hotel'!$N$9</f>
        <v>0</v>
      </c>
      <c r="H43" s="144">
        <f>H33*'Assumptions-Hotel'!$N$9</f>
        <v>3474431.6276098751</v>
      </c>
      <c r="I43" s="144">
        <f>I33*'Assumptions-Hotel'!$N$9</f>
        <v>3588469.1369215646</v>
      </c>
      <c r="J43" s="144">
        <f>J33*'Assumptions-Hotel'!$N$9</f>
        <v>3686024.5137313176</v>
      </c>
      <c r="K43" s="144">
        <f>K33*'Assumptions-Hotel'!$N$9</f>
        <v>3796605.2491432573</v>
      </c>
      <c r="L43" s="144">
        <f>L33*'Assumptions-Hotel'!$N$9</f>
        <v>3910503.4066175544</v>
      </c>
      <c r="M43" s="144">
        <f>M33*'Assumptions-Hotel'!$N$9</f>
        <v>4038853.6280183177</v>
      </c>
      <c r="N43" s="152">
        <f>N33*'Assumptions-Hotel'!$N$9</f>
        <v>3086987.5</v>
      </c>
    </row>
    <row r="44" spans="2:14" x14ac:dyDescent="0.65">
      <c r="B44" s="3" t="s">
        <v>250</v>
      </c>
      <c r="C44" s="8"/>
      <c r="D44" s="146">
        <f t="shared" ref="D44:N44" si="18">SUM(D42:D43)</f>
        <v>0</v>
      </c>
      <c r="E44" s="146">
        <f t="shared" si="18"/>
        <v>0</v>
      </c>
      <c r="F44" s="146">
        <f t="shared" si="18"/>
        <v>0</v>
      </c>
      <c r="G44" s="146">
        <f t="shared" si="18"/>
        <v>0</v>
      </c>
      <c r="H44" s="146">
        <f t="shared" si="18"/>
        <v>3474431.6276098751</v>
      </c>
      <c r="I44" s="146">
        <f t="shared" si="18"/>
        <v>3588469.1369215646</v>
      </c>
      <c r="J44" s="146">
        <f t="shared" si="18"/>
        <v>3686024.5137313176</v>
      </c>
      <c r="K44" s="146">
        <f t="shared" si="18"/>
        <v>3796605.2491432573</v>
      </c>
      <c r="L44" s="146">
        <f t="shared" si="18"/>
        <v>3910503.4066175544</v>
      </c>
      <c r="M44" s="146">
        <f t="shared" si="18"/>
        <v>4038853.6280183177</v>
      </c>
      <c r="N44" s="151">
        <f t="shared" si="18"/>
        <v>3086987.5</v>
      </c>
    </row>
    <row r="45" spans="2:14" x14ac:dyDescent="0.65">
      <c r="B45" s="3"/>
      <c r="C45" s="8"/>
      <c r="D45" s="146"/>
      <c r="E45" s="146"/>
      <c r="F45" s="146"/>
      <c r="G45" s="146"/>
      <c r="H45" s="128"/>
      <c r="I45" s="146"/>
      <c r="J45" s="146"/>
      <c r="K45" s="146"/>
      <c r="L45" s="146"/>
      <c r="M45" s="146"/>
      <c r="N45" s="151"/>
    </row>
    <row r="46" spans="2:14" x14ac:dyDescent="0.65">
      <c r="B46" s="3" t="s">
        <v>247</v>
      </c>
      <c r="C46" s="8"/>
      <c r="D46" s="145">
        <f t="shared" ref="D46:N46" si="19">D34+D39+D44</f>
        <v>0</v>
      </c>
      <c r="E46" s="145">
        <f t="shared" si="19"/>
        <v>0</v>
      </c>
      <c r="F46" s="145">
        <f t="shared" si="19"/>
        <v>0</v>
      </c>
      <c r="G46" s="145">
        <f t="shared" si="19"/>
        <v>0</v>
      </c>
      <c r="H46" s="145">
        <f t="shared" si="19"/>
        <v>93809653.945466638</v>
      </c>
      <c r="I46" s="145">
        <f t="shared" si="19"/>
        <v>96888666.696882248</v>
      </c>
      <c r="J46" s="145">
        <f t="shared" si="19"/>
        <v>99522661.870745555</v>
      </c>
      <c r="K46" s="145">
        <f t="shared" si="19"/>
        <v>102508341.72686794</v>
      </c>
      <c r="L46" s="145">
        <f t="shared" si="19"/>
        <v>105583591.97867396</v>
      </c>
      <c r="M46" s="145">
        <f t="shared" si="19"/>
        <v>109049047.95649457</v>
      </c>
      <c r="N46" s="153">
        <f t="shared" si="19"/>
        <v>83348662.5</v>
      </c>
    </row>
    <row r="47" spans="2:14" x14ac:dyDescent="0.65">
      <c r="B47" s="3"/>
      <c r="C47" s="8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51"/>
    </row>
    <row r="48" spans="2:14" x14ac:dyDescent="0.65">
      <c r="B48" s="3" t="s">
        <v>128</v>
      </c>
      <c r="C48" s="8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51"/>
    </row>
    <row r="49" spans="2:14" x14ac:dyDescent="0.65">
      <c r="B49" s="150" t="s">
        <v>249</v>
      </c>
      <c r="C49" s="8"/>
      <c r="D49" s="146">
        <f>-SUM(D16:D17)*'Assumptions-Hotel'!$N$16*(1+'Assumptions-Overall'!$C$39)^('CashFlow-Hotel'!D$7-1)</f>
        <v>0</v>
      </c>
      <c r="E49" s="146">
        <f>-SUM(E16:E17)*'Assumptions-Hotel'!$N$16*(1+'Assumptions-Overall'!$C$39)^('CashFlow-Hotel'!E$7-1)</f>
        <v>0</v>
      </c>
      <c r="F49" s="146">
        <f>-SUM(F16:F17)*'Assumptions-Hotel'!$N$16*(1+'Assumptions-Overall'!$C$39)^('CashFlow-Hotel'!F$7-1)</f>
        <v>0</v>
      </c>
      <c r="G49" s="146">
        <f>-SUM(G16:G17)*'Assumptions-Hotel'!$N$16*(1+'Assumptions-Overall'!$C$39)^('CashFlow-Hotel'!G$7-1)</f>
        <v>0</v>
      </c>
      <c r="H49" s="146">
        <f>-SUM(H16:H17)*'Assumptions-Hotel'!$N$16*(1+'Assumptions-Overall'!$C$39)^('CashFlow-Hotel'!H$7-1)</f>
        <v>-38568710.799318001</v>
      </c>
      <c r="I49" s="146">
        <f>-SUM(I16:I17)*'Assumptions-Hotel'!$N$16*(1+'Assumptions-Overall'!$C$39)^('CashFlow-Hotel'!I$7-1)</f>
        <v>-39725772.123297535</v>
      </c>
      <c r="J49" s="146">
        <f>-SUM(J16:J17)*'Assumptions-Hotel'!$N$16*(1+'Assumptions-Overall'!$C$39)^('CashFlow-Hotel'!J$7-1)</f>
        <v>-40917545.286996461</v>
      </c>
      <c r="K49" s="146">
        <f>-SUM(K16:K17)*'Assumptions-Hotel'!$N$16*(1+'Assumptions-Overall'!$C$39)^('CashFlow-Hotel'!K$7-1)</f>
        <v>-42145071.645606361</v>
      </c>
      <c r="L49" s="146">
        <f>-SUM(L16:L17)*'Assumptions-Hotel'!$N$16*(1+'Assumptions-Overall'!$C$39)^('CashFlow-Hotel'!L$7-1)</f>
        <v>-43409423.794974543</v>
      </c>
      <c r="M49" s="146">
        <f>-SUM(M16:M17)*'Assumptions-Hotel'!$N$16*(1+'Assumptions-Overall'!$C$39)^('CashFlow-Hotel'!M$7-1)</f>
        <v>-44711706.508823782</v>
      </c>
      <c r="N49" s="151">
        <f>-SUM(N16:N17)*'Assumptions-Hotel'!$N$16*(1+'Assumptions-Overall'!$C$39)^('CashFlow-Hotel'!N$7-1)</f>
        <v>-46053057.704088494</v>
      </c>
    </row>
    <row r="50" spans="2:14" x14ac:dyDescent="0.65">
      <c r="B50" s="150" t="s">
        <v>248</v>
      </c>
      <c r="C50" s="8"/>
      <c r="D50" s="146">
        <f>-D39*(1-'Assumptions-Hotel'!$N$8)</f>
        <v>0</v>
      </c>
      <c r="E50" s="146">
        <f>-E39*(1-'Assumptions-Hotel'!$N$8)</f>
        <v>0</v>
      </c>
      <c r="F50" s="146">
        <f>-F39*(1-'Assumptions-Hotel'!$N$8)</f>
        <v>0</v>
      </c>
      <c r="G50" s="146">
        <f>-G39*(1-'Assumptions-Hotel'!$N$8)</f>
        <v>0</v>
      </c>
      <c r="H50" s="146">
        <f>-H39*(1-'Assumptions-Hotel'!$N$8)</f>
        <v>-14592612.835961474</v>
      </c>
      <c r="I50" s="146">
        <f>-I39*(1-'Assumptions-Hotel'!$N$8)</f>
        <v>-15071570.375070568</v>
      </c>
      <c r="J50" s="146">
        <f>-J39*(1-'Assumptions-Hotel'!$N$8)</f>
        <v>-15481302.957671531</v>
      </c>
      <c r="K50" s="146">
        <f>-K39*(1-'Assumptions-Hotel'!$N$8)</f>
        <v>-15945742.04640168</v>
      </c>
      <c r="L50" s="146">
        <f>-L39*(1-'Assumptions-Hotel'!$N$8)</f>
        <v>-16424114.307793725</v>
      </c>
      <c r="M50" s="146">
        <f>-M39*(1-'Assumptions-Hotel'!$N$8)</f>
        <v>-16963185.23767693</v>
      </c>
      <c r="N50" s="151">
        <f>-N39*(1-'Assumptions-Hotel'!$N$8)</f>
        <v>-12965347.5</v>
      </c>
    </row>
    <row r="51" spans="2:14" x14ac:dyDescent="0.65">
      <c r="B51" s="150" t="s">
        <v>246</v>
      </c>
      <c r="C51" s="8"/>
      <c r="D51" s="144">
        <f>-D44*(1-'Assumptions-Hotel'!$N$9)</f>
        <v>0</v>
      </c>
      <c r="E51" s="144">
        <f>-E44*(1-'Assumptions-Hotel'!$N$9)</f>
        <v>0</v>
      </c>
      <c r="F51" s="144">
        <f>-F44*(1-'Assumptions-Hotel'!$N$9)</f>
        <v>0</v>
      </c>
      <c r="G51" s="144">
        <f>-G44*(1-'Assumptions-Hotel'!$N$9)</f>
        <v>0</v>
      </c>
      <c r="H51" s="144">
        <f>-H44*(1-'Assumptions-Hotel'!$N$9)</f>
        <v>-3300710.0462293811</v>
      </c>
      <c r="I51" s="144">
        <f>-I44*(1-'Assumptions-Hotel'!$N$9)</f>
        <v>-3409045.6800754862</v>
      </c>
      <c r="J51" s="144">
        <f>-J44*(1-'Assumptions-Hotel'!$N$9)</f>
        <v>-3501723.2880447516</v>
      </c>
      <c r="K51" s="144">
        <f>-K44*(1-'Assumptions-Hotel'!$N$9)</f>
        <v>-3606774.9866860942</v>
      </c>
      <c r="L51" s="144">
        <f>-L44*(1-'Assumptions-Hotel'!$N$9)</f>
        <v>-3714978.2362866765</v>
      </c>
      <c r="M51" s="144">
        <f>-M44*(1-'Assumptions-Hotel'!$N$9)</f>
        <v>-3836910.9466174017</v>
      </c>
      <c r="N51" s="152">
        <f>-N44*(1-'Assumptions-Hotel'!$N$9)</f>
        <v>-2932638.125</v>
      </c>
    </row>
    <row r="52" spans="2:14" x14ac:dyDescent="0.65">
      <c r="B52" s="3" t="s">
        <v>207</v>
      </c>
      <c r="C52" s="8"/>
      <c r="D52" s="146">
        <f>SUM(D49:D51)</f>
        <v>0</v>
      </c>
      <c r="E52" s="146">
        <f t="shared" ref="E52" si="20">SUM(E49:E51)</f>
        <v>0</v>
      </c>
      <c r="F52" s="146">
        <f t="shared" ref="F52" si="21">SUM(F49:F51)</f>
        <v>0</v>
      </c>
      <c r="G52" s="146">
        <f t="shared" ref="G52" si="22">SUM(G49:G51)</f>
        <v>0</v>
      </c>
      <c r="H52" s="146">
        <f t="shared" ref="H52" si="23">SUM(H49:H51)</f>
        <v>-56462033.681508854</v>
      </c>
      <c r="I52" s="146">
        <f t="shared" ref="I52" si="24">SUM(I49:I51)</f>
        <v>-58206388.178443588</v>
      </c>
      <c r="J52" s="146">
        <f t="shared" ref="J52" si="25">SUM(J49:J51)</f>
        <v>-59900571.532712743</v>
      </c>
      <c r="K52" s="146">
        <f t="shared" ref="K52" si="26">SUM(K49:K51)</f>
        <v>-61697588.678694136</v>
      </c>
      <c r="L52" s="146">
        <f t="shared" ref="L52" si="27">SUM(L49:L51)</f>
        <v>-63548516.33905495</v>
      </c>
      <c r="M52" s="146">
        <f t="shared" ref="M52" si="28">SUM(M49:M51)</f>
        <v>-65511802.693118118</v>
      </c>
      <c r="N52" s="151">
        <f t="shared" ref="N52" si="29">SUM(N49:N51)</f>
        <v>-61951043.329088494</v>
      </c>
    </row>
    <row r="53" spans="2:14" x14ac:dyDescent="0.65">
      <c r="B53" s="3"/>
      <c r="C53" s="8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51"/>
    </row>
    <row r="54" spans="2:14" x14ac:dyDescent="0.65">
      <c r="B54" s="3" t="s">
        <v>189</v>
      </c>
      <c r="C54" s="8"/>
      <c r="D54" s="146">
        <f>-SUM(D16:D17)*'Assumptions-Hotel'!$N$17*(1+'Assumptions-Overall'!$C$40)^('CashFlow-Hotel'!D$7-1)</f>
        <v>0</v>
      </c>
      <c r="E54" s="146">
        <f>-SUM(E16:E17)*'Assumptions-Hotel'!$N$17*(1+'Assumptions-Overall'!$C$40)^('CashFlow-Hotel'!E$7-1)</f>
        <v>0</v>
      </c>
      <c r="F54" s="146">
        <f>-SUM(F16:F17)*'Assumptions-Hotel'!$N$17*(1+'Assumptions-Overall'!$C$40)^('CashFlow-Hotel'!F$7-1)</f>
        <v>0</v>
      </c>
      <c r="G54" s="146">
        <f>-SUM(G16:G17)*'Assumptions-Hotel'!$N$17*(1+'Assumptions-Overall'!$C$40)^('CashFlow-Hotel'!G$7-1)</f>
        <v>0</v>
      </c>
      <c r="H54" s="146">
        <f>-SUM(H16:H17)*'Assumptions-Hotel'!$N$17*(1+'Assumptions-Overall'!$C$40)^('CashFlow-Hotel'!H$7-1)</f>
        <v>-11198812.659499999</v>
      </c>
      <c r="I54" s="146">
        <f>-SUM(I16:I17)*'Assumptions-Hotel'!$N$17*(1+'Assumptions-Overall'!$C$40)^('CashFlow-Hotel'!I$7-1)</f>
        <v>-11534777.039284999</v>
      </c>
      <c r="J54" s="146">
        <f>-SUM(J16:J17)*'Assumptions-Hotel'!$N$17*(1+'Assumptions-Overall'!$C$40)^('CashFlow-Hotel'!J$7-1)</f>
        <v>-11880820.350463549</v>
      </c>
      <c r="K54" s="146">
        <f>-SUM(K16:K17)*'Assumptions-Hotel'!$N$17*(1+'Assumptions-Overall'!$C$40)^('CashFlow-Hotel'!K$7-1)</f>
        <v>-12237244.960977456</v>
      </c>
      <c r="L54" s="146">
        <f>-SUM(L16:L17)*'Assumptions-Hotel'!$N$17*(1+'Assumptions-Overall'!$C$40)^('CashFlow-Hotel'!L$7-1)</f>
        <v>-12604362.309806779</v>
      </c>
      <c r="M54" s="146">
        <f>-SUM(M16:M17)*'Assumptions-Hotel'!$N$17*(1+'Assumptions-Overall'!$C$40)^('CashFlow-Hotel'!M$7-1)</f>
        <v>-12982493.179100983</v>
      </c>
      <c r="N54" s="151">
        <f>-SUM(N16:N17)*'Assumptions-Hotel'!$N$17*(1+'Assumptions-Overall'!$C$40)^('CashFlow-Hotel'!N$7-1)</f>
        <v>-13371967.974474011</v>
      </c>
    </row>
    <row r="55" spans="2:14" x14ac:dyDescent="0.65">
      <c r="B55" s="3"/>
      <c r="C55" s="8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51"/>
    </row>
    <row r="56" spans="2:14" x14ac:dyDescent="0.65">
      <c r="B56" s="3" t="s">
        <v>209</v>
      </c>
      <c r="C56" s="8"/>
      <c r="D56" s="145">
        <f>SUM(D46)+D52+D54</f>
        <v>0</v>
      </c>
      <c r="E56" s="145">
        <f t="shared" ref="E56:K56" si="30">SUM(E46)+E52+E54</f>
        <v>0</v>
      </c>
      <c r="F56" s="145">
        <f t="shared" si="30"/>
        <v>0</v>
      </c>
      <c r="G56" s="145">
        <f t="shared" si="30"/>
        <v>0</v>
      </c>
      <c r="H56" s="145">
        <f t="shared" si="30"/>
        <v>26148807.604457784</v>
      </c>
      <c r="I56" s="145">
        <f t="shared" si="30"/>
        <v>27147501.479153663</v>
      </c>
      <c r="J56" s="145">
        <f t="shared" si="30"/>
        <v>27741269.987569265</v>
      </c>
      <c r="K56" s="145">
        <f t="shared" si="30"/>
        <v>28573508.08719635</v>
      </c>
      <c r="L56" s="145">
        <f>SUM(L46)+L52+L54</f>
        <v>29430713.329812236</v>
      </c>
      <c r="M56" s="145">
        <f t="shared" ref="M56:N56" si="31">SUM(M46)+M52+M54</f>
        <v>30554752.084275469</v>
      </c>
      <c r="N56" s="153">
        <f t="shared" si="31"/>
        <v>8025651.1964374948</v>
      </c>
    </row>
    <row r="57" spans="2:14" x14ac:dyDescent="0.65">
      <c r="B57" s="3"/>
      <c r="C57" s="8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59"/>
    </row>
    <row r="58" spans="2:14" x14ac:dyDescent="0.65">
      <c r="B58" s="3" t="s">
        <v>208</v>
      </c>
      <c r="C58" s="8"/>
      <c r="D58" s="145">
        <f t="shared" ref="D58:M58" si="32">SUM(D56:D57)</f>
        <v>0</v>
      </c>
      <c r="E58" s="145">
        <f t="shared" si="32"/>
        <v>0</v>
      </c>
      <c r="F58" s="145">
        <f t="shared" si="32"/>
        <v>0</v>
      </c>
      <c r="G58" s="145">
        <f t="shared" si="32"/>
        <v>0</v>
      </c>
      <c r="H58" s="145">
        <f t="shared" si="32"/>
        <v>26148807.604457784</v>
      </c>
      <c r="I58" s="145">
        <f t="shared" si="32"/>
        <v>27147501.479153663</v>
      </c>
      <c r="J58" s="145">
        <f t="shared" si="32"/>
        <v>27741269.987569265</v>
      </c>
      <c r="K58" s="145">
        <f t="shared" si="32"/>
        <v>28573508.08719635</v>
      </c>
      <c r="L58" s="145">
        <f t="shared" si="32"/>
        <v>29430713.329812236</v>
      </c>
      <c r="M58" s="145">
        <f t="shared" si="32"/>
        <v>30554752.084275469</v>
      </c>
      <c r="N58" s="151"/>
    </row>
    <row r="59" spans="2:14" x14ac:dyDescent="0.65">
      <c r="B59" s="3"/>
      <c r="C59" s="8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51"/>
    </row>
    <row r="60" spans="2:14" x14ac:dyDescent="0.65">
      <c r="B60" s="36" t="s">
        <v>130</v>
      </c>
      <c r="C60" s="8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51"/>
    </row>
    <row r="61" spans="2:14" x14ac:dyDescent="0.65">
      <c r="B61" s="3" t="s">
        <v>210</v>
      </c>
      <c r="C61" s="8"/>
      <c r="D61" s="146">
        <f>-(AND(D$8&gt;=YEAR(PhaseIConBegin),D$8&lt;=YEAR(PhaseIConEnd)))*SUM($D13:$N13)*SUM('Assumptions-Overall'!$J$28)*(1+'Assumptions-Overall'!$C$41)^('CashFlow-Hotel'!D$7-1)/(YEAR(PhaseIConEnd)-YEAR(PhaseIConBegin)+1)</f>
        <v>0</v>
      </c>
      <c r="E61" s="146">
        <f>-(AND(E$8&gt;=YEAR(PhaseIConBegin),E$8&lt;=YEAR(PhaseIConEnd)))*SUM($D13:$N13)*SUM('Assumptions-Overall'!$J$28)*(1+'Assumptions-Overall'!$C$41)^('CashFlow-Hotel'!E$7-1)/(YEAR(PhaseIConEnd)-YEAR(PhaseIConBegin)+1)</f>
        <v>0</v>
      </c>
      <c r="F61" s="146">
        <f>-(AND(F$8&gt;=YEAR(PhaseIConBegin),F$8&lt;=YEAR(PhaseIConEnd)))*SUM($D13:$N13)*SUM('Assumptions-Overall'!$J$28)*(1+'Assumptions-Overall'!$C$41)^('CashFlow-Hotel'!F$7-1)/(YEAR(PhaseIConEnd)-YEAR(PhaseIConBegin)+1)</f>
        <v>-33153125</v>
      </c>
      <c r="G61" s="146">
        <f>-(AND(G$8&gt;=YEAR(PhaseIConBegin),G$8&lt;=YEAR(PhaseIConEnd)))*SUM($D13:$N13)*SUM('Assumptions-Overall'!$J$28)*(1+'Assumptions-Overall'!$C$41)^('CashFlow-Hotel'!G$7-1)/(YEAR(PhaseIConEnd)-YEAR(PhaseIConBegin)+1)</f>
        <v>-34147718.75</v>
      </c>
      <c r="H61" s="146">
        <f>-(AND(H$8&gt;=YEAR(PhaseIConBegin),H$8&lt;=YEAR(PhaseIConEnd)))*SUM($D13:$N13)*SUM('Assumptions-Overall'!$J$28)*(1+'Assumptions-Overall'!$C$41)^('CashFlow-Hotel'!H$7-1)/(YEAR(PhaseIConEnd)-YEAR(PhaseIConBegin)+1)</f>
        <v>0</v>
      </c>
      <c r="I61" s="146">
        <f>-(AND(I$8&gt;=YEAR(PhaseIConBegin),I$8&lt;=YEAR(PhaseIConEnd)))*SUM($D13:$N13)*SUM('Assumptions-Overall'!$J$28)*(1+'Assumptions-Overall'!$C$41)^('CashFlow-Hotel'!I$7-1)/(YEAR(PhaseIConEnd)-YEAR(PhaseIConBegin)+1)</f>
        <v>0</v>
      </c>
      <c r="J61" s="146">
        <f>-(AND(J$8&gt;=YEAR(PhaseIConBegin),J$8&lt;=YEAR(PhaseIConEnd)))*SUM($D13:$N13)*SUM('Assumptions-Overall'!$J$28)*(1+'Assumptions-Overall'!$C$41)^('CashFlow-Hotel'!J$7-1)/(YEAR(PhaseIConEnd)-YEAR(PhaseIConBegin)+1)</f>
        <v>0</v>
      </c>
      <c r="K61" s="146">
        <f>-(AND(K$8&gt;=YEAR(PhaseIConBegin),K$8&lt;=YEAR(PhaseIConEnd)))*SUM($D13:$N13)*SUM('Assumptions-Overall'!$J$28)*(1+'Assumptions-Overall'!$C$41)^('CashFlow-Hotel'!K$7-1)/(YEAR(PhaseIConEnd)-YEAR(PhaseIConBegin)+1)</f>
        <v>0</v>
      </c>
      <c r="L61" s="146">
        <f>-(AND(L$8&gt;=YEAR(PhaseIConBegin),L$8&lt;=YEAR(PhaseIConEnd)))*SUM($D13:$N13)*SUM('Assumptions-Overall'!$J$28)*(1+'Assumptions-Overall'!$C$41)^('CashFlow-Hotel'!L$7-1)/(YEAR(PhaseIConEnd)-YEAR(PhaseIConBegin)+1)</f>
        <v>0</v>
      </c>
      <c r="M61" s="146">
        <f>-(AND(M$8&gt;=YEAR(PhaseIConBegin),M$8&lt;=YEAR(PhaseIConEnd)))*SUM($D13:$N13)*SUM('Assumptions-Overall'!$J$28)*(1+'Assumptions-Overall'!$C$41)^('CashFlow-Hotel'!M$7-1)/(YEAR(PhaseIConEnd)-YEAR(PhaseIConBegin)+1)</f>
        <v>0</v>
      </c>
      <c r="N61" s="151"/>
    </row>
    <row r="62" spans="2:14" x14ac:dyDescent="0.65">
      <c r="B62" s="3" t="s">
        <v>211</v>
      </c>
      <c r="C62" s="8"/>
      <c r="D62" s="146">
        <f>(AND(D$8&gt;=YEAR(PhaseIPreconBegin),D$8&lt;=YEAR(PhaseIConEnd)))*SUM($D61:$N61)*'Assumptions-Overall'!$H$43/(YEAR(PhaseIConEnd)-YEAR(PhaseIPreconBegin)+1)</f>
        <v>-1009512.65625</v>
      </c>
      <c r="E62" s="146">
        <f>(AND(E$8&gt;=YEAR(PhaseIPreconBegin),E$8&lt;=YEAR(PhaseIConEnd)))*SUM($D61:$N61)*'Assumptions-Overall'!$H$43/(YEAR(PhaseIConEnd)-YEAR(PhaseIPreconBegin)+1)</f>
        <v>-1009512.65625</v>
      </c>
      <c r="F62" s="146">
        <f>(AND(F$8&gt;=YEAR(PhaseIPreconBegin),F$8&lt;=YEAR(PhaseIConEnd)))*SUM($D61:$N61)*'Assumptions-Overall'!$H$43/(YEAR(PhaseIConEnd)-YEAR(PhaseIPreconBegin)+1)</f>
        <v>-1009512.65625</v>
      </c>
      <c r="G62" s="146">
        <f>(AND(G$8&gt;=YEAR(PhaseIPreconBegin),G$8&lt;=YEAR(PhaseIConEnd)))*SUM($D61:$N61)*'Assumptions-Overall'!$H$43/(YEAR(PhaseIConEnd)-YEAR(PhaseIPreconBegin)+1)</f>
        <v>-1009512.65625</v>
      </c>
      <c r="H62" s="146">
        <f>(AND(H$8&gt;=YEAR(PhaseIPreconBegin),H$8&lt;=YEAR(PhaseIConEnd)))*SUM($D61:$N61)*'Assumptions-Overall'!$H$43/(YEAR(PhaseIConEnd)-YEAR(PhaseIPreconBegin)+1)</f>
        <v>0</v>
      </c>
      <c r="I62" s="146">
        <f>(AND(I$8&gt;=YEAR(PhaseIPreconBegin),I$8&lt;=YEAR(PhaseIConEnd)))*SUM($D61:$N61)*'Assumptions-Overall'!$H$43/(YEAR(PhaseIConEnd)-YEAR(PhaseIPreconBegin)+1)</f>
        <v>0</v>
      </c>
      <c r="J62" s="146">
        <f>(AND(J$8&gt;=YEAR(PhaseIPreconBegin),J$8&lt;=YEAR(PhaseIConEnd)))*SUM($D61:$N61)*'Assumptions-Overall'!$H$43/(YEAR(PhaseIConEnd)-YEAR(PhaseIPreconBegin)+1)</f>
        <v>0</v>
      </c>
      <c r="K62" s="146">
        <f>(AND(K$8&gt;=YEAR(PhaseIPreconBegin),K$8&lt;=YEAR(PhaseIConEnd)))*SUM($D61:$N61)*'Assumptions-Overall'!$H$43/(YEAR(PhaseIConEnd)-YEAR(PhaseIPreconBegin)+1)</f>
        <v>0</v>
      </c>
      <c r="L62" s="146">
        <f>(AND(L$8&gt;=YEAR(PhaseIPreconBegin),L$8&lt;=YEAR(PhaseIConEnd)))*SUM($D61:$N61)*'Assumptions-Overall'!$H$43/(YEAR(PhaseIConEnd)-YEAR(PhaseIPreconBegin)+1)</f>
        <v>0</v>
      </c>
      <c r="M62" s="146">
        <f>(AND(M$8&gt;=YEAR(PhaseIPreconBegin),M$8&lt;=YEAR(PhaseIConEnd)))*SUM($D61:$N61)*'Assumptions-Overall'!$H$43/(YEAR(PhaseIConEnd)-YEAR(PhaseIPreconBegin)+1)</f>
        <v>0</v>
      </c>
      <c r="N62" s="151"/>
    </row>
    <row r="63" spans="2:14" x14ac:dyDescent="0.65">
      <c r="B63" s="3" t="s">
        <v>115</v>
      </c>
      <c r="C63" s="8"/>
      <c r="D63" s="146">
        <f>(AND(D$8&gt;=YEAR(PhaseIPreconBegin),D$8&lt;=YEAR(PhaseIConEnd)))*SUM($D61:$N61)*'Assumptions-Overall'!$H$44/(YEAR(PhaseIConEnd)-YEAR(PhaseIPreconBegin)+1)</f>
        <v>-1682521.09375</v>
      </c>
      <c r="E63" s="146">
        <f>(AND(E$8&gt;=YEAR(PhaseIPreconBegin),E$8&lt;=YEAR(PhaseIConEnd)))*SUM($D61:$N61)*'Assumptions-Overall'!$H$44/(YEAR(PhaseIConEnd)-YEAR(PhaseIPreconBegin)+1)</f>
        <v>-1682521.09375</v>
      </c>
      <c r="F63" s="146">
        <f>(AND(F$8&gt;=YEAR(PhaseIPreconBegin),F$8&lt;=YEAR(PhaseIConEnd)))*SUM($D61:$N61)*'Assumptions-Overall'!$H$44/(YEAR(PhaseIConEnd)-YEAR(PhaseIPreconBegin)+1)</f>
        <v>-1682521.09375</v>
      </c>
      <c r="G63" s="146">
        <f>(AND(G$8&gt;=YEAR(PhaseIPreconBegin),G$8&lt;=YEAR(PhaseIConEnd)))*SUM($D61:$N61)*'Assumptions-Overall'!$H$44/(YEAR(PhaseIConEnd)-YEAR(PhaseIPreconBegin)+1)</f>
        <v>-1682521.09375</v>
      </c>
      <c r="H63" s="146">
        <f>(AND(H$8&gt;=YEAR(PhaseIPreconBegin),H$8&lt;=YEAR(PhaseIConEnd)))*SUM($D61:$N61)*'Assumptions-Overall'!$H$44/(YEAR(PhaseIConEnd)-YEAR(PhaseIPreconBegin)+1)</f>
        <v>0</v>
      </c>
      <c r="I63" s="146">
        <f>(AND(I$8&gt;=YEAR(PhaseIPreconBegin),I$8&lt;=YEAR(PhaseIConEnd)))*SUM($D61:$N61)*'Assumptions-Overall'!$H$44/(YEAR(PhaseIConEnd)-YEAR(PhaseIPreconBegin)+1)</f>
        <v>0</v>
      </c>
      <c r="J63" s="146">
        <f>(AND(J$8&gt;=YEAR(PhaseIPreconBegin),J$8&lt;=YEAR(PhaseIConEnd)))*SUM($D61:$N61)*'Assumptions-Overall'!$H$44/(YEAR(PhaseIConEnd)-YEAR(PhaseIPreconBegin)+1)</f>
        <v>0</v>
      </c>
      <c r="K63" s="146">
        <f>(AND(K$8&gt;=YEAR(PhaseIPreconBegin),K$8&lt;=YEAR(PhaseIConEnd)))*SUM($D61:$N61)*'Assumptions-Overall'!$H$44/(YEAR(PhaseIConEnd)-YEAR(PhaseIPreconBegin)+1)</f>
        <v>0</v>
      </c>
      <c r="L63" s="146">
        <f>(AND(L$8&gt;=YEAR(PhaseIPreconBegin),L$8&lt;=YEAR(PhaseIConEnd)))*SUM($D61:$N61)*'Assumptions-Overall'!$H$44/(YEAR(PhaseIConEnd)-YEAR(PhaseIPreconBegin)+1)</f>
        <v>0</v>
      </c>
      <c r="M63" s="146">
        <f>(AND(M$8&gt;=YEAR(PhaseIPreconBegin),M$8&lt;=YEAR(PhaseIConEnd)))*SUM($D61:$N61)*'Assumptions-Overall'!$H$44/(YEAR(PhaseIConEnd)-YEAR(PhaseIPreconBegin)+1)</f>
        <v>0</v>
      </c>
      <c r="N63" s="151"/>
    </row>
    <row r="64" spans="2:14" x14ac:dyDescent="0.65">
      <c r="B64" s="3" t="s">
        <v>116</v>
      </c>
      <c r="C64" s="8"/>
      <c r="D64" s="144">
        <f>SUM(D61:D63)*'Assumptions-Overall'!$H$45</f>
        <v>-134601.6875</v>
      </c>
      <c r="E64" s="144">
        <f>SUM(E61:E63)*'Assumptions-Overall'!$H$45</f>
        <v>-134601.6875</v>
      </c>
      <c r="F64" s="144">
        <f>SUM(F61:F63)*'Assumptions-Overall'!$H$45</f>
        <v>-1792257.9375</v>
      </c>
      <c r="G64" s="144">
        <f>SUM(G61:G63)*'Assumptions-Overall'!$H$45</f>
        <v>-1841987.625</v>
      </c>
      <c r="H64" s="144">
        <f>SUM(H61:H63)*'Assumptions-Overall'!$H$45</f>
        <v>0</v>
      </c>
      <c r="I64" s="144">
        <f>SUM(I61:I63)*'Assumptions-Overall'!$H$45</f>
        <v>0</v>
      </c>
      <c r="J64" s="144">
        <f>SUM(J61:J63)*'Assumptions-Overall'!$H$45</f>
        <v>0</v>
      </c>
      <c r="K64" s="144">
        <f>SUM(K61:K63)*'Assumptions-Overall'!$H$45</f>
        <v>0</v>
      </c>
      <c r="L64" s="144">
        <f>SUM(L61:L63)*'Assumptions-Overall'!$H$45</f>
        <v>0</v>
      </c>
      <c r="M64" s="144">
        <f>SUM(M61:M63)*'Assumptions-Overall'!$H$45</f>
        <v>0</v>
      </c>
      <c r="N64" s="151"/>
    </row>
    <row r="65" spans="2:14" x14ac:dyDescent="0.65">
      <c r="B65" s="3" t="s">
        <v>212</v>
      </c>
      <c r="C65" s="8"/>
      <c r="D65" s="146">
        <f>SUM(D61:D64)</f>
        <v>-2826635.4375</v>
      </c>
      <c r="E65" s="146">
        <f t="shared" ref="E65" si="33">SUM(E61:E64)</f>
        <v>-2826635.4375</v>
      </c>
      <c r="F65" s="146">
        <f t="shared" ref="F65" si="34">SUM(F61:F64)</f>
        <v>-37637416.6875</v>
      </c>
      <c r="G65" s="146">
        <f t="shared" ref="G65" si="35">SUM(G61:G64)</f>
        <v>-38681740.125</v>
      </c>
      <c r="H65" s="146">
        <f t="shared" ref="H65" si="36">SUM(H61:H64)</f>
        <v>0</v>
      </c>
      <c r="I65" s="146">
        <f t="shared" ref="I65" si="37">SUM(I61:I64)</f>
        <v>0</v>
      </c>
      <c r="J65" s="146">
        <f t="shared" ref="J65" si="38">SUM(J61:J64)</f>
        <v>0</v>
      </c>
      <c r="K65" s="146">
        <f t="shared" ref="K65" si="39">SUM(K61:K64)</f>
        <v>0</v>
      </c>
      <c r="L65" s="146">
        <f t="shared" ref="L65" si="40">SUM(L61:L64)</f>
        <v>0</v>
      </c>
      <c r="M65" s="146">
        <f t="shared" ref="M65" si="41">SUM(M61:M64)</f>
        <v>0</v>
      </c>
      <c r="N65" s="151"/>
    </row>
    <row r="66" spans="2:14" x14ac:dyDescent="0.65">
      <c r="B66" s="3"/>
      <c r="C66" s="8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51"/>
    </row>
    <row r="67" spans="2:14" x14ac:dyDescent="0.65">
      <c r="B67" s="36" t="s">
        <v>213</v>
      </c>
      <c r="C67" s="8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51"/>
    </row>
    <row r="68" spans="2:14" x14ac:dyDescent="0.65">
      <c r="B68" s="3" t="s">
        <v>215</v>
      </c>
      <c r="C68" s="8"/>
      <c r="D68" s="146">
        <f>(D$8=YEAR('Assumptions-Overall'!$C$30))*E56/'Assumptions-Overall'!$V$22</f>
        <v>0</v>
      </c>
      <c r="E68" s="146">
        <f>(E$8=YEAR('Assumptions-Overall'!$C$30))*F56/'Assumptions-Overall'!$V$22</f>
        <v>0</v>
      </c>
      <c r="F68" s="146">
        <f>(F$8=YEAR('Assumptions-Overall'!$C$30))*G56/'Assumptions-Overall'!$V$22</f>
        <v>0</v>
      </c>
      <c r="G68" s="146">
        <f>(G$8=YEAR('Assumptions-Overall'!$C$30))*H56/'Assumptions-Overall'!$V$22</f>
        <v>0</v>
      </c>
      <c r="H68" s="146">
        <f>(H$8=YEAR('Assumptions-Overall'!$C$30))*I56/'Assumptions-Overall'!$V$22</f>
        <v>0</v>
      </c>
      <c r="I68" s="146">
        <f>(I$8=YEAR('Assumptions-Overall'!$C$30))*J56/'Assumptions-Overall'!$V$22</f>
        <v>0</v>
      </c>
      <c r="J68" s="146">
        <f>(J$8=YEAR('Assumptions-Overall'!$C$30))*K56/'Assumptions-Overall'!$V$22</f>
        <v>0</v>
      </c>
      <c r="K68" s="146">
        <f>(K$8=YEAR('Assumptions-Overall'!$C$30))*L56/'Assumptions-Overall'!$V$22</f>
        <v>0</v>
      </c>
      <c r="L68" s="146">
        <f>(L$8=YEAR('Assumptions-Overall'!$C$30))*M56/'Assumptions-Overall'!$V$22</f>
        <v>0</v>
      </c>
      <c r="M68" s="146">
        <f>(M$8=YEAR('Assumptions-Overall'!$C$30))*N56/'Assumptions-Overall'!$V$22</f>
        <v>90429872.635915443</v>
      </c>
      <c r="N68" s="151"/>
    </row>
    <row r="69" spans="2:14" x14ac:dyDescent="0.65">
      <c r="B69" s="3" t="s">
        <v>216</v>
      </c>
      <c r="C69" s="8"/>
      <c r="D69" s="144">
        <f>-D68*'Assumptions-Overall'!$R$27</f>
        <v>0</v>
      </c>
      <c r="E69" s="144">
        <f>-E68*'Assumptions-Overall'!$R$27</f>
        <v>0</v>
      </c>
      <c r="F69" s="144">
        <f>-F68*'Assumptions-Overall'!$R$27</f>
        <v>0</v>
      </c>
      <c r="G69" s="144">
        <f>-G68*'Assumptions-Overall'!$R$27</f>
        <v>0</v>
      </c>
      <c r="H69" s="144">
        <f>-H68*'Assumptions-Overall'!$R$27</f>
        <v>0</v>
      </c>
      <c r="I69" s="144">
        <f>-I68*'Assumptions-Overall'!$R$27</f>
        <v>0</v>
      </c>
      <c r="J69" s="144">
        <f>-J68*'Assumptions-Overall'!$R$27</f>
        <v>0</v>
      </c>
      <c r="K69" s="144">
        <f>-K68*'Assumptions-Overall'!$R$27</f>
        <v>0</v>
      </c>
      <c r="L69" s="144">
        <f>-L68*'Assumptions-Overall'!$R$27</f>
        <v>0</v>
      </c>
      <c r="M69" s="144">
        <f>-M68*'Assumptions-Overall'!$R$27</f>
        <v>-1808597.4527183089</v>
      </c>
      <c r="N69" s="151"/>
    </row>
    <row r="70" spans="2:14" x14ac:dyDescent="0.65">
      <c r="B70" s="3" t="s">
        <v>217</v>
      </c>
      <c r="C70" s="8"/>
      <c r="D70" s="146">
        <f>SUM(D68:D69)</f>
        <v>0</v>
      </c>
      <c r="E70" s="146">
        <f t="shared" ref="E70" si="42">SUM(E68:E69)</f>
        <v>0</v>
      </c>
      <c r="F70" s="146">
        <f t="shared" ref="F70" si="43">SUM(F68:F69)</f>
        <v>0</v>
      </c>
      <c r="G70" s="146">
        <f t="shared" ref="G70" si="44">SUM(G68:G69)</f>
        <v>0</v>
      </c>
      <c r="H70" s="146">
        <f t="shared" ref="H70" si="45">SUM(H68:H69)</f>
        <v>0</v>
      </c>
      <c r="I70" s="146">
        <f t="shared" ref="I70" si="46">SUM(I68:I69)</f>
        <v>0</v>
      </c>
      <c r="J70" s="146">
        <f t="shared" ref="J70" si="47">SUM(J68:J69)</f>
        <v>0</v>
      </c>
      <c r="K70" s="146">
        <f t="shared" ref="K70" si="48">SUM(K68:K69)</f>
        <v>0</v>
      </c>
      <c r="L70" s="146">
        <f t="shared" ref="L70" si="49">SUM(L68:L69)</f>
        <v>0</v>
      </c>
      <c r="M70" s="146">
        <f t="shared" ref="M70" si="50">SUM(M68:M69)</f>
        <v>88621275.183197141</v>
      </c>
      <c r="N70" s="151"/>
    </row>
    <row r="71" spans="2:14" x14ac:dyDescent="0.65">
      <c r="B71" s="3"/>
      <c r="C71" s="8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51"/>
    </row>
    <row r="72" spans="2:14" x14ac:dyDescent="0.65">
      <c r="B72" s="3" t="s">
        <v>214</v>
      </c>
      <c r="C72" s="8"/>
      <c r="D72" s="146">
        <f t="shared" ref="D72:M72" si="51">D58+D65+D70</f>
        <v>-2826635.4375</v>
      </c>
      <c r="E72" s="146">
        <f t="shared" si="51"/>
        <v>-2826635.4375</v>
      </c>
      <c r="F72" s="146">
        <f t="shared" si="51"/>
        <v>-37637416.6875</v>
      </c>
      <c r="G72" s="146">
        <f t="shared" si="51"/>
        <v>-38681740.125</v>
      </c>
      <c r="H72" s="146">
        <f t="shared" si="51"/>
        <v>26148807.604457784</v>
      </c>
      <c r="I72" s="146">
        <f t="shared" si="51"/>
        <v>27147501.479153663</v>
      </c>
      <c r="J72" s="146">
        <f t="shared" si="51"/>
        <v>27741269.987569265</v>
      </c>
      <c r="K72" s="146">
        <f t="shared" si="51"/>
        <v>28573508.08719635</v>
      </c>
      <c r="L72" s="146">
        <f t="shared" si="51"/>
        <v>29430713.329812236</v>
      </c>
      <c r="M72" s="146">
        <f t="shared" si="51"/>
        <v>119176027.26747261</v>
      </c>
      <c r="N72" s="151"/>
    </row>
    <row r="73" spans="2:14" x14ac:dyDescent="0.65">
      <c r="B73" s="3" t="s">
        <v>218</v>
      </c>
      <c r="C73" s="158">
        <f>IFERROR(IRR(D72:M72),"n/a")</f>
        <v>0.27729916974518409</v>
      </c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51"/>
    </row>
    <row r="74" spans="2:14" ht="13" thickBot="1" x14ac:dyDescent="0.8">
      <c r="B74" s="5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1"/>
    </row>
    <row r="75" spans="2:14" x14ac:dyDescent="0.65">
      <c r="B75" s="154"/>
      <c r="C75" s="155"/>
      <c r="D75" s="155"/>
      <c r="E75" s="155"/>
      <c r="F75" s="155"/>
      <c r="G75" s="155"/>
      <c r="H75" s="155"/>
      <c r="I75" s="155"/>
      <c r="J75" s="155"/>
      <c r="K75" s="155"/>
      <c r="L75" s="155"/>
      <c r="M75" s="155"/>
      <c r="N75" s="156"/>
    </row>
    <row r="76" spans="2:14" x14ac:dyDescent="0.65">
      <c r="B76" s="147" t="s">
        <v>197</v>
      </c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9"/>
    </row>
    <row r="77" spans="2:14" x14ac:dyDescent="0.65">
      <c r="B77" s="3" t="s">
        <v>194</v>
      </c>
      <c r="C77" s="8"/>
      <c r="D77" s="148">
        <f>(D$8&gt;=YEAR(PhaseIIComplete))*SUMIF(BuildingSummary!$V$18:$X$18,"II",BuildingSummary!$V$24:$X$24)</f>
        <v>0</v>
      </c>
      <c r="E77" s="148">
        <f>(E$8&gt;=YEAR(PhaseIIComplete))*SUMIF(BuildingSummary!$V$18:$X$18,"II",BuildingSummary!$V$24:$X$24)</f>
        <v>0</v>
      </c>
      <c r="F77" s="148">
        <f>(F$8&gt;=YEAR(PhaseIIComplete))*SUMIF(BuildingSummary!$V$18:$X$18,"II",BuildingSummary!$V$24:$X$24)</f>
        <v>0</v>
      </c>
      <c r="G77" s="148">
        <f>(G$8&gt;=YEAR(PhaseIIComplete))*SUMIF(BuildingSummary!$V$18:$X$18,"II",BuildingSummary!$V$24:$X$24)</f>
        <v>0</v>
      </c>
      <c r="H77" s="148">
        <f>(H$8&gt;=YEAR(PhaseIIComplete))*SUMIF(BuildingSummary!$V$18:$X$18,"II",BuildingSummary!$V$24:$X$24)</f>
        <v>0</v>
      </c>
      <c r="I77" s="148">
        <f>(I$8&gt;=YEAR(PhaseIIComplete))*SUMIF(BuildingSummary!$V$18:$X$18,"II",BuildingSummary!$V$24:$X$24)</f>
        <v>0</v>
      </c>
      <c r="J77" s="148">
        <f>(J$8&gt;=YEAR(PhaseIIComplete))*SUMIF(BuildingSummary!$V$18:$X$18,"II",BuildingSummary!$V$24:$X$24)</f>
        <v>0</v>
      </c>
      <c r="K77" s="148">
        <f>(K$8&gt;=YEAR(PhaseIIComplete))*SUMIF(BuildingSummary!$V$18:$X$18,"II",BuildingSummary!$V$24:$X$24)</f>
        <v>0</v>
      </c>
      <c r="L77" s="148">
        <f>(L$8&gt;=YEAR(PhaseIIComplete))*SUMIF(BuildingSummary!$V$18:$X$18,"II",BuildingSummary!$V$24:$X$24)</f>
        <v>0</v>
      </c>
      <c r="M77" s="148">
        <f>(M$8&gt;=YEAR(PhaseIIComplete))*SUMIF(BuildingSummary!$V$18:$X$18,"II",BuildingSummary!$V$24:$X$24)</f>
        <v>0</v>
      </c>
      <c r="N77" s="149">
        <f>(N$8&gt;=YEAR(PhaseIIComplete))*SUMIF(BuildingSummary!$V$18:$X$18,"II",BuildingSummary!$V$24:$X$24)</f>
        <v>0</v>
      </c>
    </row>
    <row r="78" spans="2:14" x14ac:dyDescent="0.65">
      <c r="B78" s="3" t="s">
        <v>195</v>
      </c>
      <c r="C78" s="8"/>
      <c r="D78" s="148">
        <f>D77-C77</f>
        <v>0</v>
      </c>
      <c r="E78" s="148">
        <f t="shared" ref="E78" si="52">E77-D77</f>
        <v>0</v>
      </c>
      <c r="F78" s="148">
        <f t="shared" ref="F78" si="53">F77-E77</f>
        <v>0</v>
      </c>
      <c r="G78" s="148">
        <f t="shared" ref="G78" si="54">G77-F77</f>
        <v>0</v>
      </c>
      <c r="H78" s="148">
        <f t="shared" ref="H78" si="55">H77-G77</f>
        <v>0</v>
      </c>
      <c r="I78" s="148">
        <f t="shared" ref="I78" si="56">I77-H77</f>
        <v>0</v>
      </c>
      <c r="J78" s="148">
        <f t="shared" ref="J78" si="57">J77-I77</f>
        <v>0</v>
      </c>
      <c r="K78" s="148">
        <f t="shared" ref="K78" si="58">K77-J77</f>
        <v>0</v>
      </c>
      <c r="L78" s="148">
        <f t="shared" ref="L78" si="59">L77-K77</f>
        <v>0</v>
      </c>
      <c r="M78" s="148">
        <f t="shared" ref="M78" si="60">M77-L77</f>
        <v>0</v>
      </c>
      <c r="N78" s="149">
        <f t="shared" ref="N78" si="61">N77-M77</f>
        <v>0</v>
      </c>
    </row>
    <row r="79" spans="2:14" x14ac:dyDescent="0.65">
      <c r="B79" s="3"/>
      <c r="C79" s="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9"/>
    </row>
    <row r="80" spans="2:14" x14ac:dyDescent="0.65">
      <c r="B80" s="36" t="s">
        <v>235</v>
      </c>
      <c r="C80" s="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9"/>
    </row>
    <row r="81" spans="2:14" x14ac:dyDescent="0.65">
      <c r="B81" s="3" t="str">
        <f>B36</f>
        <v>Food &amp; Beverage Revenue</v>
      </c>
      <c r="C81" s="8"/>
      <c r="D81" s="148">
        <f>(D$8&gt;=YEAR(PhaseIIComplete))*'Assumptions-Hotel'!$E9</f>
        <v>0</v>
      </c>
      <c r="E81" s="148">
        <f>(E$8&gt;=YEAR(PhaseIIComplete))*'Assumptions-Hotel'!$E9</f>
        <v>0</v>
      </c>
      <c r="F81" s="148">
        <f>(F$8&gt;=YEAR(PhaseIIComplete))*'Assumptions-Hotel'!$E9</f>
        <v>0</v>
      </c>
      <c r="G81" s="148">
        <f>(G$8&gt;=YEAR(PhaseIIComplete))*'Assumptions-Hotel'!$E9</f>
        <v>0</v>
      </c>
      <c r="H81" s="148">
        <f>(H$8&gt;=YEAR(PhaseIIComplete))*'Assumptions-Hotel'!$E9</f>
        <v>0</v>
      </c>
      <c r="I81" s="148">
        <f>(I$8&gt;=YEAR(PhaseIIComplete))*'Assumptions-Hotel'!$E9</f>
        <v>0</v>
      </c>
      <c r="J81" s="148">
        <f>(J$8&gt;=YEAR(PhaseIIComplete))*'Assumptions-Hotel'!$E9</f>
        <v>0</v>
      </c>
      <c r="K81" s="148">
        <f>(K$8&gt;=YEAR(PhaseIIComplete))*'Assumptions-Hotel'!$E9</f>
        <v>0</v>
      </c>
      <c r="L81" s="148">
        <f>(L$8&gt;=YEAR(PhaseIIComplete))*'Assumptions-Hotel'!$E9</f>
        <v>0</v>
      </c>
      <c r="M81" s="148">
        <f>(M$8&gt;=YEAR(PhaseIIComplete))*'Assumptions-Hotel'!$E9</f>
        <v>0</v>
      </c>
      <c r="N81" s="149">
        <f>(N$8&gt;=YEAR(PhaseIIComplete))*'Assumptions-Hotel'!$E9</f>
        <v>0</v>
      </c>
    </row>
    <row r="82" spans="2:14" x14ac:dyDescent="0.65">
      <c r="B82" s="3" t="str">
        <f>B37</f>
        <v>Lifestyle Hotel</v>
      </c>
      <c r="C82" s="8"/>
      <c r="D82" s="148">
        <f>(D$8&gt;=YEAR(PhaseIIComplete))*'Assumptions-Hotel'!$E10</f>
        <v>0</v>
      </c>
      <c r="E82" s="148">
        <f>(E$8&gt;=YEAR(PhaseIIComplete))*'Assumptions-Hotel'!$E10</f>
        <v>0</v>
      </c>
      <c r="F82" s="148">
        <f>(F$8&gt;=YEAR(PhaseIIComplete))*'Assumptions-Hotel'!$E10</f>
        <v>0</v>
      </c>
      <c r="G82" s="148">
        <f>(G$8&gt;=YEAR(PhaseIIComplete))*'Assumptions-Hotel'!$E10</f>
        <v>0</v>
      </c>
      <c r="H82" s="148">
        <f>(H$8&gt;=YEAR(PhaseIIComplete))*'Assumptions-Hotel'!$E10</f>
        <v>0</v>
      </c>
      <c r="I82" s="148">
        <f>(I$8&gt;=YEAR(PhaseIIComplete))*'Assumptions-Hotel'!$E10</f>
        <v>0</v>
      </c>
      <c r="J82" s="148">
        <f>(J$8&gt;=YEAR(PhaseIIComplete))*'Assumptions-Hotel'!$E10</f>
        <v>0</v>
      </c>
      <c r="K82" s="148">
        <f>(K$8&gt;=YEAR(PhaseIIComplete))*'Assumptions-Hotel'!$E10</f>
        <v>0</v>
      </c>
      <c r="L82" s="148">
        <f>(L$8&gt;=YEAR(PhaseIIComplete))*'Assumptions-Hotel'!$E10</f>
        <v>0</v>
      </c>
      <c r="M82" s="148">
        <f>(M$8&gt;=YEAR(PhaseIIComplete))*'Assumptions-Hotel'!$E10</f>
        <v>0</v>
      </c>
      <c r="N82" s="149">
        <f>(N$8&gt;=YEAR(PhaseIIComplete))*'Assumptions-Hotel'!$E10</f>
        <v>0</v>
      </c>
    </row>
    <row r="83" spans="2:14" x14ac:dyDescent="0.65">
      <c r="B83" s="3"/>
      <c r="C83" s="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9"/>
    </row>
    <row r="84" spans="2:14" x14ac:dyDescent="0.65">
      <c r="B84" s="36" t="s">
        <v>239</v>
      </c>
      <c r="C84" s="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9"/>
    </row>
    <row r="85" spans="2:14" x14ac:dyDescent="0.65">
      <c r="B85" s="3" t="s">
        <v>240</v>
      </c>
      <c r="C85" s="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9"/>
    </row>
    <row r="86" spans="2:14" x14ac:dyDescent="0.65">
      <c r="B86" s="150" t="str">
        <f>B81</f>
        <v>Food &amp; Beverage Revenue</v>
      </c>
      <c r="C86" s="8"/>
      <c r="D86" s="161">
        <f>'Assumptions-Hotel'!$I8</f>
        <v>200</v>
      </c>
      <c r="E86" s="161">
        <f>'Assumptions-Hotel'!$I8</f>
        <v>200</v>
      </c>
      <c r="F86" s="161">
        <f>'Assumptions-Hotel'!$I8</f>
        <v>200</v>
      </c>
      <c r="G86" s="161">
        <f>'Assumptions-Hotel'!$I8</f>
        <v>200</v>
      </c>
      <c r="H86" s="161">
        <f>'Assumptions-Hotel'!$I8</f>
        <v>200</v>
      </c>
      <c r="I86" s="161">
        <f>'Assumptions-Hotel'!$I8</f>
        <v>200</v>
      </c>
      <c r="J86" s="161">
        <f>'Assumptions-Hotel'!$I8</f>
        <v>200</v>
      </c>
      <c r="K86" s="161">
        <f>'Assumptions-Hotel'!$I8</f>
        <v>200</v>
      </c>
      <c r="L86" s="161">
        <f>'Assumptions-Hotel'!$I8</f>
        <v>200</v>
      </c>
      <c r="M86" s="161">
        <f>'Assumptions-Hotel'!$I8</f>
        <v>200</v>
      </c>
      <c r="N86" s="162">
        <f>'Assumptions-Hotel'!$I8</f>
        <v>200</v>
      </c>
    </row>
    <row r="87" spans="2:14" x14ac:dyDescent="0.65">
      <c r="B87" s="150" t="str">
        <f>B82</f>
        <v>Lifestyle Hotel</v>
      </c>
      <c r="C87" s="8"/>
      <c r="D87" s="161">
        <f>'Assumptions-Hotel'!$I9</f>
        <v>170</v>
      </c>
      <c r="E87" s="161">
        <f>'Assumptions-Hotel'!$I9</f>
        <v>170</v>
      </c>
      <c r="F87" s="161">
        <f>'Assumptions-Hotel'!$I9</f>
        <v>170</v>
      </c>
      <c r="G87" s="161">
        <f>'Assumptions-Hotel'!$I9</f>
        <v>170</v>
      </c>
      <c r="H87" s="161">
        <f>'Assumptions-Hotel'!$I9</f>
        <v>170</v>
      </c>
      <c r="I87" s="161">
        <f>'Assumptions-Hotel'!$I9</f>
        <v>170</v>
      </c>
      <c r="J87" s="161">
        <f>'Assumptions-Hotel'!$I9</f>
        <v>170</v>
      </c>
      <c r="K87" s="161">
        <f>'Assumptions-Hotel'!$I9</f>
        <v>170</v>
      </c>
      <c r="L87" s="161">
        <f>'Assumptions-Hotel'!$I9</f>
        <v>170</v>
      </c>
      <c r="M87" s="161">
        <f>'Assumptions-Hotel'!$I9</f>
        <v>170</v>
      </c>
      <c r="N87" s="162">
        <f>'Assumptions-Hotel'!$I9</f>
        <v>170</v>
      </c>
    </row>
    <row r="88" spans="2:14" x14ac:dyDescent="0.65">
      <c r="B88" s="3" t="s">
        <v>241</v>
      </c>
      <c r="C88" s="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9"/>
    </row>
    <row r="89" spans="2:14" x14ac:dyDescent="0.65">
      <c r="B89" s="150" t="str">
        <f>B86</f>
        <v>Food &amp; Beverage Revenue</v>
      </c>
      <c r="C89" s="8"/>
      <c r="D89" s="128">
        <f>'Assumptions-Hotel'!$J8</f>
        <v>0.85</v>
      </c>
      <c r="E89" s="128">
        <f>'Assumptions-Hotel'!$J8</f>
        <v>0.85</v>
      </c>
      <c r="F89" s="128">
        <f>'Assumptions-Hotel'!$J8</f>
        <v>0.85</v>
      </c>
      <c r="G89" s="128">
        <f>'Assumptions-Hotel'!$J8</f>
        <v>0.85</v>
      </c>
      <c r="H89" s="128">
        <f>'Assumptions-Hotel'!$J8</f>
        <v>0.85</v>
      </c>
      <c r="I89" s="128">
        <f>'Assumptions-Hotel'!$J8</f>
        <v>0.85</v>
      </c>
      <c r="J89" s="128">
        <f>'Assumptions-Hotel'!$J8</f>
        <v>0.85</v>
      </c>
      <c r="K89" s="128">
        <f>'Assumptions-Hotel'!$J8</f>
        <v>0.85</v>
      </c>
      <c r="L89" s="128">
        <f>'Assumptions-Hotel'!$J8</f>
        <v>0.85</v>
      </c>
      <c r="M89" s="128">
        <f>'Assumptions-Hotel'!$J8</f>
        <v>0.85</v>
      </c>
      <c r="N89" s="163">
        <f>'Assumptions-Hotel'!$J8</f>
        <v>0.85</v>
      </c>
    </row>
    <row r="90" spans="2:14" x14ac:dyDescent="0.65">
      <c r="B90" s="150" t="str">
        <f>B87</f>
        <v>Lifestyle Hotel</v>
      </c>
      <c r="C90" s="8"/>
      <c r="D90" s="128">
        <f>'Assumptions-Hotel'!$J9</f>
        <v>0.85</v>
      </c>
      <c r="E90" s="128">
        <f>'Assumptions-Hotel'!$J9</f>
        <v>0.85</v>
      </c>
      <c r="F90" s="128">
        <f>'Assumptions-Hotel'!$J9</f>
        <v>0.85</v>
      </c>
      <c r="G90" s="128">
        <f>'Assumptions-Hotel'!$J9</f>
        <v>0.85</v>
      </c>
      <c r="H90" s="128">
        <f>'Assumptions-Hotel'!$J9</f>
        <v>0.85</v>
      </c>
      <c r="I90" s="128">
        <f>'Assumptions-Hotel'!$J9</f>
        <v>0.85</v>
      </c>
      <c r="J90" s="128">
        <f>'Assumptions-Hotel'!$J9</f>
        <v>0.85</v>
      </c>
      <c r="K90" s="128">
        <f>'Assumptions-Hotel'!$J9</f>
        <v>0.85</v>
      </c>
      <c r="L90" s="128">
        <f>'Assumptions-Hotel'!$J9</f>
        <v>0.85</v>
      </c>
      <c r="M90" s="128">
        <f>'Assumptions-Hotel'!$J9</f>
        <v>0.85</v>
      </c>
      <c r="N90" s="163">
        <f>'Assumptions-Hotel'!$J9</f>
        <v>0.85</v>
      </c>
    </row>
    <row r="91" spans="2:14" x14ac:dyDescent="0.65">
      <c r="B91" s="3" t="s">
        <v>242</v>
      </c>
      <c r="C91" s="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9"/>
    </row>
    <row r="92" spans="2:14" x14ac:dyDescent="0.65">
      <c r="B92" s="150" t="str">
        <f>B89</f>
        <v>Food &amp; Beverage Revenue</v>
      </c>
      <c r="C92" s="8"/>
      <c r="D92" s="161">
        <f>D86*D89</f>
        <v>170</v>
      </c>
      <c r="E92" s="161">
        <f>E86*E89</f>
        <v>170</v>
      </c>
      <c r="F92" s="161">
        <f t="shared" ref="F92:N92" si="62">F86*F89</f>
        <v>170</v>
      </c>
      <c r="G92" s="161">
        <f t="shared" si="62"/>
        <v>170</v>
      </c>
      <c r="H92" s="161">
        <f t="shared" si="62"/>
        <v>170</v>
      </c>
      <c r="I92" s="161">
        <f t="shared" si="62"/>
        <v>170</v>
      </c>
      <c r="J92" s="161">
        <f t="shared" si="62"/>
        <v>170</v>
      </c>
      <c r="K92" s="161">
        <f t="shared" si="62"/>
        <v>170</v>
      </c>
      <c r="L92" s="161">
        <f t="shared" si="62"/>
        <v>170</v>
      </c>
      <c r="M92" s="161">
        <f t="shared" si="62"/>
        <v>170</v>
      </c>
      <c r="N92" s="162">
        <f t="shared" si="62"/>
        <v>170</v>
      </c>
    </row>
    <row r="93" spans="2:14" x14ac:dyDescent="0.65">
      <c r="B93" s="150" t="str">
        <f>B90</f>
        <v>Lifestyle Hotel</v>
      </c>
      <c r="C93" s="8"/>
      <c r="D93" s="161">
        <f>D87*D90</f>
        <v>144.5</v>
      </c>
      <c r="E93" s="161">
        <f>E87*E90</f>
        <v>144.5</v>
      </c>
      <c r="F93" s="161">
        <f t="shared" ref="F93:N93" si="63">F87*F90</f>
        <v>144.5</v>
      </c>
      <c r="G93" s="161">
        <f t="shared" si="63"/>
        <v>144.5</v>
      </c>
      <c r="H93" s="161">
        <f t="shared" si="63"/>
        <v>144.5</v>
      </c>
      <c r="I93" s="161">
        <f t="shared" si="63"/>
        <v>144.5</v>
      </c>
      <c r="J93" s="161">
        <f t="shared" si="63"/>
        <v>144.5</v>
      </c>
      <c r="K93" s="161">
        <f t="shared" si="63"/>
        <v>144.5</v>
      </c>
      <c r="L93" s="161">
        <f t="shared" si="63"/>
        <v>144.5</v>
      </c>
      <c r="M93" s="161">
        <f t="shared" si="63"/>
        <v>144.5</v>
      </c>
      <c r="N93" s="162">
        <f t="shared" si="63"/>
        <v>144.5</v>
      </c>
    </row>
    <row r="94" spans="2:14" x14ac:dyDescent="0.65">
      <c r="B94" s="3"/>
      <c r="C94" s="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9"/>
    </row>
    <row r="95" spans="2:14" x14ac:dyDescent="0.65">
      <c r="B95" s="36" t="s">
        <v>206</v>
      </c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9"/>
    </row>
    <row r="96" spans="2:14" x14ac:dyDescent="0.65">
      <c r="B96" s="3" t="s">
        <v>236</v>
      </c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9"/>
    </row>
    <row r="97" spans="2:14" x14ac:dyDescent="0.65">
      <c r="B97" s="150" t="str">
        <f>B81</f>
        <v>Food &amp; Beverage Revenue</v>
      </c>
      <c r="C97" s="8"/>
      <c r="D97" s="146">
        <f>D81*D86*D$9</f>
        <v>0</v>
      </c>
      <c r="E97" s="146">
        <f t="shared" ref="E97:N97" si="64">E81*E86*E$9</f>
        <v>0</v>
      </c>
      <c r="F97" s="146">
        <f t="shared" si="64"/>
        <v>0</v>
      </c>
      <c r="G97" s="146">
        <f t="shared" si="64"/>
        <v>0</v>
      </c>
      <c r="H97" s="146">
        <f t="shared" si="64"/>
        <v>0</v>
      </c>
      <c r="I97" s="146">
        <f t="shared" si="64"/>
        <v>0</v>
      </c>
      <c r="J97" s="146">
        <f t="shared" si="64"/>
        <v>0</v>
      </c>
      <c r="K97" s="146">
        <f t="shared" si="64"/>
        <v>0</v>
      </c>
      <c r="L97" s="146">
        <f t="shared" si="64"/>
        <v>0</v>
      </c>
      <c r="M97" s="146">
        <f t="shared" si="64"/>
        <v>0</v>
      </c>
      <c r="N97" s="151">
        <f t="shared" si="64"/>
        <v>0</v>
      </c>
    </row>
    <row r="98" spans="2:14" x14ac:dyDescent="0.65">
      <c r="B98" s="150" t="str">
        <f>B82</f>
        <v>Lifestyle Hotel</v>
      </c>
      <c r="C98" s="8"/>
      <c r="D98" s="144">
        <f t="shared" ref="D98:N98" si="65">D82*D87*D$9</f>
        <v>0</v>
      </c>
      <c r="E98" s="144">
        <f t="shared" si="65"/>
        <v>0</v>
      </c>
      <c r="F98" s="144">
        <f t="shared" si="65"/>
        <v>0</v>
      </c>
      <c r="G98" s="144">
        <f t="shared" si="65"/>
        <v>0</v>
      </c>
      <c r="H98" s="144">
        <f t="shared" si="65"/>
        <v>0</v>
      </c>
      <c r="I98" s="144">
        <f t="shared" si="65"/>
        <v>0</v>
      </c>
      <c r="J98" s="144">
        <f t="shared" si="65"/>
        <v>0</v>
      </c>
      <c r="K98" s="144">
        <f t="shared" si="65"/>
        <v>0</v>
      </c>
      <c r="L98" s="144">
        <f t="shared" si="65"/>
        <v>0</v>
      </c>
      <c r="M98" s="144">
        <f t="shared" si="65"/>
        <v>0</v>
      </c>
      <c r="N98" s="152">
        <f t="shared" si="65"/>
        <v>0</v>
      </c>
    </row>
    <row r="99" spans="2:14" x14ac:dyDescent="0.65">
      <c r="B99" s="3" t="s">
        <v>238</v>
      </c>
      <c r="C99" s="8"/>
      <c r="D99" s="146">
        <f t="shared" ref="D99:N99" si="66">SUM(D97:D98)</f>
        <v>0</v>
      </c>
      <c r="E99" s="146">
        <f t="shared" si="66"/>
        <v>0</v>
      </c>
      <c r="F99" s="146">
        <f t="shared" si="66"/>
        <v>0</v>
      </c>
      <c r="G99" s="146">
        <f t="shared" si="66"/>
        <v>0</v>
      </c>
      <c r="H99" s="146">
        <f t="shared" si="66"/>
        <v>0</v>
      </c>
      <c r="I99" s="146">
        <f t="shared" si="66"/>
        <v>0</v>
      </c>
      <c r="J99" s="146">
        <f t="shared" si="66"/>
        <v>0</v>
      </c>
      <c r="K99" s="146">
        <f t="shared" si="66"/>
        <v>0</v>
      </c>
      <c r="L99" s="146">
        <f t="shared" si="66"/>
        <v>0</v>
      </c>
      <c r="M99" s="146">
        <f t="shared" si="66"/>
        <v>0</v>
      </c>
      <c r="N99" s="151">
        <f t="shared" si="66"/>
        <v>0</v>
      </c>
    </row>
    <row r="100" spans="2:14" x14ac:dyDescent="0.65">
      <c r="B100" s="3"/>
      <c r="C100" s="8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51"/>
    </row>
    <row r="101" spans="2:14" x14ac:dyDescent="0.65">
      <c r="B101" s="3" t="s">
        <v>244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9"/>
    </row>
    <row r="102" spans="2:14" x14ac:dyDescent="0.65">
      <c r="B102" s="150" t="str">
        <f>B97</f>
        <v>Food &amp; Beverage Revenue</v>
      </c>
      <c r="C102" s="8"/>
      <c r="D102" s="146">
        <f>D97*'Assumptions-Hotel'!$N$8</f>
        <v>0</v>
      </c>
      <c r="E102" s="146">
        <f>E97*'Assumptions-Hotel'!$N$8</f>
        <v>0</v>
      </c>
      <c r="F102" s="146">
        <f>F97*'Assumptions-Hotel'!$N$8</f>
        <v>0</v>
      </c>
      <c r="G102" s="146">
        <f>G97*'Assumptions-Hotel'!$N$8</f>
        <v>0</v>
      </c>
      <c r="H102" s="146">
        <f>H97*'Assumptions-Hotel'!$N$8</f>
        <v>0</v>
      </c>
      <c r="I102" s="146">
        <f>I97*'Assumptions-Hotel'!$N$8</f>
        <v>0</v>
      </c>
      <c r="J102" s="146">
        <f>J97*'Assumptions-Hotel'!$N$8</f>
        <v>0</v>
      </c>
      <c r="K102" s="146">
        <f>K97*'Assumptions-Hotel'!$N$8</f>
        <v>0</v>
      </c>
      <c r="L102" s="146">
        <f>L97*'Assumptions-Hotel'!$N$8</f>
        <v>0</v>
      </c>
      <c r="M102" s="146">
        <f>M97*'Assumptions-Hotel'!$N$8</f>
        <v>0</v>
      </c>
      <c r="N102" s="151">
        <f>N97*'Assumptions-Hotel'!$N$8</f>
        <v>0</v>
      </c>
    </row>
    <row r="103" spans="2:14" x14ac:dyDescent="0.65">
      <c r="B103" s="150" t="str">
        <f>B98</f>
        <v>Lifestyle Hotel</v>
      </c>
      <c r="C103" s="8"/>
      <c r="D103" s="144">
        <f>D98*'Assumptions-Hotel'!$N$8</f>
        <v>0</v>
      </c>
      <c r="E103" s="144">
        <f>E98*'Assumptions-Hotel'!$N$8</f>
        <v>0</v>
      </c>
      <c r="F103" s="144">
        <f>F98*'Assumptions-Hotel'!$N$8</f>
        <v>0</v>
      </c>
      <c r="G103" s="144">
        <f>G98*'Assumptions-Hotel'!$N$8</f>
        <v>0</v>
      </c>
      <c r="H103" s="144">
        <f>H98*'Assumptions-Hotel'!$N$8</f>
        <v>0</v>
      </c>
      <c r="I103" s="144">
        <f>I98*'Assumptions-Hotel'!$N$8</f>
        <v>0</v>
      </c>
      <c r="J103" s="144">
        <f>J98*'Assumptions-Hotel'!$N$8</f>
        <v>0</v>
      </c>
      <c r="K103" s="144">
        <f>K98*'Assumptions-Hotel'!$N$8</f>
        <v>0</v>
      </c>
      <c r="L103" s="144">
        <f>L98*'Assumptions-Hotel'!$N$8</f>
        <v>0</v>
      </c>
      <c r="M103" s="144">
        <f>M98*'Assumptions-Hotel'!$N$8</f>
        <v>0</v>
      </c>
      <c r="N103" s="152">
        <f>N98*'Assumptions-Hotel'!$N$8</f>
        <v>0</v>
      </c>
    </row>
    <row r="104" spans="2:14" x14ac:dyDescent="0.65">
      <c r="B104" s="3" t="s">
        <v>245</v>
      </c>
      <c r="C104" s="8"/>
      <c r="D104" s="146">
        <f t="shared" ref="D104:N104" si="67">SUM(D102:D103)</f>
        <v>0</v>
      </c>
      <c r="E104" s="146">
        <f t="shared" si="67"/>
        <v>0</v>
      </c>
      <c r="F104" s="146">
        <f t="shared" si="67"/>
        <v>0</v>
      </c>
      <c r="G104" s="146">
        <f t="shared" si="67"/>
        <v>0</v>
      </c>
      <c r="H104" s="146">
        <f t="shared" si="67"/>
        <v>0</v>
      </c>
      <c r="I104" s="146">
        <f t="shared" si="67"/>
        <v>0</v>
      </c>
      <c r="J104" s="146">
        <f t="shared" si="67"/>
        <v>0</v>
      </c>
      <c r="K104" s="146">
        <f t="shared" si="67"/>
        <v>0</v>
      </c>
      <c r="L104" s="146">
        <f t="shared" si="67"/>
        <v>0</v>
      </c>
      <c r="M104" s="146">
        <f t="shared" si="67"/>
        <v>0</v>
      </c>
      <c r="N104" s="151">
        <f t="shared" si="67"/>
        <v>0</v>
      </c>
    </row>
    <row r="105" spans="2:14" x14ac:dyDescent="0.65">
      <c r="B105" s="3"/>
      <c r="C105" s="8"/>
      <c r="D105" s="146"/>
      <c r="E105" s="146"/>
      <c r="F105" s="146"/>
      <c r="G105" s="146"/>
      <c r="H105" s="146"/>
      <c r="I105" s="146"/>
      <c r="J105" s="146"/>
      <c r="K105" s="146"/>
      <c r="L105" s="146"/>
      <c r="M105" s="146"/>
      <c r="N105" s="151"/>
    </row>
    <row r="106" spans="2:14" x14ac:dyDescent="0.65">
      <c r="B106" s="3" t="s">
        <v>246</v>
      </c>
      <c r="C106" s="8"/>
      <c r="D106" s="146"/>
      <c r="E106" s="146"/>
      <c r="F106" s="146"/>
      <c r="G106" s="146"/>
      <c r="H106" s="146"/>
      <c r="I106" s="146"/>
      <c r="J106" s="146"/>
      <c r="K106" s="146"/>
      <c r="L106" s="146"/>
      <c r="M106" s="146"/>
      <c r="N106" s="151"/>
    </row>
    <row r="107" spans="2:14" x14ac:dyDescent="0.65">
      <c r="B107" s="150" t="str">
        <f>B102</f>
        <v>Food &amp; Beverage Revenue</v>
      </c>
      <c r="C107" s="8"/>
      <c r="D107" s="146">
        <f>D97*'Assumptions-Hotel'!$N$9</f>
        <v>0</v>
      </c>
      <c r="E107" s="146">
        <f>E97*'Assumptions-Hotel'!$N$9</f>
        <v>0</v>
      </c>
      <c r="F107" s="146">
        <f>F97*'Assumptions-Hotel'!$N$9</f>
        <v>0</v>
      </c>
      <c r="G107" s="146">
        <f>G97*'Assumptions-Hotel'!$N$9</f>
        <v>0</v>
      </c>
      <c r="H107" s="146">
        <f>H97*'Assumptions-Hotel'!$N$9</f>
        <v>0</v>
      </c>
      <c r="I107" s="146">
        <f>I97*'Assumptions-Hotel'!$N$9</f>
        <v>0</v>
      </c>
      <c r="J107" s="146">
        <f>J97*'Assumptions-Hotel'!$N$9</f>
        <v>0</v>
      </c>
      <c r="K107" s="146">
        <f>K97*'Assumptions-Hotel'!$N$9</f>
        <v>0</v>
      </c>
      <c r="L107" s="146">
        <f>L97*'Assumptions-Hotel'!$N$9</f>
        <v>0</v>
      </c>
      <c r="M107" s="146">
        <f>M97*'Assumptions-Hotel'!$N$9</f>
        <v>0</v>
      </c>
      <c r="N107" s="151">
        <f>N97*'Assumptions-Hotel'!$N$9</f>
        <v>0</v>
      </c>
    </row>
    <row r="108" spans="2:14" x14ac:dyDescent="0.65">
      <c r="B108" s="150" t="str">
        <f>B103</f>
        <v>Lifestyle Hotel</v>
      </c>
      <c r="C108" s="8"/>
      <c r="D108" s="144">
        <f>D98*'Assumptions-Hotel'!$N$9</f>
        <v>0</v>
      </c>
      <c r="E108" s="144">
        <f>E98*'Assumptions-Hotel'!$N$9</f>
        <v>0</v>
      </c>
      <c r="F108" s="144">
        <f>F98*'Assumptions-Hotel'!$N$9</f>
        <v>0</v>
      </c>
      <c r="G108" s="144">
        <f>G98*'Assumptions-Hotel'!$N$9</f>
        <v>0</v>
      </c>
      <c r="H108" s="144">
        <f>H98*'Assumptions-Hotel'!$N$9</f>
        <v>0</v>
      </c>
      <c r="I108" s="144">
        <f>I98*'Assumptions-Hotel'!$N$9</f>
        <v>0</v>
      </c>
      <c r="J108" s="144">
        <f>J98*'Assumptions-Hotel'!$N$9</f>
        <v>0</v>
      </c>
      <c r="K108" s="144">
        <f>K98*'Assumptions-Hotel'!$N$9</f>
        <v>0</v>
      </c>
      <c r="L108" s="144">
        <f>L98*'Assumptions-Hotel'!$N$9</f>
        <v>0</v>
      </c>
      <c r="M108" s="144">
        <f>M98*'Assumptions-Hotel'!$N$9</f>
        <v>0</v>
      </c>
      <c r="N108" s="152">
        <f>N98*'Assumptions-Hotel'!$N$9</f>
        <v>0</v>
      </c>
    </row>
    <row r="109" spans="2:14" x14ac:dyDescent="0.65">
      <c r="B109" s="3" t="s">
        <v>250</v>
      </c>
      <c r="C109" s="8"/>
      <c r="D109" s="146">
        <f t="shared" ref="D109:N109" si="68">SUM(D107:D108)</f>
        <v>0</v>
      </c>
      <c r="E109" s="146">
        <f t="shared" si="68"/>
        <v>0</v>
      </c>
      <c r="F109" s="146">
        <f t="shared" si="68"/>
        <v>0</v>
      </c>
      <c r="G109" s="146">
        <f t="shared" si="68"/>
        <v>0</v>
      </c>
      <c r="H109" s="146">
        <f t="shared" si="68"/>
        <v>0</v>
      </c>
      <c r="I109" s="146">
        <f t="shared" si="68"/>
        <v>0</v>
      </c>
      <c r="J109" s="146">
        <f t="shared" si="68"/>
        <v>0</v>
      </c>
      <c r="K109" s="146">
        <f t="shared" si="68"/>
        <v>0</v>
      </c>
      <c r="L109" s="146">
        <f t="shared" si="68"/>
        <v>0</v>
      </c>
      <c r="M109" s="146">
        <f t="shared" si="68"/>
        <v>0</v>
      </c>
      <c r="N109" s="151">
        <f t="shared" si="68"/>
        <v>0</v>
      </c>
    </row>
    <row r="110" spans="2:14" x14ac:dyDescent="0.65">
      <c r="B110" s="3"/>
      <c r="C110" s="8"/>
      <c r="D110" s="146"/>
      <c r="E110" s="146"/>
      <c r="F110" s="146"/>
      <c r="G110" s="146"/>
      <c r="H110" s="128"/>
      <c r="I110" s="146"/>
      <c r="J110" s="146"/>
      <c r="K110" s="146"/>
      <c r="L110" s="146"/>
      <c r="M110" s="146"/>
      <c r="N110" s="151"/>
    </row>
    <row r="111" spans="2:14" x14ac:dyDescent="0.65">
      <c r="B111" s="3" t="s">
        <v>247</v>
      </c>
      <c r="C111" s="8"/>
      <c r="D111" s="145">
        <f t="shared" ref="D111:N111" si="69">D99+D104+D109</f>
        <v>0</v>
      </c>
      <c r="E111" s="145">
        <f t="shared" si="69"/>
        <v>0</v>
      </c>
      <c r="F111" s="145">
        <f t="shared" si="69"/>
        <v>0</v>
      </c>
      <c r="G111" s="145">
        <f t="shared" si="69"/>
        <v>0</v>
      </c>
      <c r="H111" s="145">
        <f t="shared" si="69"/>
        <v>0</v>
      </c>
      <c r="I111" s="145">
        <f t="shared" si="69"/>
        <v>0</v>
      </c>
      <c r="J111" s="145">
        <f t="shared" si="69"/>
        <v>0</v>
      </c>
      <c r="K111" s="145">
        <f t="shared" si="69"/>
        <v>0</v>
      </c>
      <c r="L111" s="145">
        <f t="shared" si="69"/>
        <v>0</v>
      </c>
      <c r="M111" s="145">
        <f t="shared" si="69"/>
        <v>0</v>
      </c>
      <c r="N111" s="153">
        <f t="shared" si="69"/>
        <v>0</v>
      </c>
    </row>
    <row r="112" spans="2:14" x14ac:dyDescent="0.65">
      <c r="B112" s="3"/>
      <c r="C112" s="8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51"/>
    </row>
    <row r="113" spans="2:14" x14ac:dyDescent="0.65">
      <c r="B113" s="3" t="s">
        <v>128</v>
      </c>
      <c r="C113" s="8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51"/>
    </row>
    <row r="114" spans="2:14" x14ac:dyDescent="0.65">
      <c r="B114" s="150" t="s">
        <v>249</v>
      </c>
      <c r="C114" s="8"/>
      <c r="D114" s="146">
        <f>-SUM(D81:D82)*'Assumptions-Hotel'!$N$16*(1+'Assumptions-Overall'!$C$39)^('CashFlow-Hotel'!D$7-1)</f>
        <v>0</v>
      </c>
      <c r="E114" s="146">
        <f>-SUM(E81:E82)*'Assumptions-Hotel'!$N$16*(1+'Assumptions-Overall'!$C$39)^('CashFlow-Hotel'!E$7-1)</f>
        <v>0</v>
      </c>
      <c r="F114" s="146">
        <f>-SUM(F81:F82)*'Assumptions-Hotel'!$N$16*(1+'Assumptions-Overall'!$C$39)^('CashFlow-Hotel'!F$7-1)</f>
        <v>0</v>
      </c>
      <c r="G114" s="146">
        <f>-SUM(G81:G82)*'Assumptions-Hotel'!$N$16*(1+'Assumptions-Overall'!$C$39)^('CashFlow-Hotel'!G$7-1)</f>
        <v>0</v>
      </c>
      <c r="H114" s="146">
        <f>-SUM(H81:H82)*'Assumptions-Hotel'!$N$16*(1+'Assumptions-Overall'!$C$39)^('CashFlow-Hotel'!H$7-1)</f>
        <v>0</v>
      </c>
      <c r="I114" s="146">
        <f>-SUM(I81:I82)*'Assumptions-Hotel'!$N$16*(1+'Assumptions-Overall'!$C$39)^('CashFlow-Hotel'!I$7-1)</f>
        <v>0</v>
      </c>
      <c r="J114" s="146">
        <f>-SUM(J81:J82)*'Assumptions-Hotel'!$N$16*(1+'Assumptions-Overall'!$C$39)^('CashFlow-Hotel'!J$7-1)</f>
        <v>0</v>
      </c>
      <c r="K114" s="146">
        <f>-SUM(K81:K82)*'Assumptions-Hotel'!$N$16*(1+'Assumptions-Overall'!$C$39)^('CashFlow-Hotel'!K$7-1)</f>
        <v>0</v>
      </c>
      <c r="L114" s="146">
        <f>-SUM(L81:L82)*'Assumptions-Hotel'!$N$16*(1+'Assumptions-Overall'!$C$39)^('CashFlow-Hotel'!L$7-1)</f>
        <v>0</v>
      </c>
      <c r="M114" s="146">
        <f>-SUM(M81:M82)*'Assumptions-Hotel'!$N$16*(1+'Assumptions-Overall'!$C$39)^('CashFlow-Hotel'!M$7-1)</f>
        <v>0</v>
      </c>
      <c r="N114" s="151">
        <f>-SUM(N81:N82)*'Assumptions-Hotel'!$N$16*(1+'Assumptions-Overall'!$C$39)^('CashFlow-Hotel'!N$7-1)</f>
        <v>0</v>
      </c>
    </row>
    <row r="115" spans="2:14" x14ac:dyDescent="0.65">
      <c r="B115" s="150" t="s">
        <v>248</v>
      </c>
      <c r="C115" s="8"/>
      <c r="D115" s="146">
        <f>-D104*(1-'Assumptions-Hotel'!$N12)</f>
        <v>0</v>
      </c>
      <c r="E115" s="146">
        <f>-E104*(1-'Assumptions-Hotel'!$N12)</f>
        <v>0</v>
      </c>
      <c r="F115" s="146">
        <f>-F104*(1-'Assumptions-Hotel'!$N12)</f>
        <v>0</v>
      </c>
      <c r="G115" s="146">
        <f>-G104*(1-'Assumptions-Hotel'!$N12)</f>
        <v>0</v>
      </c>
      <c r="H115" s="146">
        <f>-H104*(1-'Assumptions-Hotel'!$N12)</f>
        <v>0</v>
      </c>
      <c r="I115" s="146">
        <f>-I104*(1-'Assumptions-Hotel'!$N12)</f>
        <v>0</v>
      </c>
      <c r="J115" s="146">
        <f>-J104*(1-'Assumptions-Hotel'!$N12)</f>
        <v>0</v>
      </c>
      <c r="K115" s="146">
        <f>-K104*(1-'Assumptions-Hotel'!$N12)</f>
        <v>0</v>
      </c>
      <c r="L115" s="146">
        <f>-L104*(1-'Assumptions-Hotel'!$N12)</f>
        <v>0</v>
      </c>
      <c r="M115" s="146">
        <f>-M104*(1-'Assumptions-Hotel'!$N12)</f>
        <v>0</v>
      </c>
      <c r="N115" s="151">
        <f>-N104*(1-'Assumptions-Hotel'!$N12)</f>
        <v>0</v>
      </c>
    </row>
    <row r="116" spans="2:14" x14ac:dyDescent="0.65">
      <c r="B116" s="150" t="s">
        <v>246</v>
      </c>
      <c r="C116" s="8"/>
      <c r="D116" s="144">
        <f>-D109*(1-'Assumptions-Hotel'!$N13)</f>
        <v>0</v>
      </c>
      <c r="E116" s="144">
        <f>-E109*(1-'Assumptions-Hotel'!$N13)</f>
        <v>0</v>
      </c>
      <c r="F116" s="144">
        <f>-F109*(1-'Assumptions-Hotel'!$N13)</f>
        <v>0</v>
      </c>
      <c r="G116" s="144">
        <f>-G109*(1-'Assumptions-Hotel'!$N13)</f>
        <v>0</v>
      </c>
      <c r="H116" s="144">
        <f>-H109*(1-'Assumptions-Hotel'!$N13)</f>
        <v>0</v>
      </c>
      <c r="I116" s="144">
        <f>-I109*(1-'Assumptions-Hotel'!$N13)</f>
        <v>0</v>
      </c>
      <c r="J116" s="144">
        <f>-J109*(1-'Assumptions-Hotel'!$N13)</f>
        <v>0</v>
      </c>
      <c r="K116" s="144">
        <f>-K109*(1-'Assumptions-Hotel'!$N13)</f>
        <v>0</v>
      </c>
      <c r="L116" s="144">
        <f>-L109*(1-'Assumptions-Hotel'!$N13)</f>
        <v>0</v>
      </c>
      <c r="M116" s="144">
        <f>-M109*(1-'Assumptions-Hotel'!$N13)</f>
        <v>0</v>
      </c>
      <c r="N116" s="152">
        <f>-N109*(1-'Assumptions-Hotel'!$N13)</f>
        <v>0</v>
      </c>
    </row>
    <row r="117" spans="2:14" x14ac:dyDescent="0.65">
      <c r="B117" s="3" t="s">
        <v>207</v>
      </c>
      <c r="C117" s="8"/>
      <c r="D117" s="146">
        <f>SUM(D114:D116)</f>
        <v>0</v>
      </c>
      <c r="E117" s="146">
        <f t="shared" ref="E117" si="70">SUM(E114:E116)</f>
        <v>0</v>
      </c>
      <c r="F117" s="146">
        <f t="shared" ref="F117" si="71">SUM(F114:F116)</f>
        <v>0</v>
      </c>
      <c r="G117" s="146">
        <f t="shared" ref="G117" si="72">SUM(G114:G116)</f>
        <v>0</v>
      </c>
      <c r="H117" s="146">
        <f t="shared" ref="H117" si="73">SUM(H114:H116)</f>
        <v>0</v>
      </c>
      <c r="I117" s="146">
        <f t="shared" ref="I117" si="74">SUM(I114:I116)</f>
        <v>0</v>
      </c>
      <c r="J117" s="146">
        <f t="shared" ref="J117" si="75">SUM(J114:J116)</f>
        <v>0</v>
      </c>
      <c r="K117" s="146">
        <f t="shared" ref="K117" si="76">SUM(K114:K116)</f>
        <v>0</v>
      </c>
      <c r="L117" s="146">
        <f t="shared" ref="L117" si="77">SUM(L114:L116)</f>
        <v>0</v>
      </c>
      <c r="M117" s="146">
        <f t="shared" ref="M117" si="78">SUM(M114:M116)</f>
        <v>0</v>
      </c>
      <c r="N117" s="151">
        <f t="shared" ref="N117" si="79">SUM(N114:N116)</f>
        <v>0</v>
      </c>
    </row>
    <row r="118" spans="2:14" x14ac:dyDescent="0.65">
      <c r="B118" s="3"/>
      <c r="C118" s="8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51"/>
    </row>
    <row r="119" spans="2:14" x14ac:dyDescent="0.65">
      <c r="B119" s="3" t="s">
        <v>189</v>
      </c>
      <c r="C119" s="8"/>
      <c r="D119" s="146">
        <f>-SUM(D81:D82)*'Assumptions-Hotel'!$N$17*(1+'Assumptions-Overall'!$C$40)^('CashFlow-Hotel'!D$7-1)</f>
        <v>0</v>
      </c>
      <c r="E119" s="146">
        <f>-SUM(E81:E82)*'Assumptions-Hotel'!$N$17*(1+'Assumptions-Overall'!$C$40)^('CashFlow-Hotel'!E$7-1)</f>
        <v>0</v>
      </c>
      <c r="F119" s="146">
        <f>-SUM(F81:F82)*'Assumptions-Hotel'!$N$17*(1+'Assumptions-Overall'!$C$40)^('CashFlow-Hotel'!F$7-1)</f>
        <v>0</v>
      </c>
      <c r="G119" s="146">
        <f>-SUM(G81:G82)*'Assumptions-Hotel'!$N$17*(1+'Assumptions-Overall'!$C$40)^('CashFlow-Hotel'!G$7-1)</f>
        <v>0</v>
      </c>
      <c r="H119" s="146">
        <f>-SUM(H81:H82)*'Assumptions-Hotel'!$N$17*(1+'Assumptions-Overall'!$C$40)^('CashFlow-Hotel'!H$7-1)</f>
        <v>0</v>
      </c>
      <c r="I119" s="146">
        <f>-SUM(I81:I82)*'Assumptions-Hotel'!$N$17*(1+'Assumptions-Overall'!$C$40)^('CashFlow-Hotel'!I$7-1)</f>
        <v>0</v>
      </c>
      <c r="J119" s="146">
        <f>-SUM(J81:J82)*'Assumptions-Hotel'!$N$17*(1+'Assumptions-Overall'!$C$40)^('CashFlow-Hotel'!J$7-1)</f>
        <v>0</v>
      </c>
      <c r="K119" s="146">
        <f>-SUM(K81:K82)*'Assumptions-Hotel'!$N$17*(1+'Assumptions-Overall'!$C$40)^('CashFlow-Hotel'!K$7-1)</f>
        <v>0</v>
      </c>
      <c r="L119" s="146">
        <f>-SUM(L81:L82)*'Assumptions-Hotel'!$N$17*(1+'Assumptions-Overall'!$C$40)^('CashFlow-Hotel'!L$7-1)</f>
        <v>0</v>
      </c>
      <c r="M119" s="146">
        <f>-SUM(M81:M82)*'Assumptions-Hotel'!$N$17*(1+'Assumptions-Overall'!$C$40)^('CashFlow-Hotel'!M$7-1)</f>
        <v>0</v>
      </c>
      <c r="N119" s="151">
        <f>-SUM(N81:N82)*'Assumptions-Hotel'!$N$17*(1+'Assumptions-Overall'!$C$40)^('CashFlow-Hotel'!N$7-1)</f>
        <v>0</v>
      </c>
    </row>
    <row r="120" spans="2:14" x14ac:dyDescent="0.65">
      <c r="B120" s="3"/>
      <c r="C120" s="8"/>
      <c r="D120" s="146"/>
      <c r="E120" s="146"/>
      <c r="F120" s="146"/>
      <c r="G120" s="146"/>
      <c r="H120" s="146"/>
      <c r="I120" s="146"/>
      <c r="J120" s="146"/>
      <c r="K120" s="146"/>
      <c r="L120" s="146"/>
      <c r="M120" s="146"/>
      <c r="N120" s="151"/>
    </row>
    <row r="121" spans="2:14" x14ac:dyDescent="0.65">
      <c r="B121" s="3" t="s">
        <v>209</v>
      </c>
      <c r="C121" s="8"/>
      <c r="D121" s="145">
        <f>SUM(D111)+D117+D119</f>
        <v>0</v>
      </c>
      <c r="E121" s="145">
        <f t="shared" ref="E121:K121" si="80">SUM(E111)+E117+E119</f>
        <v>0</v>
      </c>
      <c r="F121" s="145">
        <f t="shared" si="80"/>
        <v>0</v>
      </c>
      <c r="G121" s="145">
        <f t="shared" si="80"/>
        <v>0</v>
      </c>
      <c r="H121" s="145">
        <f t="shared" si="80"/>
        <v>0</v>
      </c>
      <c r="I121" s="145">
        <f t="shared" si="80"/>
        <v>0</v>
      </c>
      <c r="J121" s="145">
        <f t="shared" si="80"/>
        <v>0</v>
      </c>
      <c r="K121" s="145">
        <f t="shared" si="80"/>
        <v>0</v>
      </c>
      <c r="L121" s="145">
        <f>SUM(L111)+L117+L119</f>
        <v>0</v>
      </c>
      <c r="M121" s="145">
        <f t="shared" ref="M121:N121" si="81">SUM(M111)+M117+M119</f>
        <v>0</v>
      </c>
      <c r="N121" s="153">
        <f t="shared" si="81"/>
        <v>0</v>
      </c>
    </row>
    <row r="122" spans="2:14" x14ac:dyDescent="0.65">
      <c r="B122" s="3"/>
      <c r="C122" s="8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59"/>
    </row>
    <row r="123" spans="2:14" x14ac:dyDescent="0.65">
      <c r="B123" s="3" t="s">
        <v>208</v>
      </c>
      <c r="C123" s="8"/>
      <c r="D123" s="145">
        <f t="shared" ref="D123:M123" si="82">SUM(D121:D122)</f>
        <v>0</v>
      </c>
      <c r="E123" s="145">
        <f t="shared" si="82"/>
        <v>0</v>
      </c>
      <c r="F123" s="145">
        <f t="shared" si="82"/>
        <v>0</v>
      </c>
      <c r="G123" s="145">
        <f t="shared" si="82"/>
        <v>0</v>
      </c>
      <c r="H123" s="145">
        <f t="shared" si="82"/>
        <v>0</v>
      </c>
      <c r="I123" s="145">
        <f t="shared" si="82"/>
        <v>0</v>
      </c>
      <c r="J123" s="145">
        <f t="shared" si="82"/>
        <v>0</v>
      </c>
      <c r="K123" s="145">
        <f t="shared" si="82"/>
        <v>0</v>
      </c>
      <c r="L123" s="145">
        <f t="shared" si="82"/>
        <v>0</v>
      </c>
      <c r="M123" s="145">
        <f t="shared" si="82"/>
        <v>0</v>
      </c>
      <c r="N123" s="151"/>
    </row>
    <row r="124" spans="2:14" x14ac:dyDescent="0.65">
      <c r="B124" s="3"/>
      <c r="C124" s="8"/>
      <c r="D124" s="146"/>
      <c r="E124" s="146"/>
      <c r="F124" s="146"/>
      <c r="G124" s="146"/>
      <c r="H124" s="146"/>
      <c r="I124" s="146"/>
      <c r="J124" s="146"/>
      <c r="K124" s="146"/>
      <c r="L124" s="146"/>
      <c r="M124" s="146"/>
      <c r="N124" s="151"/>
    </row>
    <row r="125" spans="2:14" x14ac:dyDescent="0.65">
      <c r="B125" s="36" t="s">
        <v>130</v>
      </c>
      <c r="C125" s="8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51"/>
    </row>
    <row r="126" spans="2:14" x14ac:dyDescent="0.65">
      <c r="B126" s="3" t="s">
        <v>210</v>
      </c>
      <c r="C126" s="8"/>
      <c r="D126" s="146">
        <f>-(AND(D$8&gt;=YEAR(PhaseIIConBegin),D$8&lt;=YEAR(PhaseIIConEnd)))*SUM($D78:$N78)*SUM('Assumptions-Overall'!$J$28:$J$29)*(1+'Assumptions-Overall'!$C$41)^('CashFlow-Hotel'!D$7-1)/(YEAR(PhaseIIConEnd)-YEAR(PhaseIIConBegin)+1)</f>
        <v>0</v>
      </c>
      <c r="E126" s="146">
        <f>-(AND(E$8&gt;=YEAR(PhaseIIConBegin),E$8&lt;=YEAR(PhaseIIConEnd)))*SUM($D78:$N78)*SUM('Assumptions-Overall'!$J$28:$J$29)*(1+'Assumptions-Overall'!$C$41)^('CashFlow-Hotel'!E$7-1)/(YEAR(PhaseIIConEnd)-YEAR(PhaseIIConBegin)+1)</f>
        <v>0</v>
      </c>
      <c r="F126" s="146">
        <f>-(AND(F$8&gt;=YEAR(PhaseIIConBegin),F$8&lt;=YEAR(PhaseIIConEnd)))*SUM($D78:$N78)*SUM('Assumptions-Overall'!$J$28:$J$29)*(1+'Assumptions-Overall'!$C$41)^('CashFlow-Hotel'!F$7-1)/(YEAR(PhaseIIConEnd)-YEAR(PhaseIIConBegin)+1)</f>
        <v>0</v>
      </c>
      <c r="G126" s="146">
        <f>-(AND(G$8&gt;=YEAR(PhaseIIConBegin),G$8&lt;=YEAR(PhaseIIConEnd)))*SUM($D78:$N78)*SUM('Assumptions-Overall'!$J$28:$J$29)*(1+'Assumptions-Overall'!$C$41)^('CashFlow-Hotel'!G$7-1)/(YEAR(PhaseIIConEnd)-YEAR(PhaseIIConBegin)+1)</f>
        <v>0</v>
      </c>
      <c r="H126" s="146">
        <f>-(AND(H$8&gt;=YEAR(PhaseIIConBegin),H$8&lt;=YEAR(PhaseIIConEnd)))*SUM($D78:$N78)*SUM('Assumptions-Overall'!$J$28:$J$29)*(1+'Assumptions-Overall'!$C$41)^('CashFlow-Hotel'!H$7-1)/(YEAR(PhaseIIConEnd)-YEAR(PhaseIIConBegin)+1)</f>
        <v>0</v>
      </c>
      <c r="I126" s="146">
        <f>-(AND(I$8&gt;=YEAR(PhaseIIConBegin),I$8&lt;=YEAR(PhaseIIConEnd)))*SUM($D78:$N78)*SUM('Assumptions-Overall'!$J$28:$J$29)*(1+'Assumptions-Overall'!$C$41)^('CashFlow-Hotel'!I$7-1)/(YEAR(PhaseIIConEnd)-YEAR(PhaseIIConBegin)+1)</f>
        <v>0</v>
      </c>
      <c r="J126" s="146">
        <f>-(AND(J$8&gt;=YEAR(PhaseIIConBegin),J$8&lt;=YEAR(PhaseIIConEnd)))*SUM($D78:$N78)*SUM('Assumptions-Overall'!$J$28:$J$29)*(1+'Assumptions-Overall'!$C$41)^('CashFlow-Hotel'!J$7-1)/(YEAR(PhaseIIConEnd)-YEAR(PhaseIIConBegin)+1)</f>
        <v>0</v>
      </c>
      <c r="K126" s="146">
        <f>-(AND(K$8&gt;=YEAR(PhaseIIConBegin),K$8&lt;=YEAR(PhaseIIConEnd)))*SUM($D78:$N78)*SUM('Assumptions-Overall'!$J$28:$J$29)*(1+'Assumptions-Overall'!$C$41)^('CashFlow-Hotel'!K$7-1)/(YEAR(PhaseIIConEnd)-YEAR(PhaseIIConBegin)+1)</f>
        <v>0</v>
      </c>
      <c r="L126" s="146">
        <f>-(AND(L$8&gt;=YEAR(PhaseIIConBegin),L$8&lt;=YEAR(PhaseIIConEnd)))*SUM($D78:$N78)*SUM('Assumptions-Overall'!$J$28:$J$29)*(1+'Assumptions-Overall'!$C$41)^('CashFlow-Hotel'!L$7-1)/(YEAR(PhaseIIConEnd)-YEAR(PhaseIIConBegin)+1)</f>
        <v>0</v>
      </c>
      <c r="M126" s="146">
        <f>-(AND(M$8&gt;=YEAR(PhaseIIConBegin),M$8&lt;=YEAR(PhaseIIConEnd)))*SUM($D78:$N78)*SUM('Assumptions-Overall'!$J$28:$J$29)*(1+'Assumptions-Overall'!$C$41)^('CashFlow-Hotel'!M$7-1)/(YEAR(PhaseIIConEnd)-YEAR(PhaseIIConBegin)+1)</f>
        <v>0</v>
      </c>
      <c r="N126" s="151"/>
    </row>
    <row r="127" spans="2:14" x14ac:dyDescent="0.65">
      <c r="B127" s="3" t="s">
        <v>211</v>
      </c>
      <c r="C127" s="8"/>
      <c r="D127" s="146">
        <f>(AND(D$8&gt;=YEAR(PhaseIIPreconBegin),D$8&lt;=YEAR(PhaseIIConEnd)))*SUM($D126:$N126)*'Assumptions-Overall'!$H$43/(YEAR(PhaseIIConEnd)-YEAR(PhaseIIPreconBegin)+1)</f>
        <v>0</v>
      </c>
      <c r="E127" s="146">
        <f>(AND(E$8&gt;=YEAR(PhaseIIPreconBegin),E$8&lt;=YEAR(PhaseIIConEnd)))*SUM($D126:$N126)*'Assumptions-Overall'!$H$43/(YEAR(PhaseIIConEnd)-YEAR(PhaseIIPreconBegin)+1)</f>
        <v>0</v>
      </c>
      <c r="F127" s="146">
        <f>(AND(F$8&gt;=YEAR(PhaseIIPreconBegin),F$8&lt;=YEAR(PhaseIIConEnd)))*SUM($D126:$N126)*'Assumptions-Overall'!$H$43/(YEAR(PhaseIIConEnd)-YEAR(PhaseIIPreconBegin)+1)</f>
        <v>0</v>
      </c>
      <c r="G127" s="146">
        <f>(AND(G$8&gt;=YEAR(PhaseIIPreconBegin),G$8&lt;=YEAR(PhaseIIConEnd)))*SUM($D126:$N126)*'Assumptions-Overall'!$H$43/(YEAR(PhaseIIConEnd)-YEAR(PhaseIIPreconBegin)+1)</f>
        <v>0</v>
      </c>
      <c r="H127" s="146">
        <f>(AND(H$8&gt;=YEAR(PhaseIIPreconBegin),H$8&lt;=YEAR(PhaseIIConEnd)))*SUM($D126:$N126)*'Assumptions-Overall'!$H$43/(YEAR(PhaseIIConEnd)-YEAR(PhaseIIPreconBegin)+1)</f>
        <v>0</v>
      </c>
      <c r="I127" s="146">
        <f>(AND(I$8&gt;=YEAR(PhaseIIPreconBegin),I$8&lt;=YEAR(PhaseIIConEnd)))*SUM($D126:$N126)*'Assumptions-Overall'!$H$43/(YEAR(PhaseIIConEnd)-YEAR(PhaseIIPreconBegin)+1)</f>
        <v>0</v>
      </c>
      <c r="J127" s="146">
        <f>(AND(J$8&gt;=YEAR(PhaseIIPreconBegin),J$8&lt;=YEAR(PhaseIIConEnd)))*SUM($D126:$N126)*'Assumptions-Overall'!$H$43/(YEAR(PhaseIIConEnd)-YEAR(PhaseIIPreconBegin)+1)</f>
        <v>0</v>
      </c>
      <c r="K127" s="146">
        <f>(AND(K$8&gt;=YEAR(PhaseIIPreconBegin),K$8&lt;=YEAR(PhaseIIConEnd)))*SUM($D126:$N126)*'Assumptions-Overall'!$H$43/(YEAR(PhaseIIConEnd)-YEAR(PhaseIIPreconBegin)+1)</f>
        <v>0</v>
      </c>
      <c r="L127" s="146">
        <f>(AND(L$8&gt;=YEAR(PhaseIIPreconBegin),L$8&lt;=YEAR(PhaseIIConEnd)))*SUM($D126:$N126)*'Assumptions-Overall'!$H$43/(YEAR(PhaseIIConEnd)-YEAR(PhaseIIPreconBegin)+1)</f>
        <v>0</v>
      </c>
      <c r="M127" s="146">
        <f>(AND(M$8&gt;=YEAR(PhaseIIPreconBegin),M$8&lt;=YEAR(PhaseIIConEnd)))*SUM($D126:$N126)*'Assumptions-Overall'!$H$43/(YEAR(PhaseIIConEnd)-YEAR(PhaseIIPreconBegin)+1)</f>
        <v>0</v>
      </c>
      <c r="N127" s="151"/>
    </row>
    <row r="128" spans="2:14" x14ac:dyDescent="0.65">
      <c r="B128" s="3" t="s">
        <v>115</v>
      </c>
      <c r="C128" s="8"/>
      <c r="D128" s="146">
        <f>(AND(D$8&gt;=YEAR(PhaseIIPreconBegin),D$8&lt;=YEAR(PhaseIIConEnd)))*SUM($D126:$N126)*'Assumptions-Overall'!$H$44/(YEAR(PhaseIIConEnd)-YEAR(PhaseIIPreconBegin)+1)</f>
        <v>0</v>
      </c>
      <c r="E128" s="146">
        <f>(AND(E$8&gt;=YEAR(PhaseIIPreconBegin),E$8&lt;=YEAR(PhaseIIConEnd)))*SUM($D126:$N126)*'Assumptions-Overall'!$H$44/(YEAR(PhaseIIConEnd)-YEAR(PhaseIIPreconBegin)+1)</f>
        <v>0</v>
      </c>
      <c r="F128" s="146">
        <f>(AND(F$8&gt;=YEAR(PhaseIIPreconBegin),F$8&lt;=YEAR(PhaseIIConEnd)))*SUM($D126:$N126)*'Assumptions-Overall'!$H$44/(YEAR(PhaseIIConEnd)-YEAR(PhaseIIPreconBegin)+1)</f>
        <v>0</v>
      </c>
      <c r="G128" s="146">
        <f>(AND(G$8&gt;=YEAR(PhaseIIPreconBegin),G$8&lt;=YEAR(PhaseIIConEnd)))*SUM($D126:$N126)*'Assumptions-Overall'!$H$44/(YEAR(PhaseIIConEnd)-YEAR(PhaseIIPreconBegin)+1)</f>
        <v>0</v>
      </c>
      <c r="H128" s="146">
        <f>(AND(H$8&gt;=YEAR(PhaseIIPreconBegin),H$8&lt;=YEAR(PhaseIIConEnd)))*SUM($D126:$N126)*'Assumptions-Overall'!$H$44/(YEAR(PhaseIIConEnd)-YEAR(PhaseIIPreconBegin)+1)</f>
        <v>0</v>
      </c>
      <c r="I128" s="146">
        <f>(AND(I$8&gt;=YEAR(PhaseIIPreconBegin),I$8&lt;=YEAR(PhaseIIConEnd)))*SUM($D126:$N126)*'Assumptions-Overall'!$H$44/(YEAR(PhaseIIConEnd)-YEAR(PhaseIIPreconBegin)+1)</f>
        <v>0</v>
      </c>
      <c r="J128" s="146">
        <f>(AND(J$8&gt;=YEAR(PhaseIIPreconBegin),J$8&lt;=YEAR(PhaseIIConEnd)))*SUM($D126:$N126)*'Assumptions-Overall'!$H$44/(YEAR(PhaseIIConEnd)-YEAR(PhaseIIPreconBegin)+1)</f>
        <v>0</v>
      </c>
      <c r="K128" s="146">
        <f>(AND(K$8&gt;=YEAR(PhaseIIPreconBegin),K$8&lt;=YEAR(PhaseIIConEnd)))*SUM($D126:$N126)*'Assumptions-Overall'!$H$44/(YEAR(PhaseIIConEnd)-YEAR(PhaseIIPreconBegin)+1)</f>
        <v>0</v>
      </c>
      <c r="L128" s="146">
        <f>(AND(L$8&gt;=YEAR(PhaseIIPreconBegin),L$8&lt;=YEAR(PhaseIIConEnd)))*SUM($D126:$N126)*'Assumptions-Overall'!$H$44/(YEAR(PhaseIIConEnd)-YEAR(PhaseIIPreconBegin)+1)</f>
        <v>0</v>
      </c>
      <c r="M128" s="146">
        <f>(AND(M$8&gt;=YEAR(PhaseIIPreconBegin),M$8&lt;=YEAR(PhaseIIConEnd)))*SUM($D126:$N126)*'Assumptions-Overall'!$H$44/(YEAR(PhaseIIConEnd)-YEAR(PhaseIIPreconBegin)+1)</f>
        <v>0</v>
      </c>
      <c r="N128" s="151"/>
    </row>
    <row r="129" spans="2:14" x14ac:dyDescent="0.65">
      <c r="B129" s="3" t="s">
        <v>116</v>
      </c>
      <c r="C129" s="8"/>
      <c r="D129" s="144">
        <f>SUM(D126:D128)*'Assumptions-Overall'!$H$45</f>
        <v>0</v>
      </c>
      <c r="E129" s="144">
        <f>SUM(E126:E128)*'Assumptions-Overall'!$H$45</f>
        <v>0</v>
      </c>
      <c r="F129" s="144">
        <f>SUM(F126:F128)*'Assumptions-Overall'!$H$45</f>
        <v>0</v>
      </c>
      <c r="G129" s="144">
        <f>SUM(G126:G128)*'Assumptions-Overall'!$H$45</f>
        <v>0</v>
      </c>
      <c r="H129" s="144">
        <f>SUM(H126:H128)*'Assumptions-Overall'!$H$45</f>
        <v>0</v>
      </c>
      <c r="I129" s="144">
        <f>SUM(I126:I128)*'Assumptions-Overall'!$H$45</f>
        <v>0</v>
      </c>
      <c r="J129" s="144">
        <f>SUM(J126:J128)*'Assumptions-Overall'!$H$45</f>
        <v>0</v>
      </c>
      <c r="K129" s="144">
        <f>SUM(K126:K128)*'Assumptions-Overall'!$H$45</f>
        <v>0</v>
      </c>
      <c r="L129" s="144">
        <f>SUM(L126:L128)*'Assumptions-Overall'!$H$45</f>
        <v>0</v>
      </c>
      <c r="M129" s="144">
        <f>SUM(M126:M128)*'Assumptions-Overall'!$H$45</f>
        <v>0</v>
      </c>
      <c r="N129" s="151"/>
    </row>
    <row r="130" spans="2:14" x14ac:dyDescent="0.65">
      <c r="B130" s="3" t="s">
        <v>212</v>
      </c>
      <c r="C130" s="8"/>
      <c r="D130" s="146">
        <f>SUM(D126:D129)</f>
        <v>0</v>
      </c>
      <c r="E130" s="146">
        <f t="shared" ref="E130" si="83">SUM(E126:E129)</f>
        <v>0</v>
      </c>
      <c r="F130" s="146">
        <f t="shared" ref="F130" si="84">SUM(F126:F129)</f>
        <v>0</v>
      </c>
      <c r="G130" s="146">
        <f t="shared" ref="G130" si="85">SUM(G126:G129)</f>
        <v>0</v>
      </c>
      <c r="H130" s="146">
        <f t="shared" ref="H130" si="86">SUM(H126:H129)</f>
        <v>0</v>
      </c>
      <c r="I130" s="146">
        <f t="shared" ref="I130" si="87">SUM(I126:I129)</f>
        <v>0</v>
      </c>
      <c r="J130" s="146">
        <f t="shared" ref="J130" si="88">SUM(J126:J129)</f>
        <v>0</v>
      </c>
      <c r="K130" s="146">
        <f t="shared" ref="K130" si="89">SUM(K126:K129)</f>
        <v>0</v>
      </c>
      <c r="L130" s="146">
        <f t="shared" ref="L130" si="90">SUM(L126:L129)</f>
        <v>0</v>
      </c>
      <c r="M130" s="146">
        <f t="shared" ref="M130" si="91">SUM(M126:M129)</f>
        <v>0</v>
      </c>
      <c r="N130" s="151"/>
    </row>
    <row r="131" spans="2:14" x14ac:dyDescent="0.65">
      <c r="B131" s="3"/>
      <c r="C131" s="8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51"/>
    </row>
    <row r="132" spans="2:14" x14ac:dyDescent="0.65">
      <c r="B132" s="36" t="s">
        <v>213</v>
      </c>
      <c r="C132" s="8"/>
      <c r="D132" s="146"/>
      <c r="E132" s="146"/>
      <c r="F132" s="146"/>
      <c r="G132" s="146"/>
      <c r="H132" s="146"/>
      <c r="I132" s="146"/>
      <c r="J132" s="146"/>
      <c r="K132" s="146"/>
      <c r="L132" s="146"/>
      <c r="M132" s="146"/>
      <c r="N132" s="151"/>
    </row>
    <row r="133" spans="2:14" x14ac:dyDescent="0.65">
      <c r="B133" s="3" t="s">
        <v>215</v>
      </c>
      <c r="C133" s="8"/>
      <c r="D133" s="146">
        <f>(D$8=YEAR('Assumptions-Overall'!$C$30))*E121/'Assumptions-Overall'!$V$22</f>
        <v>0</v>
      </c>
      <c r="E133" s="146">
        <f>(E$8=YEAR('Assumptions-Overall'!$C$30))*F121/'Assumptions-Overall'!$V$22</f>
        <v>0</v>
      </c>
      <c r="F133" s="146">
        <f>(F$8=YEAR('Assumptions-Overall'!$C$30))*G121/'Assumptions-Overall'!$V$22</f>
        <v>0</v>
      </c>
      <c r="G133" s="146">
        <f>(G$8=YEAR('Assumptions-Overall'!$C$30))*H121/'Assumptions-Overall'!$V$22</f>
        <v>0</v>
      </c>
      <c r="H133" s="146">
        <f>(H$8=YEAR('Assumptions-Overall'!$C$30))*I121/'Assumptions-Overall'!$V$22</f>
        <v>0</v>
      </c>
      <c r="I133" s="146">
        <f>(I$8=YEAR('Assumptions-Overall'!$C$30))*J121/'Assumptions-Overall'!$V$22</f>
        <v>0</v>
      </c>
      <c r="J133" s="146">
        <f>(J$8=YEAR('Assumptions-Overall'!$C$30))*K121/'Assumptions-Overall'!$V$22</f>
        <v>0</v>
      </c>
      <c r="K133" s="146">
        <f>(K$8=YEAR('Assumptions-Overall'!$C$30))*L121/'Assumptions-Overall'!$V$22</f>
        <v>0</v>
      </c>
      <c r="L133" s="146">
        <f>(L$8=YEAR('Assumptions-Overall'!$C$30))*M121/'Assumptions-Overall'!$V$22</f>
        <v>0</v>
      </c>
      <c r="M133" s="146">
        <f>(M$8=YEAR('Assumptions-Overall'!$C$30))*N121/'Assumptions-Overall'!$V$22</f>
        <v>0</v>
      </c>
      <c r="N133" s="151"/>
    </row>
    <row r="134" spans="2:14" x14ac:dyDescent="0.65">
      <c r="B134" s="3" t="s">
        <v>216</v>
      </c>
      <c r="C134" s="8"/>
      <c r="D134" s="144">
        <f>-D133*'Assumptions-Overall'!$R$27</f>
        <v>0</v>
      </c>
      <c r="E134" s="144">
        <f>-E133*'Assumptions-Overall'!$R$27</f>
        <v>0</v>
      </c>
      <c r="F134" s="144">
        <f>-F133*'Assumptions-Overall'!$R$27</f>
        <v>0</v>
      </c>
      <c r="G134" s="144">
        <f>-G133*'Assumptions-Overall'!$R$27</f>
        <v>0</v>
      </c>
      <c r="H134" s="144">
        <f>-H133*'Assumptions-Overall'!$R$27</f>
        <v>0</v>
      </c>
      <c r="I134" s="144">
        <f>-I133*'Assumptions-Overall'!$R$27</f>
        <v>0</v>
      </c>
      <c r="J134" s="144">
        <f>-J133*'Assumptions-Overall'!$R$27</f>
        <v>0</v>
      </c>
      <c r="K134" s="144">
        <f>-K133*'Assumptions-Overall'!$R$27</f>
        <v>0</v>
      </c>
      <c r="L134" s="144">
        <f>-L133*'Assumptions-Overall'!$R$27</f>
        <v>0</v>
      </c>
      <c r="M134" s="144">
        <f>-M133*'Assumptions-Overall'!$R$27</f>
        <v>0</v>
      </c>
      <c r="N134" s="151"/>
    </row>
    <row r="135" spans="2:14" x14ac:dyDescent="0.65">
      <c r="B135" s="3" t="s">
        <v>217</v>
      </c>
      <c r="C135" s="8"/>
      <c r="D135" s="146">
        <f>SUM(D133:D134)</f>
        <v>0</v>
      </c>
      <c r="E135" s="146">
        <f t="shared" ref="E135" si="92">SUM(E133:E134)</f>
        <v>0</v>
      </c>
      <c r="F135" s="146">
        <f t="shared" ref="F135" si="93">SUM(F133:F134)</f>
        <v>0</v>
      </c>
      <c r="G135" s="146">
        <f t="shared" ref="G135" si="94">SUM(G133:G134)</f>
        <v>0</v>
      </c>
      <c r="H135" s="146">
        <f t="shared" ref="H135" si="95">SUM(H133:H134)</f>
        <v>0</v>
      </c>
      <c r="I135" s="146">
        <f t="shared" ref="I135" si="96">SUM(I133:I134)</f>
        <v>0</v>
      </c>
      <c r="J135" s="146">
        <f t="shared" ref="J135" si="97">SUM(J133:J134)</f>
        <v>0</v>
      </c>
      <c r="K135" s="146">
        <f t="shared" ref="K135" si="98">SUM(K133:K134)</f>
        <v>0</v>
      </c>
      <c r="L135" s="146">
        <f t="shared" ref="L135" si="99">SUM(L133:L134)</f>
        <v>0</v>
      </c>
      <c r="M135" s="146">
        <f t="shared" ref="M135" si="100">SUM(M133:M134)</f>
        <v>0</v>
      </c>
      <c r="N135" s="151"/>
    </row>
    <row r="136" spans="2:14" x14ac:dyDescent="0.65">
      <c r="B136" s="3"/>
      <c r="C136" s="8"/>
      <c r="D136" s="146"/>
      <c r="E136" s="146"/>
      <c r="F136" s="146"/>
      <c r="G136" s="146"/>
      <c r="H136" s="146"/>
      <c r="I136" s="146"/>
      <c r="J136" s="146"/>
      <c r="K136" s="146"/>
      <c r="L136" s="146"/>
      <c r="M136" s="146"/>
      <c r="N136" s="151"/>
    </row>
    <row r="137" spans="2:14" x14ac:dyDescent="0.65">
      <c r="B137" s="3" t="s">
        <v>214</v>
      </c>
      <c r="C137" s="8"/>
      <c r="D137" s="146">
        <f t="shared" ref="D137:M137" si="101">D123+D130+D135</f>
        <v>0</v>
      </c>
      <c r="E137" s="146">
        <f t="shared" si="101"/>
        <v>0</v>
      </c>
      <c r="F137" s="146">
        <f t="shared" si="101"/>
        <v>0</v>
      </c>
      <c r="G137" s="146">
        <f t="shared" si="101"/>
        <v>0</v>
      </c>
      <c r="H137" s="146">
        <f t="shared" si="101"/>
        <v>0</v>
      </c>
      <c r="I137" s="146">
        <f t="shared" si="101"/>
        <v>0</v>
      </c>
      <c r="J137" s="146">
        <f t="shared" si="101"/>
        <v>0</v>
      </c>
      <c r="K137" s="146">
        <f t="shared" si="101"/>
        <v>0</v>
      </c>
      <c r="L137" s="146">
        <f t="shared" si="101"/>
        <v>0</v>
      </c>
      <c r="M137" s="146">
        <f t="shared" si="101"/>
        <v>0</v>
      </c>
      <c r="N137" s="151"/>
    </row>
    <row r="138" spans="2:14" x14ac:dyDescent="0.65">
      <c r="B138" s="3" t="s">
        <v>218</v>
      </c>
      <c r="C138" s="158" t="str">
        <f>IFERROR(IRR(D137:M137),"n/a")</f>
        <v>n/a</v>
      </c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51"/>
    </row>
    <row r="139" spans="2:14" ht="13" thickBot="1" x14ac:dyDescent="0.8">
      <c r="B139" s="5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1"/>
    </row>
    <row r="140" spans="2:14" x14ac:dyDescent="0.65">
      <c r="B140" s="154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6"/>
    </row>
    <row r="141" spans="2:14" x14ac:dyDescent="0.65">
      <c r="B141" s="147" t="s">
        <v>198</v>
      </c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9"/>
    </row>
    <row r="142" spans="2:14" x14ac:dyDescent="0.65">
      <c r="B142" s="3" t="s">
        <v>194</v>
      </c>
      <c r="C142" s="8"/>
      <c r="D142" s="148">
        <f>(D$8&gt;=YEAR(PhaseIIIComplete))*SUMIF(BuildingSummary!$V$18:$X$18,"III",BuildingSummary!$V$24:$X$24)</f>
        <v>0</v>
      </c>
      <c r="E142" s="148">
        <f>(E$8&gt;=YEAR(PhaseIIIComplete))*SUMIF(BuildingSummary!$V$18:$X$18,"III",BuildingSummary!$V$24:$X$24)</f>
        <v>0</v>
      </c>
      <c r="F142" s="148">
        <f>(F$8&gt;=YEAR(PhaseIIIComplete))*SUMIF(BuildingSummary!$V$18:$X$18,"III",BuildingSummary!$V$24:$X$24)</f>
        <v>0</v>
      </c>
      <c r="G142" s="148">
        <f>(G$8&gt;=YEAR(PhaseIIIComplete))*SUMIF(BuildingSummary!$V$18:$X$18,"III",BuildingSummary!$V$24:$X$24)</f>
        <v>0</v>
      </c>
      <c r="H142" s="148">
        <f>(H$8&gt;=YEAR(PhaseIIIComplete))*SUMIF(BuildingSummary!$V$18:$X$18,"III",BuildingSummary!$V$24:$X$24)</f>
        <v>0</v>
      </c>
      <c r="I142" s="148">
        <f>(I$8&gt;=YEAR(PhaseIIIComplete))*SUMIF(BuildingSummary!$V$18:$X$18,"III",BuildingSummary!$V$24:$X$24)</f>
        <v>0</v>
      </c>
      <c r="J142" s="148">
        <f>(J$8&gt;=YEAR(PhaseIIIComplete))*SUMIF(BuildingSummary!$V$18:$X$18,"III",BuildingSummary!$V$24:$X$24)</f>
        <v>0</v>
      </c>
      <c r="K142" s="148">
        <f>(K$8&gt;=YEAR(PhaseIIIComplete))*SUMIF(BuildingSummary!$V$18:$X$18,"III",BuildingSummary!$V$24:$X$24)</f>
        <v>0</v>
      </c>
      <c r="L142" s="148">
        <f>(L$8&gt;=YEAR(PhaseIIIComplete))*SUMIF(BuildingSummary!$V$18:$X$18,"III",BuildingSummary!$V$24:$X$24)</f>
        <v>0</v>
      </c>
      <c r="M142" s="148">
        <f>(M$8&gt;=YEAR(PhaseIIIComplete))*SUMIF(BuildingSummary!$V$18:$X$18,"III",BuildingSummary!$V$24:$X$24)</f>
        <v>338947</v>
      </c>
      <c r="N142" s="149">
        <f>(N$8&gt;=YEAR(PhaseIIIComplete))*SUMIF(BuildingSummary!$V$18:$X$18,"III",BuildingSummary!$V$24:$X$24)</f>
        <v>338947</v>
      </c>
    </row>
    <row r="143" spans="2:14" x14ac:dyDescent="0.65">
      <c r="B143" s="3" t="s">
        <v>195</v>
      </c>
      <c r="C143" s="8"/>
      <c r="D143" s="148">
        <f>D142-C142</f>
        <v>0</v>
      </c>
      <c r="E143" s="148">
        <f t="shared" ref="E143:N143" si="102">E142-D142</f>
        <v>0</v>
      </c>
      <c r="F143" s="148">
        <f t="shared" si="102"/>
        <v>0</v>
      </c>
      <c r="G143" s="148">
        <f t="shared" si="102"/>
        <v>0</v>
      </c>
      <c r="H143" s="148">
        <f t="shared" si="102"/>
        <v>0</v>
      </c>
      <c r="I143" s="148">
        <f t="shared" si="102"/>
        <v>0</v>
      </c>
      <c r="J143" s="148">
        <f t="shared" si="102"/>
        <v>0</v>
      </c>
      <c r="K143" s="148">
        <f t="shared" si="102"/>
        <v>0</v>
      </c>
      <c r="L143" s="148">
        <f t="shared" si="102"/>
        <v>0</v>
      </c>
      <c r="M143" s="148">
        <f t="shared" si="102"/>
        <v>338947</v>
      </c>
      <c r="N143" s="149">
        <f t="shared" si="102"/>
        <v>0</v>
      </c>
    </row>
    <row r="144" spans="2:14" x14ac:dyDescent="0.65">
      <c r="B144" s="3"/>
      <c r="C144" s="8"/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9"/>
    </row>
    <row r="145" spans="2:14" x14ac:dyDescent="0.65">
      <c r="B145" s="36" t="s">
        <v>235</v>
      </c>
      <c r="C145" s="8"/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9"/>
    </row>
    <row r="146" spans="2:14" x14ac:dyDescent="0.65">
      <c r="B146" s="3" t="str">
        <f>B101</f>
        <v>Food &amp; Beverage Revenue</v>
      </c>
      <c r="C146" s="8"/>
      <c r="D146" s="148">
        <f>(D$8&gt;=YEAR(PhaseIIIComplete))*'Assumptions-Hotel'!$F9</f>
        <v>0</v>
      </c>
      <c r="E146" s="148">
        <f>(E$8&gt;=YEAR(PhaseIIIComplete))*'Assumptions-Hotel'!$F9</f>
        <v>0</v>
      </c>
      <c r="F146" s="148">
        <f>(F$8&gt;=YEAR(PhaseIIIComplete))*'Assumptions-Hotel'!$F9</f>
        <v>0</v>
      </c>
      <c r="G146" s="148">
        <f>(G$8&gt;=YEAR(PhaseIIIComplete))*'Assumptions-Hotel'!$F9</f>
        <v>0</v>
      </c>
      <c r="H146" s="148">
        <f>(H$8&gt;=YEAR(PhaseIIIComplete))*'Assumptions-Hotel'!$F9</f>
        <v>0</v>
      </c>
      <c r="I146" s="148">
        <f>(I$8&gt;=YEAR(PhaseIIIComplete))*'Assumptions-Hotel'!$F9</f>
        <v>0</v>
      </c>
      <c r="J146" s="148">
        <f>(J$8&gt;=YEAR(PhaseIIIComplete))*'Assumptions-Hotel'!$F9</f>
        <v>0</v>
      </c>
      <c r="K146" s="148">
        <f>(K$8&gt;=YEAR(PhaseIIIComplete))*'Assumptions-Hotel'!$F9</f>
        <v>0</v>
      </c>
      <c r="L146" s="148">
        <f>(L$8&gt;=YEAR(PhaseIIIComplete))*'Assumptions-Hotel'!$F9</f>
        <v>0</v>
      </c>
      <c r="M146" s="148">
        <f>(M$8&gt;=YEAR(PhaseIIIComplete))*'Assumptions-Hotel'!$F9</f>
        <v>735</v>
      </c>
      <c r="N146" s="149">
        <f>(N$8&gt;=YEAR(PhaseIIIComplete))*'Assumptions-Hotel'!$F9</f>
        <v>735</v>
      </c>
    </row>
    <row r="147" spans="2:14" x14ac:dyDescent="0.65">
      <c r="B147" s="3" t="str">
        <f>B102</f>
        <v>Food &amp; Beverage Revenue</v>
      </c>
      <c r="C147" s="8"/>
      <c r="D147" s="148">
        <f>(D$8&gt;=YEAR(PhaseIIIComplete))*'Assumptions-Hotel'!$F10</f>
        <v>0</v>
      </c>
      <c r="E147" s="148">
        <f>(E$8&gt;=YEAR(PhaseIIIComplete))*'Assumptions-Hotel'!$F10</f>
        <v>0</v>
      </c>
      <c r="F147" s="148">
        <f>(F$8&gt;=YEAR(PhaseIIIComplete))*'Assumptions-Hotel'!$F10</f>
        <v>0</v>
      </c>
      <c r="G147" s="148">
        <f>(G$8&gt;=YEAR(PhaseIIIComplete))*'Assumptions-Hotel'!$F10</f>
        <v>0</v>
      </c>
      <c r="H147" s="148">
        <f>(H$8&gt;=YEAR(PhaseIIIComplete))*'Assumptions-Hotel'!$F10</f>
        <v>0</v>
      </c>
      <c r="I147" s="148">
        <f>(I$8&gt;=YEAR(PhaseIIIComplete))*'Assumptions-Hotel'!$F10</f>
        <v>0</v>
      </c>
      <c r="J147" s="148">
        <f>(J$8&gt;=YEAR(PhaseIIIComplete))*'Assumptions-Hotel'!$F10</f>
        <v>0</v>
      </c>
      <c r="K147" s="148">
        <f>(K$8&gt;=YEAR(PhaseIIIComplete))*'Assumptions-Hotel'!$F10</f>
        <v>0</v>
      </c>
      <c r="L147" s="148">
        <f>(L$8&gt;=YEAR(PhaseIIIComplete))*'Assumptions-Hotel'!$F10</f>
        <v>0</v>
      </c>
      <c r="M147" s="148">
        <f>(M$8&gt;=YEAR(PhaseIIIComplete))*'Assumptions-Hotel'!$F10</f>
        <v>0</v>
      </c>
      <c r="N147" s="149">
        <f>(N$8&gt;=YEAR(PhaseIIIComplete))*'Assumptions-Hotel'!$F10</f>
        <v>0</v>
      </c>
    </row>
    <row r="148" spans="2:14" x14ac:dyDescent="0.65">
      <c r="B148" s="3"/>
      <c r="C148" s="8"/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9"/>
    </row>
    <row r="149" spans="2:14" x14ac:dyDescent="0.65">
      <c r="B149" s="36" t="s">
        <v>239</v>
      </c>
      <c r="C149" s="8"/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9"/>
    </row>
    <row r="150" spans="2:14" x14ac:dyDescent="0.65">
      <c r="B150" s="3" t="s">
        <v>240</v>
      </c>
      <c r="C150" s="8"/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9"/>
    </row>
    <row r="151" spans="2:14" x14ac:dyDescent="0.65">
      <c r="B151" s="150" t="str">
        <f>B146</f>
        <v>Food &amp; Beverage Revenue</v>
      </c>
      <c r="C151" s="8"/>
      <c r="D151" s="161">
        <f>'Assumptions-Hotel'!I8</f>
        <v>200</v>
      </c>
      <c r="E151" s="161">
        <f>D151*(1+'Assumptions-Overall'!$C$37)</f>
        <v>206</v>
      </c>
      <c r="F151" s="161">
        <f>E151*(1+'Assumptions-Overall'!$C$37)</f>
        <v>212.18</v>
      </c>
      <c r="G151" s="161">
        <f>F151*(1+'Assumptions-Overall'!$C$37)</f>
        <v>218.5454</v>
      </c>
      <c r="H151" s="161">
        <f>G151*(1+'Assumptions-Overall'!$C$37)</f>
        <v>225.10176200000001</v>
      </c>
      <c r="I151" s="161">
        <f>H151*(1+'Assumptions-Overall'!$C$37)</f>
        <v>231.85481486</v>
      </c>
      <c r="J151" s="161">
        <f>I151*(1+'Assumptions-Overall'!$C$37)</f>
        <v>238.81045930580001</v>
      </c>
      <c r="K151" s="161">
        <f>J151*(1+'Assumptions-Overall'!$C$37)</f>
        <v>245.974773084974</v>
      </c>
      <c r="L151" s="161">
        <f>K151*(1+'Assumptions-Overall'!$C$37)</f>
        <v>253.35401627752324</v>
      </c>
      <c r="M151" s="161">
        <f>L151*(1+'Assumptions-Overall'!$C$37)</f>
        <v>260.95463676584893</v>
      </c>
      <c r="N151" s="162">
        <f>M151*(1+'Assumptions-Overall'!$C$37)</f>
        <v>268.78327586882443</v>
      </c>
    </row>
    <row r="152" spans="2:14" x14ac:dyDescent="0.65">
      <c r="B152" s="150" t="str">
        <f>B147</f>
        <v>Food &amp; Beverage Revenue</v>
      </c>
      <c r="C152" s="8"/>
      <c r="D152" s="161">
        <f>'Assumptions-Hotel'!I9</f>
        <v>170</v>
      </c>
      <c r="E152" s="161">
        <f>D152*(1+'Assumptions-Overall'!$C$37)</f>
        <v>175.1</v>
      </c>
      <c r="F152" s="161">
        <f>E152*(1+'Assumptions-Overall'!$C$37)</f>
        <v>180.35300000000001</v>
      </c>
      <c r="G152" s="161">
        <f>F152*(1+'Assumptions-Overall'!$C$37)</f>
        <v>185.76359000000002</v>
      </c>
      <c r="H152" s="161">
        <f>G152*(1+'Assumptions-Overall'!$C$37)</f>
        <v>191.33649770000002</v>
      </c>
      <c r="I152" s="161">
        <f>H152*(1+'Assumptions-Overall'!$C$37)</f>
        <v>197.07659263100004</v>
      </c>
      <c r="J152" s="161">
        <f>I152*(1+'Assumptions-Overall'!$C$37)</f>
        <v>202.98889040993004</v>
      </c>
      <c r="K152" s="161">
        <f>J152*(1+'Assumptions-Overall'!$C$37)</f>
        <v>209.07855712222795</v>
      </c>
      <c r="L152" s="161">
        <f>K152*(1+'Assumptions-Overall'!$C$37)</f>
        <v>215.3509138358948</v>
      </c>
      <c r="M152" s="161">
        <f>L152*(1+'Assumptions-Overall'!$C$37)</f>
        <v>221.81144125097165</v>
      </c>
      <c r="N152" s="162">
        <f>M152*(1+'Assumptions-Overall'!$C$37)</f>
        <v>228.46578448850082</v>
      </c>
    </row>
    <row r="153" spans="2:14" x14ac:dyDescent="0.65">
      <c r="B153" s="3" t="s">
        <v>241</v>
      </c>
      <c r="C153" s="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9"/>
    </row>
    <row r="154" spans="2:14" x14ac:dyDescent="0.65">
      <c r="B154" s="150" t="str">
        <f>B151</f>
        <v>Food &amp; Beverage Revenue</v>
      </c>
      <c r="C154" s="8"/>
      <c r="D154" s="128">
        <f>'Assumptions-Hotel'!$J8</f>
        <v>0.85</v>
      </c>
      <c r="E154" s="128">
        <f>'Assumptions-Hotel'!$J8</f>
        <v>0.85</v>
      </c>
      <c r="F154" s="128">
        <f>'Assumptions-Hotel'!$J8</f>
        <v>0.85</v>
      </c>
      <c r="G154" s="128">
        <f>'Assumptions-Hotel'!$J8</f>
        <v>0.85</v>
      </c>
      <c r="H154" s="128">
        <f>'Assumptions-Hotel'!$J8</f>
        <v>0.85</v>
      </c>
      <c r="I154" s="128">
        <f>'Assumptions-Hotel'!$J8</f>
        <v>0.85</v>
      </c>
      <c r="J154" s="128">
        <f>'Assumptions-Hotel'!$J8</f>
        <v>0.85</v>
      </c>
      <c r="K154" s="128">
        <f>'Assumptions-Hotel'!$J8</f>
        <v>0.85</v>
      </c>
      <c r="L154" s="128">
        <f>'Assumptions-Hotel'!$J8</f>
        <v>0.85</v>
      </c>
      <c r="M154" s="128">
        <f>'Assumptions-Hotel'!$J8</f>
        <v>0.85</v>
      </c>
      <c r="N154" s="163">
        <f>'Assumptions-Hotel'!$J8</f>
        <v>0.85</v>
      </c>
    </row>
    <row r="155" spans="2:14" x14ac:dyDescent="0.65">
      <c r="B155" s="150" t="str">
        <f>B152</f>
        <v>Food &amp; Beverage Revenue</v>
      </c>
      <c r="C155" s="8"/>
      <c r="D155" s="128">
        <f>'Assumptions-Hotel'!$J9</f>
        <v>0.85</v>
      </c>
      <c r="E155" s="128">
        <f>'Assumptions-Hotel'!$J9</f>
        <v>0.85</v>
      </c>
      <c r="F155" s="128">
        <f>'Assumptions-Hotel'!$J9</f>
        <v>0.85</v>
      </c>
      <c r="G155" s="128">
        <f>'Assumptions-Hotel'!$J9</f>
        <v>0.85</v>
      </c>
      <c r="H155" s="128">
        <f>'Assumptions-Hotel'!$J9</f>
        <v>0.85</v>
      </c>
      <c r="I155" s="128">
        <f>'Assumptions-Hotel'!$J9</f>
        <v>0.85</v>
      </c>
      <c r="J155" s="128">
        <f>'Assumptions-Hotel'!$J9</f>
        <v>0.85</v>
      </c>
      <c r="K155" s="128">
        <f>'Assumptions-Hotel'!$J9</f>
        <v>0.85</v>
      </c>
      <c r="L155" s="128">
        <f>'Assumptions-Hotel'!$J9</f>
        <v>0.85</v>
      </c>
      <c r="M155" s="128">
        <f>'Assumptions-Hotel'!$J9</f>
        <v>0.85</v>
      </c>
      <c r="N155" s="163">
        <f>'Assumptions-Hotel'!$J9</f>
        <v>0.85</v>
      </c>
    </row>
    <row r="156" spans="2:14" x14ac:dyDescent="0.65">
      <c r="B156" s="3" t="s">
        <v>242</v>
      </c>
      <c r="C156" s="8"/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9"/>
    </row>
    <row r="157" spans="2:14" x14ac:dyDescent="0.65">
      <c r="B157" s="150" t="str">
        <f>B154</f>
        <v>Food &amp; Beverage Revenue</v>
      </c>
      <c r="C157" s="8"/>
      <c r="D157" s="161">
        <f>D151*D154</f>
        <v>170</v>
      </c>
      <c r="E157" s="161">
        <f>E151*E154</f>
        <v>175.1</v>
      </c>
      <c r="F157" s="161">
        <f t="shared" ref="F157:N157" si="103">F151*F154</f>
        <v>180.35300000000001</v>
      </c>
      <c r="G157" s="161">
        <f t="shared" si="103"/>
        <v>185.76358999999999</v>
      </c>
      <c r="H157" s="161">
        <f t="shared" si="103"/>
        <v>191.3364977</v>
      </c>
      <c r="I157" s="161">
        <f t="shared" si="103"/>
        <v>197.07659263100001</v>
      </c>
      <c r="J157" s="161">
        <f t="shared" si="103"/>
        <v>202.98889040993001</v>
      </c>
      <c r="K157" s="161">
        <f t="shared" si="103"/>
        <v>209.07855712222789</v>
      </c>
      <c r="L157" s="161">
        <f t="shared" si="103"/>
        <v>215.35091383589474</v>
      </c>
      <c r="M157" s="161">
        <f t="shared" si="103"/>
        <v>221.8114412509716</v>
      </c>
      <c r="N157" s="162">
        <f t="shared" si="103"/>
        <v>228.46578448850076</v>
      </c>
    </row>
    <row r="158" spans="2:14" x14ac:dyDescent="0.65">
      <c r="B158" s="150" t="str">
        <f>B155</f>
        <v>Food &amp; Beverage Revenue</v>
      </c>
      <c r="C158" s="8"/>
      <c r="D158" s="161">
        <f>D152*D155</f>
        <v>144.5</v>
      </c>
      <c r="E158" s="161">
        <f>E152*E155</f>
        <v>148.83499999999998</v>
      </c>
      <c r="F158" s="161">
        <f t="shared" ref="F158:N158" si="104">F152*F155</f>
        <v>153.30005</v>
      </c>
      <c r="G158" s="161">
        <f t="shared" si="104"/>
        <v>157.89905150000001</v>
      </c>
      <c r="H158" s="161">
        <f t="shared" si="104"/>
        <v>162.63602304500003</v>
      </c>
      <c r="I158" s="161">
        <f t="shared" si="104"/>
        <v>167.51510373635003</v>
      </c>
      <c r="J158" s="161">
        <f t="shared" si="104"/>
        <v>172.54055684844053</v>
      </c>
      <c r="K158" s="161">
        <f t="shared" si="104"/>
        <v>177.71677355389374</v>
      </c>
      <c r="L158" s="161">
        <f t="shared" si="104"/>
        <v>183.04827676051059</v>
      </c>
      <c r="M158" s="161">
        <f t="shared" si="104"/>
        <v>188.5397250633259</v>
      </c>
      <c r="N158" s="162">
        <f t="shared" si="104"/>
        <v>194.1959168152257</v>
      </c>
    </row>
    <row r="159" spans="2:14" x14ac:dyDescent="0.65">
      <c r="B159" s="3"/>
      <c r="C159" s="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9"/>
    </row>
    <row r="160" spans="2:14" x14ac:dyDescent="0.65">
      <c r="B160" s="36" t="s">
        <v>206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9"/>
    </row>
    <row r="161" spans="2:14" x14ac:dyDescent="0.65">
      <c r="B161" s="3" t="s">
        <v>236</v>
      </c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9"/>
    </row>
    <row r="162" spans="2:14" x14ac:dyDescent="0.65">
      <c r="B162" s="150" t="str">
        <f>B146</f>
        <v>Food &amp; Beverage Revenue</v>
      </c>
      <c r="C162" s="8"/>
      <c r="D162" s="146">
        <f>D146*D151*D$9*D$154</f>
        <v>0</v>
      </c>
      <c r="E162" s="146">
        <f t="shared" ref="E162:L162" si="105">E146*E151*E$9*E$154</f>
        <v>0</v>
      </c>
      <c r="F162" s="146">
        <f t="shared" si="105"/>
        <v>0</v>
      </c>
      <c r="G162" s="146">
        <f t="shared" si="105"/>
        <v>0</v>
      </c>
      <c r="H162" s="146">
        <f t="shared" si="105"/>
        <v>0</v>
      </c>
      <c r="I162" s="146">
        <f t="shared" si="105"/>
        <v>0</v>
      </c>
      <c r="J162" s="146">
        <f t="shared" si="105"/>
        <v>0</v>
      </c>
      <c r="K162" s="146">
        <f t="shared" si="105"/>
        <v>0</v>
      </c>
      <c r="L162" s="146">
        <f t="shared" si="105"/>
        <v>0</v>
      </c>
      <c r="M162" s="146">
        <f>M146*M151*M$9*M$154</f>
        <v>59669495.810923867</v>
      </c>
      <c r="N162" s="151">
        <f>N146*N151*N$9*N$154</f>
        <v>61291658.333652548</v>
      </c>
    </row>
    <row r="163" spans="2:14" x14ac:dyDescent="0.65">
      <c r="B163" s="150" t="str">
        <f>B147</f>
        <v>Food &amp; Beverage Revenue</v>
      </c>
      <c r="C163" s="8"/>
      <c r="D163" s="144">
        <f t="shared" ref="D163:N163" si="106">D147*D152*D$9</f>
        <v>0</v>
      </c>
      <c r="E163" s="144">
        <f t="shared" si="106"/>
        <v>0</v>
      </c>
      <c r="F163" s="144">
        <f t="shared" si="106"/>
        <v>0</v>
      </c>
      <c r="G163" s="144">
        <f t="shared" si="106"/>
        <v>0</v>
      </c>
      <c r="H163" s="144">
        <f t="shared" si="106"/>
        <v>0</v>
      </c>
      <c r="I163" s="144">
        <f t="shared" si="106"/>
        <v>0</v>
      </c>
      <c r="J163" s="144">
        <f t="shared" si="106"/>
        <v>0</v>
      </c>
      <c r="K163" s="144">
        <f t="shared" si="106"/>
        <v>0</v>
      </c>
      <c r="L163" s="144">
        <f t="shared" si="106"/>
        <v>0</v>
      </c>
      <c r="M163" s="144">
        <f t="shared" si="106"/>
        <v>0</v>
      </c>
      <c r="N163" s="152">
        <f t="shared" si="106"/>
        <v>0</v>
      </c>
    </row>
    <row r="164" spans="2:14" x14ac:dyDescent="0.65">
      <c r="B164" s="3" t="s">
        <v>238</v>
      </c>
      <c r="C164" s="8"/>
      <c r="D164" s="146">
        <f t="shared" ref="D164:N164" si="107">SUM(D162:D163)</f>
        <v>0</v>
      </c>
      <c r="E164" s="146">
        <f t="shared" si="107"/>
        <v>0</v>
      </c>
      <c r="F164" s="146">
        <f t="shared" si="107"/>
        <v>0</v>
      </c>
      <c r="G164" s="146">
        <f t="shared" si="107"/>
        <v>0</v>
      </c>
      <c r="H164" s="146">
        <f t="shared" si="107"/>
        <v>0</v>
      </c>
      <c r="I164" s="146">
        <f t="shared" si="107"/>
        <v>0</v>
      </c>
      <c r="J164" s="146">
        <f t="shared" si="107"/>
        <v>0</v>
      </c>
      <c r="K164" s="146">
        <f t="shared" si="107"/>
        <v>0</v>
      </c>
      <c r="L164" s="146">
        <f t="shared" si="107"/>
        <v>0</v>
      </c>
      <c r="M164" s="146">
        <f t="shared" si="107"/>
        <v>59669495.810923867</v>
      </c>
      <c r="N164" s="151">
        <f t="shared" si="107"/>
        <v>61291658.333652548</v>
      </c>
    </row>
    <row r="165" spans="2:14" x14ac:dyDescent="0.65">
      <c r="B165" s="3"/>
      <c r="C165" s="8"/>
      <c r="D165" s="146"/>
      <c r="E165" s="146"/>
      <c r="F165" s="146"/>
      <c r="G165" s="146"/>
      <c r="H165" s="146"/>
      <c r="I165" s="146"/>
      <c r="J165" s="146"/>
      <c r="K165" s="146"/>
      <c r="L165" s="146"/>
      <c r="M165" s="146"/>
      <c r="N165" s="151"/>
    </row>
    <row r="166" spans="2:14" x14ac:dyDescent="0.65">
      <c r="B166" s="3" t="s">
        <v>244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9"/>
    </row>
    <row r="167" spans="2:14" x14ac:dyDescent="0.65">
      <c r="B167" s="150" t="str">
        <f>B162</f>
        <v>Food &amp; Beverage Revenue</v>
      </c>
      <c r="C167" s="8"/>
      <c r="D167" s="146">
        <f>D162*'Assumptions-Hotel'!$N$8</f>
        <v>0</v>
      </c>
      <c r="E167" s="146">
        <f>E162*'Assumptions-Hotel'!$N$8</f>
        <v>0</v>
      </c>
      <c r="F167" s="146">
        <f>F162*'Assumptions-Hotel'!$N$8</f>
        <v>0</v>
      </c>
      <c r="G167" s="146">
        <f>G162*'Assumptions-Hotel'!$N$8</f>
        <v>0</v>
      </c>
      <c r="H167" s="146">
        <f>H162*'Assumptions-Hotel'!$N$8</f>
        <v>0</v>
      </c>
      <c r="I167" s="146">
        <f>I162*'Assumptions-Hotel'!$N$8</f>
        <v>0</v>
      </c>
      <c r="J167" s="146">
        <f>J162*'Assumptions-Hotel'!$N$8</f>
        <v>0</v>
      </c>
      <c r="K167" s="146">
        <f>K162*'Assumptions-Hotel'!$N$8</f>
        <v>0</v>
      </c>
      <c r="L167" s="146">
        <f>L162*'Assumptions-Hotel'!$N$8</f>
        <v>0</v>
      </c>
      <c r="M167" s="146">
        <f>M162*'Assumptions-Hotel'!$N$8</f>
        <v>17900848.743277159</v>
      </c>
      <c r="N167" s="151">
        <f>N162*'Assumptions-Hotel'!$N$8</f>
        <v>18387497.500095762</v>
      </c>
    </row>
    <row r="168" spans="2:14" x14ac:dyDescent="0.65">
      <c r="B168" s="150" t="str">
        <f>B163</f>
        <v>Food &amp; Beverage Revenue</v>
      </c>
      <c r="C168" s="8"/>
      <c r="D168" s="144">
        <f>D163*'Assumptions-Hotel'!$N$8</f>
        <v>0</v>
      </c>
      <c r="E168" s="144">
        <f>E163*'Assumptions-Hotel'!$N$8</f>
        <v>0</v>
      </c>
      <c r="F168" s="144">
        <f>F163*'Assumptions-Hotel'!$N$8</f>
        <v>0</v>
      </c>
      <c r="G168" s="144">
        <f>G163*'Assumptions-Hotel'!$N$8</f>
        <v>0</v>
      </c>
      <c r="H168" s="144">
        <f>H163*'Assumptions-Hotel'!$N$8</f>
        <v>0</v>
      </c>
      <c r="I168" s="144">
        <f>I163*'Assumptions-Hotel'!$N$8</f>
        <v>0</v>
      </c>
      <c r="J168" s="144">
        <f>J163*'Assumptions-Hotel'!$N$8</f>
        <v>0</v>
      </c>
      <c r="K168" s="144">
        <f>K163*'Assumptions-Hotel'!$N$8</f>
        <v>0</v>
      </c>
      <c r="L168" s="144">
        <f>L163*'Assumptions-Hotel'!$N$8</f>
        <v>0</v>
      </c>
      <c r="M168" s="144">
        <f>M163*'Assumptions-Hotel'!$N$8</f>
        <v>0</v>
      </c>
      <c r="N168" s="152">
        <f>N163*'Assumptions-Hotel'!$N$8</f>
        <v>0</v>
      </c>
    </row>
    <row r="169" spans="2:14" x14ac:dyDescent="0.65">
      <c r="B169" s="3" t="s">
        <v>245</v>
      </c>
      <c r="C169" s="8"/>
      <c r="D169" s="146">
        <f t="shared" ref="D169:N169" si="108">SUM(D167:D168)</f>
        <v>0</v>
      </c>
      <c r="E169" s="146">
        <f t="shared" si="108"/>
        <v>0</v>
      </c>
      <c r="F169" s="146">
        <f t="shared" si="108"/>
        <v>0</v>
      </c>
      <c r="G169" s="146">
        <f t="shared" si="108"/>
        <v>0</v>
      </c>
      <c r="H169" s="146">
        <f t="shared" si="108"/>
        <v>0</v>
      </c>
      <c r="I169" s="146">
        <f t="shared" si="108"/>
        <v>0</v>
      </c>
      <c r="J169" s="146">
        <f t="shared" si="108"/>
        <v>0</v>
      </c>
      <c r="K169" s="146">
        <f t="shared" si="108"/>
        <v>0</v>
      </c>
      <c r="L169" s="146">
        <f t="shared" si="108"/>
        <v>0</v>
      </c>
      <c r="M169" s="146">
        <f t="shared" si="108"/>
        <v>17900848.743277159</v>
      </c>
      <c r="N169" s="151">
        <f t="shared" si="108"/>
        <v>18387497.500095762</v>
      </c>
    </row>
    <row r="170" spans="2:14" x14ac:dyDescent="0.65">
      <c r="B170" s="3"/>
      <c r="C170" s="8"/>
      <c r="D170" s="146"/>
      <c r="E170" s="146"/>
      <c r="F170" s="146"/>
      <c r="G170" s="146"/>
      <c r="H170" s="146"/>
      <c r="I170" s="146"/>
      <c r="J170" s="146"/>
      <c r="K170" s="146"/>
      <c r="L170" s="146"/>
      <c r="M170" s="146"/>
      <c r="N170" s="151"/>
    </row>
    <row r="171" spans="2:14" x14ac:dyDescent="0.65">
      <c r="B171" s="3" t="s">
        <v>246</v>
      </c>
      <c r="C171" s="8"/>
      <c r="D171" s="146"/>
      <c r="E171" s="146"/>
      <c r="F171" s="146"/>
      <c r="G171" s="146"/>
      <c r="H171" s="146"/>
      <c r="I171" s="146"/>
      <c r="J171" s="146"/>
      <c r="K171" s="146"/>
      <c r="L171" s="146"/>
      <c r="M171" s="146"/>
      <c r="N171" s="151"/>
    </row>
    <row r="172" spans="2:14" x14ac:dyDescent="0.65">
      <c r="B172" s="150" t="str">
        <f>B167</f>
        <v>Food &amp; Beverage Revenue</v>
      </c>
      <c r="C172" s="8"/>
      <c r="D172" s="146">
        <f>D162*'Assumptions-Hotel'!$N$9</f>
        <v>0</v>
      </c>
      <c r="E172" s="146">
        <f>E162*'Assumptions-Hotel'!$N$9</f>
        <v>0</v>
      </c>
      <c r="F172" s="146">
        <f>F162*'Assumptions-Hotel'!$N$9</f>
        <v>0</v>
      </c>
      <c r="G172" s="146">
        <f>G162*'Assumptions-Hotel'!$N$9</f>
        <v>0</v>
      </c>
      <c r="H172" s="146">
        <f>H162*'Assumptions-Hotel'!$N$9</f>
        <v>0</v>
      </c>
      <c r="I172" s="146">
        <f>I162*'Assumptions-Hotel'!$N$9</f>
        <v>0</v>
      </c>
      <c r="J172" s="146">
        <f>J162*'Assumptions-Hotel'!$N$9</f>
        <v>0</v>
      </c>
      <c r="K172" s="146">
        <f>K162*'Assumptions-Hotel'!$N$9</f>
        <v>0</v>
      </c>
      <c r="L172" s="146">
        <f>L162*'Assumptions-Hotel'!$N$9</f>
        <v>0</v>
      </c>
      <c r="M172" s="146">
        <f>M162*'Assumptions-Hotel'!$N$9</f>
        <v>2983474.7905461937</v>
      </c>
      <c r="N172" s="151">
        <f>N162*'Assumptions-Hotel'!$N$9</f>
        <v>3064582.9166826275</v>
      </c>
    </row>
    <row r="173" spans="2:14" x14ac:dyDescent="0.65">
      <c r="B173" s="150" t="str">
        <f>B168</f>
        <v>Food &amp; Beverage Revenue</v>
      </c>
      <c r="C173" s="8"/>
      <c r="D173" s="144">
        <f>D163*'Assumptions-Hotel'!$N$9</f>
        <v>0</v>
      </c>
      <c r="E173" s="144">
        <f>E163*'Assumptions-Hotel'!$N$9</f>
        <v>0</v>
      </c>
      <c r="F173" s="144">
        <f>F163*'Assumptions-Hotel'!$N$9</f>
        <v>0</v>
      </c>
      <c r="G173" s="144">
        <f>G163*'Assumptions-Hotel'!$N$9</f>
        <v>0</v>
      </c>
      <c r="H173" s="144">
        <f>H163*'Assumptions-Hotel'!$N$9</f>
        <v>0</v>
      </c>
      <c r="I173" s="144">
        <f>I163*'Assumptions-Hotel'!$N$9</f>
        <v>0</v>
      </c>
      <c r="J173" s="144">
        <f>J163*'Assumptions-Hotel'!$N$9</f>
        <v>0</v>
      </c>
      <c r="K173" s="144">
        <f>K163*'Assumptions-Hotel'!$N$9</f>
        <v>0</v>
      </c>
      <c r="L173" s="144">
        <f>L163*'Assumptions-Hotel'!$N$9</f>
        <v>0</v>
      </c>
      <c r="M173" s="144">
        <f>M163*'Assumptions-Hotel'!$N$9</f>
        <v>0</v>
      </c>
      <c r="N173" s="152">
        <f>N163*'Assumptions-Hotel'!$N$9</f>
        <v>0</v>
      </c>
    </row>
    <row r="174" spans="2:14" x14ac:dyDescent="0.65">
      <c r="B174" s="3" t="s">
        <v>250</v>
      </c>
      <c r="C174" s="8"/>
      <c r="D174" s="146">
        <f t="shared" ref="D174:N174" si="109">SUM(D172:D173)</f>
        <v>0</v>
      </c>
      <c r="E174" s="146">
        <f t="shared" si="109"/>
        <v>0</v>
      </c>
      <c r="F174" s="146">
        <f t="shared" si="109"/>
        <v>0</v>
      </c>
      <c r="G174" s="146">
        <f t="shared" si="109"/>
        <v>0</v>
      </c>
      <c r="H174" s="146">
        <f t="shared" si="109"/>
        <v>0</v>
      </c>
      <c r="I174" s="146">
        <f t="shared" si="109"/>
        <v>0</v>
      </c>
      <c r="J174" s="146">
        <f t="shared" si="109"/>
        <v>0</v>
      </c>
      <c r="K174" s="146">
        <f t="shared" si="109"/>
        <v>0</v>
      </c>
      <c r="L174" s="146">
        <f t="shared" si="109"/>
        <v>0</v>
      </c>
      <c r="M174" s="146">
        <f t="shared" si="109"/>
        <v>2983474.7905461937</v>
      </c>
      <c r="N174" s="151">
        <f t="shared" si="109"/>
        <v>3064582.9166826275</v>
      </c>
    </row>
    <row r="175" spans="2:14" x14ac:dyDescent="0.65">
      <c r="B175" s="3"/>
      <c r="C175" s="8"/>
      <c r="D175" s="146"/>
      <c r="E175" s="146"/>
      <c r="F175" s="146"/>
      <c r="G175" s="146"/>
      <c r="H175" s="128"/>
      <c r="I175" s="146"/>
      <c r="J175" s="146"/>
      <c r="K175" s="146"/>
      <c r="L175" s="146"/>
      <c r="M175" s="146"/>
      <c r="N175" s="151"/>
    </row>
    <row r="176" spans="2:14" x14ac:dyDescent="0.65">
      <c r="B176" s="3" t="s">
        <v>247</v>
      </c>
      <c r="C176" s="8"/>
      <c r="D176" s="145">
        <f t="shared" ref="D176:N176" si="110">D164+D169+D174</f>
        <v>0</v>
      </c>
      <c r="E176" s="145">
        <f t="shared" si="110"/>
        <v>0</v>
      </c>
      <c r="F176" s="145">
        <f t="shared" si="110"/>
        <v>0</v>
      </c>
      <c r="G176" s="145">
        <f t="shared" si="110"/>
        <v>0</v>
      </c>
      <c r="H176" s="145">
        <f t="shared" si="110"/>
        <v>0</v>
      </c>
      <c r="I176" s="145">
        <f t="shared" si="110"/>
        <v>0</v>
      </c>
      <c r="J176" s="145">
        <f t="shared" si="110"/>
        <v>0</v>
      </c>
      <c r="K176" s="145">
        <f t="shared" si="110"/>
        <v>0</v>
      </c>
      <c r="L176" s="145">
        <f t="shared" si="110"/>
        <v>0</v>
      </c>
      <c r="M176" s="145">
        <f t="shared" si="110"/>
        <v>80553819.344747216</v>
      </c>
      <c r="N176" s="153">
        <f t="shared" si="110"/>
        <v>82743738.750430942</v>
      </c>
    </row>
    <row r="177" spans="2:14" x14ac:dyDescent="0.65">
      <c r="B177" s="3"/>
      <c r="C177" s="8"/>
      <c r="D177" s="146"/>
      <c r="E177" s="146"/>
      <c r="F177" s="146"/>
      <c r="G177" s="146"/>
      <c r="H177" s="146"/>
      <c r="I177" s="146"/>
      <c r="J177" s="146"/>
      <c r="K177" s="146"/>
      <c r="L177" s="146"/>
      <c r="M177" s="146"/>
      <c r="N177" s="151"/>
    </row>
    <row r="178" spans="2:14" x14ac:dyDescent="0.65">
      <c r="B178" s="3" t="s">
        <v>128</v>
      </c>
      <c r="C178" s="8"/>
      <c r="D178" s="146"/>
      <c r="E178" s="146"/>
      <c r="F178" s="146"/>
      <c r="G178" s="146"/>
      <c r="H178" s="146"/>
      <c r="I178" s="146"/>
      <c r="J178" s="146"/>
      <c r="K178" s="146"/>
      <c r="L178" s="146"/>
      <c r="M178" s="146"/>
      <c r="N178" s="151"/>
    </row>
    <row r="179" spans="2:14" x14ac:dyDescent="0.65">
      <c r="B179" s="150" t="s">
        <v>249</v>
      </c>
      <c r="C179" s="8"/>
      <c r="D179" s="146">
        <f>-SUM(D146:D147)*'Assumptions-Hotel'!$N$16*(1+'Assumptions-Overall'!$C$39)^('CashFlow-Hotel'!D$7-1)</f>
        <v>0</v>
      </c>
      <c r="E179" s="146">
        <f>-SUM(E146:E147)*'Assumptions-Hotel'!$N$16*(1+'Assumptions-Overall'!$C$39)^('CashFlow-Hotel'!E$7-1)</f>
        <v>0</v>
      </c>
      <c r="F179" s="146">
        <f>-SUM(F146:F147)*'Assumptions-Hotel'!$N$16*(1+'Assumptions-Overall'!$C$39)^('CashFlow-Hotel'!F$7-1)</f>
        <v>0</v>
      </c>
      <c r="G179" s="146">
        <f>-SUM(G146:G147)*'Assumptions-Hotel'!$N$16*(1+'Assumptions-Overall'!$C$39)^('CashFlow-Hotel'!G$7-1)</f>
        <v>0</v>
      </c>
      <c r="H179" s="146">
        <f>-SUM(H146:H147)*'Assumptions-Hotel'!$N$16*(1+'Assumptions-Overall'!$C$39)^('CashFlow-Hotel'!H$7-1)</f>
        <v>0</v>
      </c>
      <c r="I179" s="146">
        <f>-SUM(I146:I147)*'Assumptions-Hotel'!$N$16*(1+'Assumptions-Overall'!$C$39)^('CashFlow-Hotel'!I$7-1)</f>
        <v>0</v>
      </c>
      <c r="J179" s="146">
        <f>-SUM(J146:J147)*'Assumptions-Hotel'!$N$16*(1+'Assumptions-Overall'!$C$39)^('CashFlow-Hotel'!J$7-1)</f>
        <v>0</v>
      </c>
      <c r="K179" s="146">
        <f>-SUM(K146:K147)*'Assumptions-Hotel'!$N$16*(1+'Assumptions-Overall'!$C$39)^('CashFlow-Hotel'!K$7-1)</f>
        <v>0</v>
      </c>
      <c r="L179" s="146">
        <f>-SUM(L146:L147)*'Assumptions-Hotel'!$N$16*(1+'Assumptions-Overall'!$C$39)^('CashFlow-Hotel'!L$7-1)</f>
        <v>0</v>
      </c>
      <c r="M179" s="146">
        <f>-SUM(M146:M147)*'Assumptions-Hotel'!$N$16*(1+'Assumptions-Overall'!$C$39)^('CashFlow-Hotel'!M$7-1)</f>
        <v>-33028245.511543196</v>
      </c>
      <c r="N179" s="151">
        <f>-SUM(N146:N147)*'Assumptions-Hotel'!$N$16*(1+'Assumptions-Overall'!$C$39)^('CashFlow-Hotel'!N$7-1)</f>
        <v>-34019092.87688949</v>
      </c>
    </row>
    <row r="180" spans="2:14" x14ac:dyDescent="0.65">
      <c r="B180" s="150" t="s">
        <v>248</v>
      </c>
      <c r="C180" s="8"/>
      <c r="D180" s="146">
        <f>-D169*(1-'Assumptions-Hotel'!$N12)</f>
        <v>0</v>
      </c>
      <c r="E180" s="146">
        <f>-E169*(1-'Assumptions-Hotel'!$N12)</f>
        <v>0</v>
      </c>
      <c r="F180" s="146">
        <f>-F169*(1-'Assumptions-Hotel'!$N12)</f>
        <v>0</v>
      </c>
      <c r="G180" s="146">
        <f>-G169*(1-'Assumptions-Hotel'!$N12)</f>
        <v>0</v>
      </c>
      <c r="H180" s="146">
        <f>-H169*(1-'Assumptions-Hotel'!$N12)</f>
        <v>0</v>
      </c>
      <c r="I180" s="146">
        <f>-I169*(1-'Assumptions-Hotel'!$N12)</f>
        <v>0</v>
      </c>
      <c r="J180" s="146">
        <f>-J169*(1-'Assumptions-Hotel'!$N12)</f>
        <v>0</v>
      </c>
      <c r="K180" s="146">
        <f>-K169*(1-'Assumptions-Hotel'!$N12)</f>
        <v>0</v>
      </c>
      <c r="L180" s="146">
        <f>-L169*(1-'Assumptions-Hotel'!$N12)</f>
        <v>0</v>
      </c>
      <c r="M180" s="146">
        <f>-M169*(1-'Assumptions-Hotel'!$N12)</f>
        <v>-12530594.12029401</v>
      </c>
      <c r="N180" s="151">
        <f>-N169*(1-'Assumptions-Hotel'!$N12)</f>
        <v>-12871248.250067033</v>
      </c>
    </row>
    <row r="181" spans="2:14" x14ac:dyDescent="0.65">
      <c r="B181" s="150" t="s">
        <v>246</v>
      </c>
      <c r="C181" s="8"/>
      <c r="D181" s="144">
        <f>-D174*(1-'Assumptions-Hotel'!$N13)</f>
        <v>0</v>
      </c>
      <c r="E181" s="144">
        <f>-E174*(1-'Assumptions-Hotel'!$N13)</f>
        <v>0</v>
      </c>
      <c r="F181" s="144">
        <f>-F174*(1-'Assumptions-Hotel'!$N13)</f>
        <v>0</v>
      </c>
      <c r="G181" s="144">
        <f>-G174*(1-'Assumptions-Hotel'!$N13)</f>
        <v>0</v>
      </c>
      <c r="H181" s="144">
        <f>-H174*(1-'Assumptions-Hotel'!$N13)</f>
        <v>0</v>
      </c>
      <c r="I181" s="144">
        <f>-I174*(1-'Assumptions-Hotel'!$N13)</f>
        <v>0</v>
      </c>
      <c r="J181" s="144">
        <f>-J174*(1-'Assumptions-Hotel'!$N13)</f>
        <v>0</v>
      </c>
      <c r="K181" s="144">
        <f>-K174*(1-'Assumptions-Hotel'!$N13)</f>
        <v>0</v>
      </c>
      <c r="L181" s="144">
        <f>-L174*(1-'Assumptions-Hotel'!$N13)</f>
        <v>0</v>
      </c>
      <c r="M181" s="144">
        <f>-M174*(1-'Assumptions-Hotel'!$N13)</f>
        <v>-2685127.3114915746</v>
      </c>
      <c r="N181" s="152">
        <f>-N174*(1-'Assumptions-Hotel'!$N13)</f>
        <v>-2758124.6250143647</v>
      </c>
    </row>
    <row r="182" spans="2:14" x14ac:dyDescent="0.65">
      <c r="B182" s="3" t="s">
        <v>207</v>
      </c>
      <c r="C182" s="8"/>
      <c r="D182" s="146">
        <f>SUM(D179:D181)</f>
        <v>0</v>
      </c>
      <c r="E182" s="146">
        <f t="shared" ref="E182:N182" si="111">SUM(E179:E181)</f>
        <v>0</v>
      </c>
      <c r="F182" s="146">
        <f t="shared" si="111"/>
        <v>0</v>
      </c>
      <c r="G182" s="146">
        <f t="shared" si="111"/>
        <v>0</v>
      </c>
      <c r="H182" s="146">
        <f t="shared" si="111"/>
        <v>0</v>
      </c>
      <c r="I182" s="146">
        <f t="shared" si="111"/>
        <v>0</v>
      </c>
      <c r="J182" s="146">
        <f t="shared" si="111"/>
        <v>0</v>
      </c>
      <c r="K182" s="146">
        <f t="shared" si="111"/>
        <v>0</v>
      </c>
      <c r="L182" s="146">
        <f t="shared" si="111"/>
        <v>0</v>
      </c>
      <c r="M182" s="146">
        <f t="shared" si="111"/>
        <v>-48243966.943328775</v>
      </c>
      <c r="N182" s="151">
        <f t="shared" si="111"/>
        <v>-49648465.751970887</v>
      </c>
    </row>
    <row r="183" spans="2:14" x14ac:dyDescent="0.65">
      <c r="B183" s="3"/>
      <c r="C183" s="8"/>
      <c r="D183" s="146"/>
      <c r="E183" s="146"/>
      <c r="F183" s="146"/>
      <c r="G183" s="146"/>
      <c r="H183" s="146"/>
      <c r="I183" s="146"/>
      <c r="J183" s="146"/>
      <c r="K183" s="146"/>
      <c r="L183" s="146"/>
      <c r="M183" s="146"/>
      <c r="N183" s="151"/>
    </row>
    <row r="184" spans="2:14" x14ac:dyDescent="0.65">
      <c r="B184" s="3" t="s">
        <v>189</v>
      </c>
      <c r="C184" s="8"/>
      <c r="D184" s="146">
        <f>-SUM(D146:D147)*'Assumptions-Hotel'!$N$17*(1+'Assumptions-Overall'!$C$40)^('CashFlow-Hotel'!D$7-1)</f>
        <v>0</v>
      </c>
      <c r="E184" s="146">
        <f>-SUM(E146:E147)*'Assumptions-Hotel'!$N$17*(1+'Assumptions-Overall'!$C$40)^('CashFlow-Hotel'!E$7-1)</f>
        <v>0</v>
      </c>
      <c r="F184" s="146">
        <f>-SUM(F146:F147)*'Assumptions-Hotel'!$N$17*(1+'Assumptions-Overall'!$C$40)^('CashFlow-Hotel'!F$7-1)</f>
        <v>0</v>
      </c>
      <c r="G184" s="146">
        <f>-SUM(G146:G147)*'Assumptions-Hotel'!$N$17*(1+'Assumptions-Overall'!$C$40)^('CashFlow-Hotel'!G$7-1)</f>
        <v>0</v>
      </c>
      <c r="H184" s="146">
        <f>-SUM(H146:H147)*'Assumptions-Hotel'!$N$17*(1+'Assumptions-Overall'!$C$40)^('CashFlow-Hotel'!H$7-1)</f>
        <v>0</v>
      </c>
      <c r="I184" s="146">
        <f>-SUM(I146:I147)*'Assumptions-Hotel'!$N$17*(1+'Assumptions-Overall'!$C$40)^('CashFlow-Hotel'!I$7-1)</f>
        <v>0</v>
      </c>
      <c r="J184" s="146">
        <f>-SUM(J146:J147)*'Assumptions-Hotel'!$N$17*(1+'Assumptions-Overall'!$C$40)^('CashFlow-Hotel'!J$7-1)</f>
        <v>0</v>
      </c>
      <c r="K184" s="146">
        <f>-SUM(K146:K147)*'Assumptions-Hotel'!$N$17*(1+'Assumptions-Overall'!$C$40)^('CashFlow-Hotel'!K$7-1)</f>
        <v>0</v>
      </c>
      <c r="L184" s="146">
        <f>-SUM(L146:L147)*'Assumptions-Hotel'!$N$17*(1+'Assumptions-Overall'!$C$40)^('CashFlow-Hotel'!L$7-1)</f>
        <v>0</v>
      </c>
      <c r="M184" s="146">
        <f>-SUM(M146:M147)*'Assumptions-Hotel'!$N$17*(1+'Assumptions-Overall'!$C$40)^('CashFlow-Hotel'!M$7-1)</f>
        <v>-9590082.901144946</v>
      </c>
      <c r="N184" s="151">
        <f>-SUM(N146:N147)*'Assumptions-Hotel'!$N$17*(1+'Assumptions-Overall'!$C$40)^('CashFlow-Hotel'!N$7-1)</f>
        <v>-9877785.3881792948</v>
      </c>
    </row>
    <row r="185" spans="2:14" x14ac:dyDescent="0.65">
      <c r="B185" s="3"/>
      <c r="C185" s="8"/>
      <c r="D185" s="146"/>
      <c r="E185" s="146"/>
      <c r="F185" s="146"/>
      <c r="G185" s="146"/>
      <c r="H185" s="146"/>
      <c r="I185" s="146"/>
      <c r="J185" s="146"/>
      <c r="K185" s="146"/>
      <c r="L185" s="146"/>
      <c r="M185" s="146"/>
      <c r="N185" s="151"/>
    </row>
    <row r="186" spans="2:14" x14ac:dyDescent="0.65">
      <c r="B186" s="3" t="s">
        <v>209</v>
      </c>
      <c r="C186" s="8"/>
      <c r="D186" s="145">
        <f>SUM(D176)+D182+D184</f>
        <v>0</v>
      </c>
      <c r="E186" s="145">
        <f t="shared" ref="E186:N186" si="112">SUM(E176)+E182+E184</f>
        <v>0</v>
      </c>
      <c r="F186" s="145">
        <f t="shared" si="112"/>
        <v>0</v>
      </c>
      <c r="G186" s="145">
        <f t="shared" si="112"/>
        <v>0</v>
      </c>
      <c r="H186" s="145">
        <f t="shared" si="112"/>
        <v>0</v>
      </c>
      <c r="I186" s="145">
        <f t="shared" si="112"/>
        <v>0</v>
      </c>
      <c r="J186" s="145">
        <f t="shared" si="112"/>
        <v>0</v>
      </c>
      <c r="K186" s="145">
        <f t="shared" si="112"/>
        <v>0</v>
      </c>
      <c r="L186" s="145">
        <f>SUM(L176)+L182+L184</f>
        <v>0</v>
      </c>
      <c r="M186" s="145">
        <f t="shared" si="112"/>
        <v>22719769.500273496</v>
      </c>
      <c r="N186" s="153">
        <f t="shared" si="112"/>
        <v>23217487.61028076</v>
      </c>
    </row>
    <row r="187" spans="2:14" x14ac:dyDescent="0.65">
      <c r="B187" s="3"/>
      <c r="C187" s="8"/>
      <c r="D187" s="146"/>
      <c r="E187" s="146"/>
      <c r="F187" s="146"/>
      <c r="G187" s="146"/>
      <c r="H187" s="146"/>
      <c r="I187" s="146"/>
      <c r="J187" s="146"/>
      <c r="K187" s="146"/>
      <c r="L187" s="146"/>
      <c r="M187" s="146"/>
      <c r="N187" s="159"/>
    </row>
    <row r="188" spans="2:14" x14ac:dyDescent="0.65">
      <c r="B188" s="3" t="s">
        <v>208</v>
      </c>
      <c r="C188" s="8"/>
      <c r="D188" s="145">
        <f t="shared" ref="D188:M188" si="113">SUM(D186:D187)</f>
        <v>0</v>
      </c>
      <c r="E188" s="145">
        <f t="shared" si="113"/>
        <v>0</v>
      </c>
      <c r="F188" s="145">
        <f t="shared" si="113"/>
        <v>0</v>
      </c>
      <c r="G188" s="145">
        <f t="shared" si="113"/>
        <v>0</v>
      </c>
      <c r="H188" s="145">
        <f t="shared" si="113"/>
        <v>0</v>
      </c>
      <c r="I188" s="145">
        <f t="shared" si="113"/>
        <v>0</v>
      </c>
      <c r="J188" s="145">
        <f t="shared" si="113"/>
        <v>0</v>
      </c>
      <c r="K188" s="145">
        <f t="shared" si="113"/>
        <v>0</v>
      </c>
      <c r="L188" s="145">
        <f t="shared" si="113"/>
        <v>0</v>
      </c>
      <c r="M188" s="145">
        <f t="shared" si="113"/>
        <v>22719769.500273496</v>
      </c>
      <c r="N188" s="151"/>
    </row>
    <row r="189" spans="2:14" x14ac:dyDescent="0.65">
      <c r="B189" s="3"/>
      <c r="C189" s="8"/>
      <c r="D189" s="146"/>
      <c r="E189" s="146"/>
      <c r="F189" s="146"/>
      <c r="G189" s="146"/>
      <c r="H189" s="146"/>
      <c r="I189" s="146"/>
      <c r="J189" s="146"/>
      <c r="K189" s="146"/>
      <c r="L189" s="146"/>
      <c r="M189" s="146"/>
      <c r="N189" s="151"/>
    </row>
    <row r="190" spans="2:14" s="365" customFormat="1" x14ac:dyDescent="0.65">
      <c r="B190" s="409" t="s">
        <v>130</v>
      </c>
      <c r="C190" s="366"/>
      <c r="D190" s="446"/>
      <c r="E190" s="446"/>
      <c r="F190" s="446"/>
      <c r="G190" s="446"/>
      <c r="H190" s="446"/>
      <c r="I190" s="446"/>
      <c r="J190" s="446"/>
      <c r="K190" s="446"/>
      <c r="L190" s="446"/>
      <c r="M190" s="446"/>
      <c r="N190" s="450"/>
    </row>
    <row r="191" spans="2:14" s="365" customFormat="1" x14ac:dyDescent="0.65">
      <c r="B191" s="391" t="s">
        <v>210</v>
      </c>
      <c r="C191" s="366"/>
      <c r="D191" s="446">
        <f>-(AND(D$8&gt;=YEAR(PhaseIIIConBegin),D$8&lt;=YEAR(PhaseIIIConEnd)))*SUM($D143:$N143)*SUM('Assumptions-Overall'!$J$28)*(1+'Assumptions-Overall'!$C$41)^('CashFlow-Hotel'!D$7-1)/(YEAR(PhaseIIIConEnd)-YEAR(PhaseIIIConBegin)+1)</f>
        <v>0</v>
      </c>
      <c r="E191" s="446">
        <f>-(AND(E$8&gt;=YEAR(PhaseIIIConBegin),E$8&lt;=YEAR(PhaseIIIConEnd)))*SUM($D143:$N143)*SUM('Assumptions-Overall'!$J$28)*(1+'Assumptions-Overall'!$C$41)^('CashFlow-Hotel'!E$7-1)/(YEAR(PhaseIIIConEnd)-YEAR(PhaseIIIConBegin)+1)</f>
        <v>0</v>
      </c>
      <c r="F191" s="446">
        <f>-(AND(F$8&gt;=YEAR(PhaseIIIConBegin),F$8&lt;=YEAR(PhaseIIIConEnd)))*SUM($D143:$N143)*SUM('Assumptions-Overall'!$J$28)*(1+'Assumptions-Overall'!$C$41)^('CashFlow-Hotel'!F$7-1)/(YEAR(PhaseIIIConEnd)-YEAR(PhaseIIIConBegin)+1)</f>
        <v>0</v>
      </c>
      <c r="G191" s="446">
        <f>-(AND(G$8&gt;=YEAR(PhaseIIIConBegin),G$8&lt;=YEAR(PhaseIIIConEnd)))*SUM($D143:$N143)*SUM('Assumptions-Overall'!$J$28)*(1+'Assumptions-Overall'!$C$41)^('CashFlow-Hotel'!G$7-1)/(YEAR(PhaseIIIConEnd)-YEAR(PhaseIIIConBegin)+1)</f>
        <v>0</v>
      </c>
      <c r="H191" s="446">
        <f>-(AND(H$8&gt;=YEAR(PhaseIIIConBegin),H$8&lt;=YEAR(PhaseIIIConEnd)))*SUM($D143:$N143)*SUM('Assumptions-Overall'!$J$28)*(1+'Assumptions-Overall'!$C$41)^('CashFlow-Hotel'!H$7-1)/(YEAR(PhaseIIIConEnd)-YEAR(PhaseIIIConBegin)+1)</f>
        <v>0</v>
      </c>
      <c r="I191" s="446">
        <f>-(AND(I$8&gt;=YEAR(PhaseIIIConBegin),I$8&lt;=YEAR(PhaseIIIConEnd)))*SUM($D143:$N143)*SUM('Assumptions-Overall'!$J$28)*(1+'Assumptions-Overall'!$C$41)^('CashFlow-Hotel'!I$7-1)/(YEAR(PhaseIIIConEnd)-YEAR(PhaseIIIConBegin)+1)</f>
        <v>0</v>
      </c>
      <c r="J191" s="446">
        <f>-(AND(J$8&gt;=YEAR(PhaseIIIConBegin),J$8&lt;=YEAR(PhaseIIIConEnd)))*SUM($D143:$N143)*SUM('Assumptions-Overall'!$J$28)*(1+'Assumptions-Overall'!$C$41)^('CashFlow-Hotel'!J$7-1)/(YEAR(PhaseIIIConEnd)-YEAR(PhaseIIIConBegin)+1)</f>
        <v>0</v>
      </c>
      <c r="K191" s="446">
        <f>-(AND(K$8&gt;=YEAR(PhaseIIIConBegin),K$8&lt;=YEAR(PhaseIIIConEnd)))*SUM($D143:$N143)*SUM('Assumptions-Overall'!$J$28)*(1+'Assumptions-Overall'!$C$41)^('CashFlow-Hotel'!K$7-1)/(YEAR(PhaseIIIConEnd)-YEAR(PhaseIIIConBegin)+1)</f>
        <v>-52107757.133020423</v>
      </c>
      <c r="L191" s="446">
        <f>-(AND(L$8&gt;=YEAR(PhaseIIIConBegin),L$8&lt;=YEAR(PhaseIIIConEnd)))*SUM($D143:$N143)*SUM('Assumptions-Overall'!$J$28)*(1+'Assumptions-Overall'!$C$41)^('CashFlow-Hotel'!L$7-1)/(YEAR(PhaseIIIConEnd)-YEAR(PhaseIIIConBegin)+1)</f>
        <v>-53670989.84701103</v>
      </c>
      <c r="M191" s="446">
        <f>-(AND(M$8&gt;=YEAR(PhaseIIIConBegin),M$8&lt;=YEAR(PhaseIIIConEnd)))*SUM($D143:$N143)*SUM('Assumptions-Overall'!$J$28)*(1+'Assumptions-Overall'!$C$41)^('CashFlow-Hotel'!M$7-1)/(YEAR(PhaseIIIConEnd)-YEAR(PhaseIIIConBegin)+1)</f>
        <v>0</v>
      </c>
      <c r="N191" s="450"/>
    </row>
    <row r="192" spans="2:14" s="365" customFormat="1" x14ac:dyDescent="0.65">
      <c r="B192" s="391" t="s">
        <v>211</v>
      </c>
      <c r="C192" s="366"/>
      <c r="D192" s="446">
        <f>(AND(D$8&gt;=YEAR(PhaseIIIPreconBegin),D$8&lt;=YEAR(PhaseIIIConEnd)))*SUM($D191:$N191)*'Assumptions-Overall'!$H$43/(YEAR(PhaseIIIConEnd)-YEAR(PhaseIIIPreconBegin)+1)</f>
        <v>0</v>
      </c>
      <c r="E192" s="446">
        <f>(AND(E$8&gt;=YEAR(PhaseIIIPreconBegin),E$8&lt;=YEAR(PhaseIIIConEnd)))*SUM($D191:$N191)*'Assumptions-Overall'!$H$43/(YEAR(PhaseIIIConEnd)-YEAR(PhaseIIIPreconBegin)+1)</f>
        <v>0</v>
      </c>
      <c r="F192" s="446">
        <f>(AND(F$8&gt;=YEAR(PhaseIIIPreconBegin),F$8&lt;=YEAR(PhaseIIIConEnd)))*SUM($D191:$N191)*'Assumptions-Overall'!$H$43/(YEAR(PhaseIIIConEnd)-YEAR(PhaseIIIPreconBegin)+1)</f>
        <v>0</v>
      </c>
      <c r="G192" s="446">
        <f>(AND(G$8&gt;=YEAR(PhaseIIIPreconBegin),G$8&lt;=YEAR(PhaseIIIConEnd)))*SUM($D191:$N191)*'Assumptions-Overall'!$H$43/(YEAR(PhaseIIIConEnd)-YEAR(PhaseIIIPreconBegin)+1)</f>
        <v>0</v>
      </c>
      <c r="H192" s="446">
        <f>(AND(H$8&gt;=YEAR(PhaseIIIPreconBegin),H$8&lt;=YEAR(PhaseIIIConEnd)))*SUM($D191:$N191)*'Assumptions-Overall'!$H$43/(YEAR(PhaseIIIConEnd)-YEAR(PhaseIIIPreconBegin)+1)</f>
        <v>0</v>
      </c>
      <c r="I192" s="446">
        <f>(AND(I$8&gt;=YEAR(PhaseIIIPreconBegin),I$8&lt;=YEAR(PhaseIIIConEnd)))*SUM($D191:$N191)*'Assumptions-Overall'!$H$43/(YEAR(PhaseIIIConEnd)-YEAR(PhaseIIIPreconBegin)+1)</f>
        <v>-1586681.2047004718</v>
      </c>
      <c r="J192" s="446">
        <f>(AND(J$8&gt;=YEAR(PhaseIIIPreconBegin),J$8&lt;=YEAR(PhaseIIIConEnd)))*SUM($D191:$N191)*'Assumptions-Overall'!$H$43/(YEAR(PhaseIIIConEnd)-YEAR(PhaseIIIPreconBegin)+1)</f>
        <v>-1586681.2047004718</v>
      </c>
      <c r="K192" s="446">
        <f>(AND(K$8&gt;=YEAR(PhaseIIIPreconBegin),K$8&lt;=YEAR(PhaseIIIConEnd)))*SUM($D191:$N191)*'Assumptions-Overall'!$H$43/(YEAR(PhaseIIIConEnd)-YEAR(PhaseIIIPreconBegin)+1)</f>
        <v>-1586681.2047004718</v>
      </c>
      <c r="L192" s="446">
        <f>(AND(L$8&gt;=YEAR(PhaseIIIPreconBegin),L$8&lt;=YEAR(PhaseIIIConEnd)))*SUM($D191:$N191)*'Assumptions-Overall'!$H$43/(YEAR(PhaseIIIConEnd)-YEAR(PhaseIIIPreconBegin)+1)</f>
        <v>-1586681.2047004718</v>
      </c>
      <c r="M192" s="446">
        <f>(AND(M$8&gt;=YEAR(PhaseIIIPreconBegin),M$8&lt;=YEAR(PhaseIIIConEnd)))*SUM($D191:$N191)*'Assumptions-Overall'!$H$43/(YEAR(PhaseIIIConEnd)-YEAR(PhaseIIIPreconBegin)+1)</f>
        <v>0</v>
      </c>
      <c r="N192" s="450"/>
    </row>
    <row r="193" spans="2:14" s="365" customFormat="1" x14ac:dyDescent="0.65">
      <c r="B193" s="391" t="s">
        <v>115</v>
      </c>
      <c r="C193" s="366"/>
      <c r="D193" s="446">
        <f>(AND(D$8&gt;=YEAR(PhaseIIIPreconBegin),D$8&lt;=YEAR(PhaseIIIConEnd)))*SUM($D191:$N191)*'Assumptions-Overall'!$H$44/(YEAR(PhaseIIIConEnd)-YEAR(PhaseIIIPreconBegin)+1)</f>
        <v>0</v>
      </c>
      <c r="E193" s="446">
        <f>(AND(E$8&gt;=YEAR(PhaseIIIPreconBegin),E$8&lt;=YEAR(PhaseIIIConEnd)))*SUM($D191:$N191)*'Assumptions-Overall'!$H$44/(YEAR(PhaseIIIConEnd)-YEAR(PhaseIIIPreconBegin)+1)</f>
        <v>0</v>
      </c>
      <c r="F193" s="446">
        <f>(AND(F$8&gt;=YEAR(PhaseIIIPreconBegin),F$8&lt;=YEAR(PhaseIIIConEnd)))*SUM($D191:$N191)*'Assumptions-Overall'!$H$44/(YEAR(PhaseIIIConEnd)-YEAR(PhaseIIIPreconBegin)+1)</f>
        <v>0</v>
      </c>
      <c r="G193" s="446">
        <f>(AND(G$8&gt;=YEAR(PhaseIIIPreconBegin),G$8&lt;=YEAR(PhaseIIIConEnd)))*SUM($D191:$N191)*'Assumptions-Overall'!$H$44/(YEAR(PhaseIIIConEnd)-YEAR(PhaseIIIPreconBegin)+1)</f>
        <v>0</v>
      </c>
      <c r="H193" s="446">
        <f>(AND(H$8&gt;=YEAR(PhaseIIIPreconBegin),H$8&lt;=YEAR(PhaseIIIConEnd)))*SUM($D191:$N191)*'Assumptions-Overall'!$H$44/(YEAR(PhaseIIIConEnd)-YEAR(PhaseIIIPreconBegin)+1)</f>
        <v>0</v>
      </c>
      <c r="I193" s="446">
        <f>(AND(I$8&gt;=YEAR(PhaseIIIPreconBegin),I$8&lt;=YEAR(PhaseIIIConEnd)))*SUM($D191:$N191)*'Assumptions-Overall'!$H$44/(YEAR(PhaseIIIConEnd)-YEAR(PhaseIIIPreconBegin)+1)</f>
        <v>-2644468.6745007867</v>
      </c>
      <c r="J193" s="446">
        <f>(AND(J$8&gt;=YEAR(PhaseIIIPreconBegin),J$8&lt;=YEAR(PhaseIIIConEnd)))*SUM($D191:$N191)*'Assumptions-Overall'!$H$44/(YEAR(PhaseIIIConEnd)-YEAR(PhaseIIIPreconBegin)+1)</f>
        <v>-2644468.6745007867</v>
      </c>
      <c r="K193" s="446">
        <f>(AND(K$8&gt;=YEAR(PhaseIIIPreconBegin),K$8&lt;=YEAR(PhaseIIIConEnd)))*SUM($D191:$N191)*'Assumptions-Overall'!$H$44/(YEAR(PhaseIIIConEnd)-YEAR(PhaseIIIPreconBegin)+1)</f>
        <v>-2644468.6745007867</v>
      </c>
      <c r="L193" s="446">
        <f>(AND(L$8&gt;=YEAR(PhaseIIIPreconBegin),L$8&lt;=YEAR(PhaseIIIConEnd)))*SUM($D191:$N191)*'Assumptions-Overall'!$H$44/(YEAR(PhaseIIIConEnd)-YEAR(PhaseIIIPreconBegin)+1)</f>
        <v>-2644468.6745007867</v>
      </c>
      <c r="M193" s="446">
        <f>(AND(M$8&gt;=YEAR(PhaseIIIPreconBegin),M$8&lt;=YEAR(PhaseIIIConEnd)))*SUM($D191:$N191)*'Assumptions-Overall'!$H$44/(YEAR(PhaseIIIConEnd)-YEAR(PhaseIIIPreconBegin)+1)</f>
        <v>0</v>
      </c>
      <c r="N193" s="450"/>
    </row>
    <row r="194" spans="2:14" s="365" customFormat="1" x14ac:dyDescent="0.65">
      <c r="B194" s="391" t="s">
        <v>116</v>
      </c>
      <c r="C194" s="366"/>
      <c r="D194" s="465">
        <f>SUM(D191:D193)*'Assumptions-Overall'!$H$45</f>
        <v>0</v>
      </c>
      <c r="E194" s="465">
        <f>SUM(E191:E193)*'Assumptions-Overall'!$H$45</f>
        <v>0</v>
      </c>
      <c r="F194" s="465">
        <f>SUM(F191:F193)*'Assumptions-Overall'!$H$45</f>
        <v>0</v>
      </c>
      <c r="G194" s="465">
        <f>SUM(G191:G193)*'Assumptions-Overall'!$H$45</f>
        <v>0</v>
      </c>
      <c r="H194" s="465">
        <f>SUM(H191:H193)*'Assumptions-Overall'!$H$45</f>
        <v>0</v>
      </c>
      <c r="I194" s="465">
        <f>SUM(I191:I193)*'Assumptions-Overall'!$H$45</f>
        <v>-211557.49396006294</v>
      </c>
      <c r="J194" s="465">
        <f>SUM(J191:J193)*'Assumptions-Overall'!$H$45</f>
        <v>-211557.49396006294</v>
      </c>
      <c r="K194" s="465">
        <f>SUM(K191:K193)*'Assumptions-Overall'!$H$45</f>
        <v>-2816945.3506110841</v>
      </c>
      <c r="L194" s="465">
        <f>SUM(L191:L193)*'Assumptions-Overall'!$H$45</f>
        <v>-2895106.9863106143</v>
      </c>
      <c r="M194" s="465">
        <f>SUM(M191:M193)*'Assumptions-Overall'!$H$45</f>
        <v>0</v>
      </c>
      <c r="N194" s="450"/>
    </row>
    <row r="195" spans="2:14" s="365" customFormat="1" x14ac:dyDescent="0.65">
      <c r="B195" s="391" t="s">
        <v>212</v>
      </c>
      <c r="C195" s="366"/>
      <c r="D195" s="446">
        <f>SUM(D191:D194)</f>
        <v>0</v>
      </c>
      <c r="E195" s="446">
        <f t="shared" ref="E195:M195" si="114">SUM(E191:E194)</f>
        <v>0</v>
      </c>
      <c r="F195" s="446">
        <f t="shared" si="114"/>
        <v>0</v>
      </c>
      <c r="G195" s="446">
        <f t="shared" si="114"/>
        <v>0</v>
      </c>
      <c r="H195" s="446">
        <f t="shared" si="114"/>
        <v>0</v>
      </c>
      <c r="I195" s="446">
        <f t="shared" si="114"/>
        <v>-4442707.3731613215</v>
      </c>
      <c r="J195" s="446">
        <f t="shared" si="114"/>
        <v>-4442707.3731613215</v>
      </c>
      <c r="K195" s="446">
        <f t="shared" si="114"/>
        <v>-59155852.362832762</v>
      </c>
      <c r="L195" s="446">
        <f t="shared" si="114"/>
        <v>-60797246.712522902</v>
      </c>
      <c r="M195" s="446">
        <f t="shared" si="114"/>
        <v>0</v>
      </c>
      <c r="N195" s="450"/>
    </row>
    <row r="196" spans="2:14" x14ac:dyDescent="0.65">
      <c r="B196" s="3"/>
      <c r="C196" s="8"/>
      <c r="D196" s="146"/>
      <c r="E196" s="146"/>
      <c r="F196" s="146"/>
      <c r="G196" s="146"/>
      <c r="H196" s="146"/>
      <c r="I196" s="146"/>
      <c r="J196" s="146"/>
      <c r="K196" s="146"/>
      <c r="L196" s="146"/>
      <c r="M196" s="146"/>
      <c r="N196" s="151"/>
    </row>
    <row r="197" spans="2:14" x14ac:dyDescent="0.65">
      <c r="B197" s="36" t="s">
        <v>213</v>
      </c>
      <c r="C197" s="8"/>
      <c r="D197" s="146"/>
      <c r="E197" s="146"/>
      <c r="F197" s="146"/>
      <c r="G197" s="146"/>
      <c r="H197" s="146"/>
      <c r="I197" s="146"/>
      <c r="J197" s="146"/>
      <c r="K197" s="146"/>
      <c r="L197" s="146"/>
      <c r="M197" s="146"/>
      <c r="N197" s="151"/>
    </row>
    <row r="198" spans="2:14" x14ac:dyDescent="0.65">
      <c r="B198" s="3" t="s">
        <v>215</v>
      </c>
      <c r="C198" s="8"/>
      <c r="D198" s="146">
        <f>(D$8=YEAR('Assumptions-Overall'!$C$30))*E186/'Assumptions-Overall'!$V$22</f>
        <v>0</v>
      </c>
      <c r="E198" s="146">
        <f>(E$8=YEAR('Assumptions-Overall'!$C$30))*F186/'Assumptions-Overall'!$V$22</f>
        <v>0</v>
      </c>
      <c r="F198" s="146">
        <f>(F$8=YEAR('Assumptions-Overall'!$C$30))*G186/'Assumptions-Overall'!$V$22</f>
        <v>0</v>
      </c>
      <c r="G198" s="146">
        <f>(G$8=YEAR('Assumptions-Overall'!$C$30))*H186/'Assumptions-Overall'!$V$22</f>
        <v>0</v>
      </c>
      <c r="H198" s="146">
        <f>(H$8=YEAR('Assumptions-Overall'!$C$30))*I186/'Assumptions-Overall'!$V$22</f>
        <v>0</v>
      </c>
      <c r="I198" s="146">
        <f>(I$8=YEAR('Assumptions-Overall'!$C$30))*J186/'Assumptions-Overall'!$V$22</f>
        <v>0</v>
      </c>
      <c r="J198" s="146">
        <f>(J$8=YEAR('Assumptions-Overall'!$C$30))*K186/'Assumptions-Overall'!$V$22</f>
        <v>0</v>
      </c>
      <c r="K198" s="146">
        <f>(K$8=YEAR('Assumptions-Overall'!$C$30))*L186/'Assumptions-Overall'!$V$22</f>
        <v>0</v>
      </c>
      <c r="L198" s="146">
        <f>(L$8=YEAR('Assumptions-Overall'!$C$30))*M186/'Assumptions-Overall'!$V$22</f>
        <v>0</v>
      </c>
      <c r="M198" s="146">
        <f>(M$8=YEAR('Assumptions-Overall'!$C$30))*N186/'Assumptions-Overall'!$V$22</f>
        <v>261605494.20034659</v>
      </c>
      <c r="N198" s="151"/>
    </row>
    <row r="199" spans="2:14" x14ac:dyDescent="0.65">
      <c r="B199" s="3" t="s">
        <v>216</v>
      </c>
      <c r="C199" s="8"/>
      <c r="D199" s="144">
        <f>-D198*'Assumptions-Overall'!$R$27</f>
        <v>0</v>
      </c>
      <c r="E199" s="144">
        <f>-E198*'Assumptions-Overall'!$R$27</f>
        <v>0</v>
      </c>
      <c r="F199" s="144">
        <f>-F198*'Assumptions-Overall'!$R$27</f>
        <v>0</v>
      </c>
      <c r="G199" s="144">
        <f>-G198*'Assumptions-Overall'!$R$27</f>
        <v>0</v>
      </c>
      <c r="H199" s="144">
        <f>-H198*'Assumptions-Overall'!$R$27</f>
        <v>0</v>
      </c>
      <c r="I199" s="144">
        <f>-I198*'Assumptions-Overall'!$R$27</f>
        <v>0</v>
      </c>
      <c r="J199" s="144">
        <f>-J198*'Assumptions-Overall'!$R$27</f>
        <v>0</v>
      </c>
      <c r="K199" s="144">
        <f>-K198*'Assumptions-Overall'!$R$27</f>
        <v>0</v>
      </c>
      <c r="L199" s="144">
        <f>-L198*'Assumptions-Overall'!$R$27</f>
        <v>0</v>
      </c>
      <c r="M199" s="144">
        <f>-M198*'Assumptions-Overall'!$R$27</f>
        <v>-5232109.8840069314</v>
      </c>
      <c r="N199" s="151"/>
    </row>
    <row r="200" spans="2:14" x14ac:dyDescent="0.65">
      <c r="B200" s="3" t="s">
        <v>217</v>
      </c>
      <c r="C200" s="8"/>
      <c r="D200" s="146">
        <f>SUM(D198:D199)</f>
        <v>0</v>
      </c>
      <c r="E200" s="146">
        <f t="shared" ref="E200:M200" si="115">SUM(E198:E199)</f>
        <v>0</v>
      </c>
      <c r="F200" s="146">
        <f t="shared" si="115"/>
        <v>0</v>
      </c>
      <c r="G200" s="146">
        <f t="shared" si="115"/>
        <v>0</v>
      </c>
      <c r="H200" s="146">
        <f t="shared" si="115"/>
        <v>0</v>
      </c>
      <c r="I200" s="146">
        <f t="shared" si="115"/>
        <v>0</v>
      </c>
      <c r="J200" s="146">
        <f t="shared" si="115"/>
        <v>0</v>
      </c>
      <c r="K200" s="146">
        <f t="shared" si="115"/>
        <v>0</v>
      </c>
      <c r="L200" s="146">
        <f t="shared" si="115"/>
        <v>0</v>
      </c>
      <c r="M200" s="146">
        <f t="shared" si="115"/>
        <v>256373384.31633967</v>
      </c>
      <c r="N200" s="151"/>
    </row>
    <row r="201" spans="2:14" x14ac:dyDescent="0.65">
      <c r="B201" s="3"/>
      <c r="C201" s="8"/>
      <c r="D201" s="146"/>
      <c r="E201" s="146"/>
      <c r="F201" s="146"/>
      <c r="G201" s="146"/>
      <c r="H201" s="146"/>
      <c r="I201" s="146"/>
      <c r="J201" s="146"/>
      <c r="K201" s="146"/>
      <c r="L201" s="146"/>
      <c r="M201" s="146"/>
      <c r="N201" s="151"/>
    </row>
    <row r="202" spans="2:14" x14ac:dyDescent="0.65">
      <c r="B202" s="3" t="s">
        <v>214</v>
      </c>
      <c r="C202" s="8"/>
      <c r="D202" s="146">
        <f t="shared" ref="D202:M202" si="116">D188+D195+D200</f>
        <v>0</v>
      </c>
      <c r="E202" s="146">
        <f t="shared" si="116"/>
        <v>0</v>
      </c>
      <c r="F202" s="146">
        <f t="shared" si="116"/>
        <v>0</v>
      </c>
      <c r="G202" s="146">
        <f t="shared" si="116"/>
        <v>0</v>
      </c>
      <c r="H202" s="146">
        <f t="shared" si="116"/>
        <v>0</v>
      </c>
      <c r="I202" s="146">
        <f t="shared" si="116"/>
        <v>-4442707.3731613215</v>
      </c>
      <c r="J202" s="146">
        <f t="shared" si="116"/>
        <v>-4442707.3731613215</v>
      </c>
      <c r="K202" s="146">
        <f t="shared" si="116"/>
        <v>-59155852.362832762</v>
      </c>
      <c r="L202" s="146">
        <f t="shared" si="116"/>
        <v>-60797246.712522902</v>
      </c>
      <c r="M202" s="146">
        <f t="shared" si="116"/>
        <v>279093153.8166132</v>
      </c>
      <c r="N202" s="151"/>
    </row>
    <row r="203" spans="2:14" x14ac:dyDescent="0.65">
      <c r="B203" s="3" t="s">
        <v>218</v>
      </c>
      <c r="C203" s="158">
        <f>IFERROR(IRR(D202:M202),"n/a")</f>
        <v>0.55159968493495715</v>
      </c>
      <c r="D203" s="146"/>
      <c r="E203" s="146"/>
      <c r="F203" s="146"/>
      <c r="G203" s="146"/>
      <c r="H203" s="146"/>
      <c r="I203" s="146"/>
      <c r="J203" s="146"/>
      <c r="K203" s="146"/>
      <c r="L203" s="146"/>
      <c r="M203" s="146"/>
      <c r="N203" s="151"/>
    </row>
    <row r="204" spans="2:14" ht="13" thickBot="1" x14ac:dyDescent="0.8">
      <c r="B204" s="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</row>
    <row r="206" spans="2:14" x14ac:dyDescent="0.65">
      <c r="B206" s="769" t="s">
        <v>278</v>
      </c>
      <c r="C206" s="769"/>
      <c r="D206" s="770">
        <f>D202+D137+D72</f>
        <v>-2826635.4375</v>
      </c>
      <c r="E206" s="770">
        <f t="shared" ref="E206:M206" si="117">E202+E137+E72</f>
        <v>-2826635.4375</v>
      </c>
      <c r="F206" s="770">
        <f t="shared" si="117"/>
        <v>-37637416.6875</v>
      </c>
      <c r="G206" s="770">
        <f t="shared" si="117"/>
        <v>-38681740.125</v>
      </c>
      <c r="H206" s="770">
        <f t="shared" si="117"/>
        <v>26148807.604457784</v>
      </c>
      <c r="I206" s="770">
        <f t="shared" si="117"/>
        <v>22704794.10599234</v>
      </c>
      <c r="J206" s="770">
        <f t="shared" si="117"/>
        <v>23298562.614407942</v>
      </c>
      <c r="K206" s="770">
        <f t="shared" si="117"/>
        <v>-30582344.275636412</v>
      </c>
      <c r="L206" s="770">
        <f t="shared" si="117"/>
        <v>-31366533.382710665</v>
      </c>
      <c r="M206" s="770">
        <f t="shared" si="117"/>
        <v>398269181.08408582</v>
      </c>
    </row>
    <row r="207" spans="2:14" x14ac:dyDescent="0.65">
      <c r="B207" s="769" t="s">
        <v>279</v>
      </c>
      <c r="C207" s="771">
        <f>IRR(D206:M206)</f>
        <v>0.32142997169655585</v>
      </c>
      <c r="D207" s="769"/>
      <c r="E207" s="769"/>
      <c r="F207" s="769"/>
      <c r="G207" s="769"/>
      <c r="H207" s="769"/>
      <c r="I207" s="769"/>
      <c r="J207" s="769"/>
      <c r="K207" s="769"/>
      <c r="L207" s="769"/>
      <c r="M207" s="769"/>
    </row>
  </sheetData>
  <mergeCells count="2">
    <mergeCell ref="B2:C2"/>
    <mergeCell ref="B6:N6"/>
  </mergeCells>
  <pageMargins left="0.7" right="0.7" top="0.75" bottom="0.75" header="0.3" footer="0.3"/>
  <pageSetup orientation="portrait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86A86-5C0F-4856-96D2-3DF1654119BC}">
  <sheetPr>
    <tabColor rgb="FFF0C2DC"/>
  </sheetPr>
  <dimension ref="B1:J65"/>
  <sheetViews>
    <sheetView zoomScaleNormal="100" workbookViewId="0">
      <selection activeCell="A11" sqref="A11:XFD11"/>
    </sheetView>
  </sheetViews>
  <sheetFormatPr defaultColWidth="9.08984375" defaultRowHeight="12.25" x14ac:dyDescent="0.65"/>
  <cols>
    <col min="1" max="1" width="2.76953125" style="1" customWidth="1"/>
    <col min="2" max="2" width="39.453125" style="1" customWidth="1"/>
    <col min="3" max="3" width="10" style="1" customWidth="1"/>
    <col min="4" max="4" width="12.08984375" style="1" customWidth="1"/>
    <col min="5" max="5" width="9.08984375" style="1"/>
    <col min="6" max="6" width="13.76953125" style="1" customWidth="1"/>
    <col min="7" max="7" width="13.453125" style="1" customWidth="1"/>
    <col min="8" max="8" width="9.08984375" style="1" customWidth="1"/>
    <col min="9" max="9" width="5.76953125" style="1" customWidth="1"/>
    <col min="10" max="10" width="39.453125" style="1" customWidth="1"/>
    <col min="11" max="11" width="13.453125" style="1" customWidth="1"/>
    <col min="12" max="16384" width="9.08984375" style="1"/>
  </cols>
  <sheetData>
    <row r="1" spans="2:10" ht="13" thickBot="1" x14ac:dyDescent="0.8"/>
    <row r="2" spans="2:10" ht="14.25" x14ac:dyDescent="0.9">
      <c r="B2" s="982" t="s">
        <v>37</v>
      </c>
      <c r="C2" s="1000"/>
      <c r="D2" s="983"/>
    </row>
    <row r="3" spans="2:10" x14ac:dyDescent="0.65">
      <c r="B3" s="3" t="s">
        <v>36</v>
      </c>
      <c r="C3" s="8"/>
      <c r="D3" s="4" t="str">
        <f>ProjectName</f>
        <v>8th Hill</v>
      </c>
      <c r="E3" s="21"/>
    </row>
    <row r="4" spans="2:10" ht="13" thickBot="1" x14ac:dyDescent="0.8">
      <c r="B4" s="5" t="s">
        <v>35</v>
      </c>
      <c r="C4" s="10"/>
      <c r="D4" s="6">
        <f>TeamNumber</f>
        <v>192021</v>
      </c>
      <c r="E4" s="34"/>
      <c r="F4" s="91"/>
    </row>
    <row r="5" spans="2:10" ht="13" thickBot="1" x14ac:dyDescent="0.8"/>
    <row r="6" spans="2:10" ht="15" thickBot="1" x14ac:dyDescent="1.05">
      <c r="B6" s="741" t="s">
        <v>506</v>
      </c>
      <c r="C6" s="712"/>
      <c r="D6" s="712"/>
      <c r="E6" s="712"/>
      <c r="F6" s="712"/>
      <c r="G6" s="713"/>
    </row>
    <row r="7" spans="2:10" ht="24.5" x14ac:dyDescent="0.65">
      <c r="B7" s="572" t="s">
        <v>100</v>
      </c>
      <c r="C7" s="573"/>
      <c r="D7" s="574" t="s">
        <v>501</v>
      </c>
      <c r="E7" s="575" t="s">
        <v>99</v>
      </c>
      <c r="F7" s="514" t="s">
        <v>95</v>
      </c>
      <c r="G7" s="516" t="s">
        <v>97</v>
      </c>
    </row>
    <row r="8" spans="2:10" x14ac:dyDescent="0.65">
      <c r="B8" s="409" t="s">
        <v>489</v>
      </c>
      <c r="C8" s="576" t="s">
        <v>104</v>
      </c>
      <c r="D8" s="366" t="s">
        <v>502</v>
      </c>
      <c r="E8" s="577" t="s">
        <v>98</v>
      </c>
      <c r="F8" s="377" t="s">
        <v>96</v>
      </c>
      <c r="G8" s="379" t="s">
        <v>95</v>
      </c>
    </row>
    <row r="9" spans="2:10" x14ac:dyDescent="0.65">
      <c r="B9" s="464" t="s">
        <v>492</v>
      </c>
      <c r="C9" s="106" t="str">
        <f>BuildingSummary!$J$18</f>
        <v>II</v>
      </c>
      <c r="D9" s="366">
        <v>13000</v>
      </c>
      <c r="E9" s="22">
        <f>D9/400</f>
        <v>32.5</v>
      </c>
      <c r="F9" s="22">
        <v>30</v>
      </c>
      <c r="G9" s="578">
        <f>E9/F9</f>
        <v>1.0833333333333333</v>
      </c>
    </row>
    <row r="10" spans="2:10" x14ac:dyDescent="0.65">
      <c r="B10" s="464" t="s">
        <v>493</v>
      </c>
      <c r="C10" s="106" t="str">
        <f>BuildingSummary!$K$18</f>
        <v>II</v>
      </c>
      <c r="D10" s="366">
        <v>30000</v>
      </c>
      <c r="E10" s="22">
        <f t="shared" ref="E10" si="0">D10/400</f>
        <v>75</v>
      </c>
      <c r="F10" s="22">
        <v>50</v>
      </c>
      <c r="G10" s="578">
        <f>E10/F10</f>
        <v>1.5</v>
      </c>
    </row>
    <row r="11" spans="2:10" x14ac:dyDescent="0.65">
      <c r="B11" s="464" t="s">
        <v>503</v>
      </c>
      <c r="C11" s="106" t="str">
        <f>BuildingSummary!$U$18</f>
        <v>III</v>
      </c>
      <c r="D11" s="366">
        <v>26862</v>
      </c>
      <c r="E11" s="22">
        <f>D11/400</f>
        <v>67.155000000000001</v>
      </c>
      <c r="F11" s="22">
        <v>82</v>
      </c>
      <c r="G11" s="578">
        <f>E11/F11</f>
        <v>0.81896341463414635</v>
      </c>
    </row>
    <row r="12" spans="2:10" x14ac:dyDescent="0.65">
      <c r="B12" s="579" t="s">
        <v>101</v>
      </c>
      <c r="C12" s="580"/>
      <c r="D12" s="580"/>
      <c r="E12" s="581">
        <f>SUM(E9:E11)</f>
        <v>174.655</v>
      </c>
      <c r="F12" s="581">
        <f>SUM(F9:F11)</f>
        <v>162</v>
      </c>
      <c r="G12" s="578">
        <f>E12/F12</f>
        <v>1.0781172839506172</v>
      </c>
    </row>
    <row r="13" spans="2:10" x14ac:dyDescent="0.65">
      <c r="B13" s="407" t="s">
        <v>505</v>
      </c>
      <c r="C13" s="582"/>
      <c r="D13" s="366"/>
      <c r="E13" s="366"/>
      <c r="F13" s="366"/>
      <c r="G13" s="393"/>
    </row>
    <row r="14" spans="2:10" x14ac:dyDescent="0.65">
      <c r="B14" s="464" t="s">
        <v>504</v>
      </c>
      <c r="C14" s="106" t="str">
        <f>BuildingSummary!$R$18</f>
        <v>III</v>
      </c>
      <c r="D14" s="366">
        <v>35987</v>
      </c>
      <c r="E14" s="22">
        <f>D14/350</f>
        <v>102.82</v>
      </c>
      <c r="F14" s="22">
        <v>735</v>
      </c>
      <c r="G14" s="578">
        <f>E14/F14</f>
        <v>0.13989115646258501</v>
      </c>
      <c r="J14" s="91"/>
    </row>
    <row r="15" spans="2:10" ht="13" thickBot="1" x14ac:dyDescent="0.8">
      <c r="B15" s="583" t="s">
        <v>545</v>
      </c>
      <c r="C15" s="584"/>
      <c r="D15" s="584"/>
      <c r="E15" s="585">
        <f>E14</f>
        <v>102.82</v>
      </c>
      <c r="F15" s="585"/>
      <c r="G15" s="586">
        <f>G14</f>
        <v>0.13989115646258501</v>
      </c>
    </row>
    <row r="16" spans="2:10" ht="13" thickBot="1" x14ac:dyDescent="0.8"/>
    <row r="17" spans="2:10" ht="17.25" customHeight="1" thickBot="1" x14ac:dyDescent="1.05">
      <c r="B17" s="996" t="s">
        <v>534</v>
      </c>
      <c r="C17" s="997"/>
      <c r="D17" s="998"/>
    </row>
    <row r="18" spans="2:10" ht="15" customHeight="1" x14ac:dyDescent="0.65">
      <c r="B18" s="587" t="s">
        <v>535</v>
      </c>
      <c r="C18" s="588" t="s">
        <v>104</v>
      </c>
      <c r="D18" s="589" t="s">
        <v>536</v>
      </c>
      <c r="F18" s="472"/>
    </row>
    <row r="19" spans="2:10" x14ac:dyDescent="0.65">
      <c r="B19" s="150" t="str">
        <f>B11</f>
        <v>N5 (The Villas at 3rd Street)</v>
      </c>
      <c r="C19" s="106" t="s">
        <v>23</v>
      </c>
      <c r="D19" s="42">
        <f>$F$11</f>
        <v>82</v>
      </c>
      <c r="F19" s="91"/>
    </row>
    <row r="20" spans="2:10" x14ac:dyDescent="0.65">
      <c r="B20" s="3" t="s">
        <v>251</v>
      </c>
      <c r="C20" s="8"/>
      <c r="D20" s="104">
        <v>22500</v>
      </c>
      <c r="F20" s="472"/>
    </row>
    <row r="21" spans="2:10" ht="12" customHeight="1" x14ac:dyDescent="0.65">
      <c r="B21" s="1001" t="s">
        <v>537</v>
      </c>
      <c r="C21" s="1002"/>
      <c r="D21" s="1003"/>
      <c r="F21" s="472"/>
    </row>
    <row r="22" spans="2:10" ht="12" customHeight="1" x14ac:dyDescent="0.65">
      <c r="B22" s="3"/>
      <c r="C22" s="8"/>
      <c r="D22" s="94"/>
      <c r="F22" s="472"/>
    </row>
    <row r="23" spans="2:10" x14ac:dyDescent="0.65">
      <c r="B23" s="36" t="s">
        <v>608</v>
      </c>
      <c r="C23" s="8"/>
      <c r="D23" s="42"/>
    </row>
    <row r="24" spans="2:10" x14ac:dyDescent="0.65">
      <c r="B24" s="150" t="str">
        <f>B9</f>
        <v>Lot O (Emery Apartments)</v>
      </c>
      <c r="C24" s="8"/>
      <c r="D24" s="42">
        <v>33</v>
      </c>
    </row>
    <row r="25" spans="2:10" x14ac:dyDescent="0.65">
      <c r="B25" s="150" t="str">
        <f>B10</f>
        <v>Lot Q (Edge Apartments)</v>
      </c>
      <c r="C25" s="8"/>
      <c r="D25" s="42">
        <v>75</v>
      </c>
      <c r="F25" s="472"/>
      <c r="H25" s="473"/>
    </row>
    <row r="26" spans="2:10" ht="12" customHeight="1" x14ac:dyDescent="0.65">
      <c r="B26" s="1001" t="s">
        <v>609</v>
      </c>
      <c r="C26" s="1002"/>
      <c r="D26" s="1003"/>
      <c r="F26" s="472"/>
    </row>
    <row r="27" spans="2:10" ht="12" customHeight="1" x14ac:dyDescent="0.65">
      <c r="B27" s="3" t="s">
        <v>538</v>
      </c>
      <c r="C27" s="8"/>
      <c r="D27" s="104">
        <v>150</v>
      </c>
      <c r="J27" s="470"/>
    </row>
    <row r="28" spans="2:10" ht="12" customHeight="1" x14ac:dyDescent="0.65">
      <c r="B28" s="3"/>
      <c r="C28" s="8"/>
      <c r="D28" s="94"/>
      <c r="J28" s="470"/>
    </row>
    <row r="29" spans="2:10" ht="12" customHeight="1" thickBot="1" x14ac:dyDescent="0.8">
      <c r="B29" s="5" t="s">
        <v>539</v>
      </c>
      <c r="C29" s="10"/>
      <c r="D29" s="590">
        <v>120</v>
      </c>
      <c r="I29" s="91"/>
      <c r="J29" s="470"/>
    </row>
    <row r="30" spans="2:10" ht="12.45" customHeight="1" x14ac:dyDescent="0.65">
      <c r="J30" s="470"/>
    </row>
    <row r="31" spans="2:10" ht="12.45" customHeight="1" x14ac:dyDescent="0.65">
      <c r="J31" s="470"/>
    </row>
    <row r="32" spans="2:10" ht="12.45" customHeight="1" x14ac:dyDescent="0.65">
      <c r="J32" s="470"/>
    </row>
    <row r="33" spans="9:10" ht="21" x14ac:dyDescent="0.65">
      <c r="I33" s="91"/>
      <c r="J33" s="470"/>
    </row>
    <row r="38" spans="9:10" ht="21.75" customHeight="1" x14ac:dyDescent="0.65"/>
    <row r="65" ht="39.75" customHeight="1" x14ac:dyDescent="0.65"/>
  </sheetData>
  <mergeCells count="4">
    <mergeCell ref="B2:D2"/>
    <mergeCell ref="B17:D17"/>
    <mergeCell ref="B21:D21"/>
    <mergeCell ref="B26:D26"/>
  </mergeCells>
  <pageMargins left="0.7" right="0.7" top="0.75" bottom="0.75" header="0.3" footer="0.3"/>
  <pageSetup orientation="portrait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48B90-5DF0-49E1-91A9-939781273251}">
  <sheetPr>
    <tabColor rgb="FFC1F5FB"/>
  </sheetPr>
  <dimension ref="B1:N73"/>
  <sheetViews>
    <sheetView workbookViewId="0"/>
  </sheetViews>
  <sheetFormatPr defaultColWidth="9.08984375" defaultRowHeight="12.25" x14ac:dyDescent="0.65"/>
  <cols>
    <col min="1" max="1" width="2.76953125" style="1" customWidth="1"/>
    <col min="2" max="2" width="31.08984375" style="1" customWidth="1"/>
    <col min="3" max="3" width="9.08984375" style="1"/>
    <col min="4" max="14" width="11.453125" style="1" customWidth="1"/>
    <col min="15" max="16384" width="9.08984375" style="1"/>
  </cols>
  <sheetData>
    <row r="1" spans="2:14" ht="13" thickBot="1" x14ac:dyDescent="0.8"/>
    <row r="2" spans="2:14" ht="14.25" x14ac:dyDescent="0.9">
      <c r="B2" s="982" t="s">
        <v>37</v>
      </c>
      <c r="C2" s="983"/>
    </row>
    <row r="3" spans="2:14" x14ac:dyDescent="0.65">
      <c r="B3" s="3" t="s">
        <v>36</v>
      </c>
      <c r="C3" s="4" t="str">
        <f>ProjectName</f>
        <v>8th Hill</v>
      </c>
    </row>
    <row r="4" spans="2:14" ht="13" thickBot="1" x14ac:dyDescent="0.8">
      <c r="B4" s="5" t="s">
        <v>35</v>
      </c>
      <c r="C4" s="6">
        <f>TeamNumber</f>
        <v>192021</v>
      </c>
    </row>
    <row r="5" spans="2:14" ht="13" thickBot="1" x14ac:dyDescent="0.8"/>
    <row r="6" spans="2:14" ht="15" thickBot="1" x14ac:dyDescent="1.05">
      <c r="B6" s="996" t="s">
        <v>253</v>
      </c>
      <c r="C6" s="997"/>
      <c r="D6" s="997"/>
      <c r="E6" s="997"/>
      <c r="F6" s="997"/>
      <c r="G6" s="997"/>
      <c r="H6" s="997"/>
      <c r="I6" s="997"/>
      <c r="J6" s="997"/>
      <c r="K6" s="997"/>
      <c r="L6" s="997"/>
      <c r="M6" s="997"/>
      <c r="N6" s="998"/>
    </row>
    <row r="7" spans="2:14" x14ac:dyDescent="0.65">
      <c r="B7" s="154" t="s">
        <v>191</v>
      </c>
      <c r="C7" s="155"/>
      <c r="D7" s="155">
        <v>1</v>
      </c>
      <c r="E7" s="155">
        <f>D7+1</f>
        <v>2</v>
      </c>
      <c r="F7" s="155">
        <f t="shared" ref="F7:N8" si="0">E7+1</f>
        <v>3</v>
      </c>
      <c r="G7" s="155">
        <f t="shared" si="0"/>
        <v>4</v>
      </c>
      <c r="H7" s="155">
        <f t="shared" si="0"/>
        <v>5</v>
      </c>
      <c r="I7" s="155">
        <f t="shared" si="0"/>
        <v>6</v>
      </c>
      <c r="J7" s="155">
        <f t="shared" si="0"/>
        <v>7</v>
      </c>
      <c r="K7" s="155">
        <f t="shared" si="0"/>
        <v>8</v>
      </c>
      <c r="L7" s="155">
        <f t="shared" si="0"/>
        <v>9</v>
      </c>
      <c r="M7" s="155">
        <f t="shared" si="0"/>
        <v>10</v>
      </c>
      <c r="N7" s="156">
        <f t="shared" si="0"/>
        <v>11</v>
      </c>
    </row>
    <row r="8" spans="2:14" x14ac:dyDescent="0.65">
      <c r="B8" s="3" t="s">
        <v>192</v>
      </c>
      <c r="C8" s="8"/>
      <c r="D8" s="8">
        <f>YEAR('Assumptions-Overall'!C9)</f>
        <v>2019</v>
      </c>
      <c r="E8" s="8">
        <f>D8+1</f>
        <v>2020</v>
      </c>
      <c r="F8" s="8">
        <f t="shared" si="0"/>
        <v>2021</v>
      </c>
      <c r="G8" s="8">
        <f t="shared" si="0"/>
        <v>2022</v>
      </c>
      <c r="H8" s="8">
        <f t="shared" si="0"/>
        <v>2023</v>
      </c>
      <c r="I8" s="8">
        <f t="shared" si="0"/>
        <v>2024</v>
      </c>
      <c r="J8" s="8">
        <f t="shared" si="0"/>
        <v>2025</v>
      </c>
      <c r="K8" s="8">
        <f t="shared" si="0"/>
        <v>2026</v>
      </c>
      <c r="L8" s="8">
        <f t="shared" si="0"/>
        <v>2027</v>
      </c>
      <c r="M8" s="8">
        <f t="shared" si="0"/>
        <v>2028</v>
      </c>
      <c r="N8" s="9">
        <f t="shared" si="0"/>
        <v>2029</v>
      </c>
    </row>
    <row r="9" spans="2:14" x14ac:dyDescent="0.65">
      <c r="B9" s="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2:14" x14ac:dyDescent="0.65">
      <c r="B10" s="147" t="s">
        <v>197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2:14" hidden="1" x14ac:dyDescent="0.65">
      <c r="B11" s="3"/>
      <c r="C11" s="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9"/>
    </row>
    <row r="12" spans="2:14" hidden="1" x14ac:dyDescent="0.65">
      <c r="B12" s="3"/>
      <c r="C12" s="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2:14" hidden="1" x14ac:dyDescent="0.65">
      <c r="B13" s="3"/>
      <c r="C13" s="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9"/>
    </row>
    <row r="14" spans="2:14" x14ac:dyDescent="0.65">
      <c r="B14" s="3" t="s">
        <v>254</v>
      </c>
      <c r="C14" s="8"/>
      <c r="D14" s="148">
        <f>IF(D$8&gt;=YEAR(PhaseIIComplete),('Assumptions-Parking'!$E$9+'Assumptions-Parking'!$E$10),0)</f>
        <v>0</v>
      </c>
      <c r="E14" s="148">
        <f>IF(E$8&gt;=YEAR(PhaseIIComplete),('Assumptions-Parking'!$E$9+'Assumptions-Parking'!$E$10),0)</f>
        <v>0</v>
      </c>
      <c r="F14" s="148">
        <f>IF(F$8&gt;=YEAR(PhaseIIComplete),('Assumptions-Parking'!$E$9+'Assumptions-Parking'!$E$10),0)</f>
        <v>0</v>
      </c>
      <c r="G14" s="148">
        <f>IF(G$8&gt;=YEAR(PhaseIIComplete),('Assumptions-Parking'!$E$9+'Assumptions-Parking'!$E$10),0)</f>
        <v>107.5</v>
      </c>
      <c r="H14" s="148">
        <f>IF(H$8&gt;=YEAR(PhaseIIComplete),('Assumptions-Parking'!$E$9+'Assumptions-Parking'!$E$10),0)</f>
        <v>107.5</v>
      </c>
      <c r="I14" s="148">
        <f>IF(I$8&gt;=YEAR(PhaseIIComplete),('Assumptions-Parking'!$E$9+'Assumptions-Parking'!$E$10),0)</f>
        <v>107.5</v>
      </c>
      <c r="J14" s="148">
        <f>IF(J$8&gt;=YEAR(PhaseIIComplete),('Assumptions-Parking'!$E$9+'Assumptions-Parking'!$E$10),0)</f>
        <v>107.5</v>
      </c>
      <c r="K14" s="148">
        <f>IF(K$8&gt;=YEAR(PhaseIIComplete),('Assumptions-Parking'!$E$9+'Assumptions-Parking'!$E$10),0)</f>
        <v>107.5</v>
      </c>
      <c r="L14" s="148">
        <f>IF(L$8&gt;=YEAR(PhaseIIComplete),('Assumptions-Parking'!$E$9+'Assumptions-Parking'!$E$10),0)</f>
        <v>107.5</v>
      </c>
      <c r="M14" s="148">
        <f>IF(M$8&gt;=YEAR(PhaseIIComplete),('Assumptions-Parking'!$E$9+'Assumptions-Parking'!$E$10),0)</f>
        <v>107.5</v>
      </c>
      <c r="N14" s="149">
        <f>IF(N$8&gt;=YEAR(PhaseIIComplete),('Assumptions-Parking'!$E$9+'Assumptions-Parking'!$E$10),0)</f>
        <v>107.5</v>
      </c>
    </row>
    <row r="15" spans="2:14" ht="9.75" hidden="1" customHeight="1" x14ac:dyDescent="0.65">
      <c r="B15" s="3"/>
      <c r="C15" s="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9"/>
    </row>
    <row r="16" spans="2:14" x14ac:dyDescent="0.65">
      <c r="B16" s="3"/>
      <c r="C16" s="8"/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9"/>
    </row>
    <row r="17" spans="2:14" s="365" customFormat="1" x14ac:dyDescent="0.65">
      <c r="B17" s="409" t="s">
        <v>206</v>
      </c>
      <c r="C17" s="366"/>
      <c r="D17" s="646"/>
      <c r="E17" s="646"/>
      <c r="F17" s="646"/>
      <c r="G17" s="646"/>
      <c r="H17" s="646"/>
      <c r="I17" s="646"/>
      <c r="J17" s="646"/>
      <c r="K17" s="646"/>
      <c r="L17" s="646"/>
      <c r="M17" s="646"/>
      <c r="N17" s="647"/>
    </row>
    <row r="18" spans="2:14" s="365" customFormat="1" x14ac:dyDescent="0.65">
      <c r="B18" s="391" t="s">
        <v>551</v>
      </c>
      <c r="C18" s="366"/>
      <c r="D18" s="148">
        <f>IF(D$8&gt;=YEAR(PhaseIIComplete),('Assumptions-Parking'!$E$9*'Assumptions-Parking'!$D$27)+('Assumptions-Parking'!$E$10*'Assumptions-Parking'!$D$27)*12,0)</f>
        <v>0</v>
      </c>
      <c r="E18" s="148">
        <f>IF(E$8&gt;=YEAR(PhaseIIComplete),('Assumptions-Parking'!$E$9*'Assumptions-Parking'!$D$27)+('Assumptions-Parking'!$E$10*'Assumptions-Parking'!$D$27)*12,0)</f>
        <v>0</v>
      </c>
      <c r="F18" s="148">
        <f>IF(F$8&gt;=YEAR(PhaseIIComplete),('Assumptions-Parking'!$E$9*'Assumptions-Parking'!$D$27)+('Assumptions-Parking'!$E$10*'Assumptions-Parking'!$D$27)*12,0)</f>
        <v>0</v>
      </c>
      <c r="G18" s="148">
        <f>IF(G$8&gt;=YEAR(PhaseIIComplete),('Assumptions-Parking'!$E$9*'Assumptions-Parking'!$D$27)+('Assumptions-Parking'!$E$10*'Assumptions-Parking'!$D$27)*12,0)</f>
        <v>139875</v>
      </c>
      <c r="H18" s="148">
        <f>G18*1.03</f>
        <v>144071.25</v>
      </c>
      <c r="I18" s="148">
        <f t="shared" ref="I18:N18" si="1">H18*1.03</f>
        <v>148393.38750000001</v>
      </c>
      <c r="J18" s="148">
        <f t="shared" si="1"/>
        <v>152845.189125</v>
      </c>
      <c r="K18" s="148">
        <f t="shared" si="1"/>
        <v>157430.54479875002</v>
      </c>
      <c r="L18" s="148">
        <f t="shared" si="1"/>
        <v>162153.46114271253</v>
      </c>
      <c r="M18" s="148">
        <f t="shared" si="1"/>
        <v>167018.06497699392</v>
      </c>
      <c r="N18" s="149">
        <f t="shared" si="1"/>
        <v>172028.60692630374</v>
      </c>
    </row>
    <row r="19" spans="2:14" x14ac:dyDescent="0.65">
      <c r="B19" s="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</row>
    <row r="20" spans="2:14" x14ac:dyDescent="0.65">
      <c r="B20" s="409" t="s">
        <v>130</v>
      </c>
      <c r="C20" s="36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50"/>
    </row>
    <row r="21" spans="2:14" x14ac:dyDescent="0.65">
      <c r="B21" s="391" t="s">
        <v>210</v>
      </c>
      <c r="C21" s="366"/>
      <c r="D21" s="646">
        <f>IF(AND(D$8&gt;=YEAR(PhaseIIConBegin),(D$8&lt;=YEAR(PhaseIIConEnd))),('Assumptions-Parking'!$D$10+'Assumptions-Parking'!$D$11)*'Assumptions-Land&amp;Infrastructure'!$F$23/2,0)</f>
        <v>0</v>
      </c>
      <c r="E21" s="646">
        <f>IF(AND(E$8&gt;=YEAR(PhaseIIConBegin),(E$8&lt;=YEAR(PhaseIIConEnd))),('Assumptions-Parking'!$D$10+'Assumptions-Parking'!$D$11)*'Assumptions-Land&amp;Infrastructure'!$F$23/2,0)</f>
        <v>0</v>
      </c>
      <c r="F21" s="646">
        <f>IF(AND(F$8&gt;=YEAR(PhaseIIConBegin),(F$8&lt;=YEAR(PhaseIIConEnd))),('Assumptions-Parking'!$D$10+'Assumptions-Parking'!$D$11)*'Assumptions-Land&amp;Infrastructure'!$F$23/2,0)</f>
        <v>2416635</v>
      </c>
      <c r="G21" s="646">
        <f>IF(AND(G$8&gt;=YEAR(PhaseIIConBegin),(G$8&lt;=YEAR(PhaseIIConEnd))),('Assumptions-Parking'!$D$10+'Assumptions-Parking'!$D$11)*'Assumptions-Land&amp;Infrastructure'!$F$23/2,0)</f>
        <v>2416635</v>
      </c>
      <c r="H21" s="646">
        <f>IF(AND(H$8&gt;=YEAR(PhaseIIConBegin),(H$8&lt;=YEAR(PhaseIIConEnd))),('Assumptions-Parking'!$D$10+'Assumptions-Parking'!$D$11)*'Assumptions-Land&amp;Infrastructure'!$F$23/2,0)</f>
        <v>0</v>
      </c>
      <c r="I21" s="646">
        <f>IF(AND(I$8&gt;=YEAR(PhaseIIConBegin),(I$8&lt;=YEAR(PhaseIIConEnd))),('Assumptions-Parking'!$D$10+'Assumptions-Parking'!$D$11)*'Assumptions-Land&amp;Infrastructure'!$F$23/2,0)</f>
        <v>0</v>
      </c>
      <c r="J21" s="646">
        <f>IF(AND(J$8&gt;=YEAR(PhaseIIConBegin),(J$8&lt;=YEAR(PhaseIIConEnd))),('Assumptions-Parking'!$D$10+'Assumptions-Parking'!$D$11)*'Assumptions-Land&amp;Infrastructure'!$F$23/2,0)</f>
        <v>0</v>
      </c>
      <c r="K21" s="646">
        <f>IF(AND(K$8&gt;=YEAR(PhaseIIConBegin),(K$8&lt;=YEAR(PhaseIIConEnd))),('Assumptions-Parking'!$D$10+'Assumptions-Parking'!$D$11)*'Assumptions-Land&amp;Infrastructure'!$F$23/2,0)</f>
        <v>0</v>
      </c>
      <c r="L21" s="646">
        <f>IF(AND(L$8&gt;=YEAR(PhaseIIConBegin),(L$8&lt;=YEAR(PhaseIIConEnd))),('Assumptions-Parking'!$D$10+'Assumptions-Parking'!$D$11)*'Assumptions-Land&amp;Infrastructure'!$F$23/2,0)</f>
        <v>0</v>
      </c>
      <c r="M21" s="646">
        <f>IF(AND(M$8&gt;=YEAR(PhaseIIConBegin),(M$8&lt;=YEAR(PhaseIIConEnd))),('Assumptions-Parking'!$D$10+'Assumptions-Parking'!$D$11)*'Assumptions-Land&amp;Infrastructure'!$F$23/2,0)</f>
        <v>0</v>
      </c>
      <c r="N21" s="450"/>
    </row>
    <row r="22" spans="2:14" x14ac:dyDescent="0.65">
      <c r="B22" s="391" t="s">
        <v>211</v>
      </c>
      <c r="C22" s="366"/>
      <c r="D22" s="446">
        <f>(AND(D$8&gt;=YEAR(PhaseIIPreconBegin),D$8&lt;=YEAR(PhaseIIConEnd)))*SUM($D21:$N21)*'Assumptions-Overall'!$H$43/(YEAR(PhaseIIConEnd)-YEAR(PhaseIIPreconBegin)+1)</f>
        <v>0</v>
      </c>
      <c r="E22" s="446">
        <f>(AND(E$8&gt;=YEAR(PhaseIIConBegin),E$8&lt;=YEAR(PhaseIIConEnd)))*SUM($D21:$N21)*'Assumptions-Overall'!$H$43/(YEAR(PhaseIIConEnd)-YEAR(PhaseIIPreconBegin)+1)</f>
        <v>0</v>
      </c>
      <c r="F22" s="446">
        <f>(AND(F$8&gt;=YEAR(PhaseIIConBegin),F$8&lt;=YEAR(PhaseIIConEnd)))*SUM($D21:$N21)*'Assumptions-Overall'!$H$43/(YEAR(PhaseIIConEnd)-YEAR(PhaseIIPreconBegin)+1)</f>
        <v>96665.400000000009</v>
      </c>
      <c r="G22" s="446">
        <f>(AND(G$8&gt;=YEAR(PhaseIIPreconBegin),G$8&lt;=YEAR(PhaseIIConEnd)))*SUM($D21:$N21)*'Assumptions-Overall'!$H$43/(YEAR(PhaseIIConEnd)-YEAR(PhaseIIPreconBegin)+1)</f>
        <v>96665.400000000009</v>
      </c>
      <c r="H22" s="446">
        <f>(AND(H$8&gt;=YEAR(PhaseIIPreconBegin),H$8&lt;=YEAR(PhaseIIConEnd)))*SUM($D21:$N21)*'Assumptions-Overall'!$H$43/(YEAR(PhaseIIConEnd)-YEAR(PhaseIIPreconBegin)+1)</f>
        <v>0</v>
      </c>
      <c r="I22" s="446">
        <f>(AND(I$8&gt;=YEAR(PhaseIIPreconBegin),I$8&lt;=YEAR(PhaseIIConEnd)))*SUM($D21:$N21)*'Assumptions-Overall'!$H$43/(YEAR(PhaseIIConEnd)-YEAR(PhaseIIPreconBegin)+1)</f>
        <v>0</v>
      </c>
      <c r="J22" s="446">
        <f>(AND(J$8&gt;=YEAR(PhaseIIPreconBegin),J$8&lt;=YEAR(PhaseIIConEnd)))*SUM($D21:$N21)*'Assumptions-Overall'!$H$43/(YEAR(PhaseIIConEnd)-YEAR(PhaseIIPreconBegin)+1)</f>
        <v>0</v>
      </c>
      <c r="K22" s="446">
        <f>(AND(K$8&gt;=YEAR(PhaseIIPreconBegin),K$8&lt;=YEAR(PhaseIIConEnd)))*SUM($D21:$N21)*'Assumptions-Overall'!$H$43/(YEAR(PhaseIIConEnd)-YEAR(PhaseIIPreconBegin)+1)</f>
        <v>0</v>
      </c>
      <c r="L22" s="446">
        <f>(AND(L$8&gt;=YEAR(PhaseIIPreconBegin),L$8&lt;=YEAR(PhaseIIConEnd)))*SUM($D21:$N21)*'Assumptions-Overall'!$H$43/(YEAR(PhaseIIConEnd)-YEAR(PhaseIIPreconBegin)+1)</f>
        <v>0</v>
      </c>
      <c r="M22" s="446">
        <f>(AND(M$8&gt;=YEAR(PhaseIIPreconBegin),M$8&lt;=YEAR(PhaseIIConEnd)))*SUM($D21:$N21)*'Assumptions-Overall'!$H$43/(YEAR(PhaseIIConEnd)-YEAR(PhaseIIPreconBegin)+1)</f>
        <v>0</v>
      </c>
      <c r="N22" s="450"/>
    </row>
    <row r="23" spans="2:14" x14ac:dyDescent="0.65">
      <c r="B23" s="391" t="s">
        <v>115</v>
      </c>
      <c r="C23" s="366"/>
      <c r="D23" s="446">
        <f>(AND(D$8&gt;=YEAR(PhaseIIPreconBegin),D$8&lt;=YEAR(PhaseIIConEnd)))*SUM($D21:$N21)*'Assumptions-Overall'!$H$44/(YEAR(PhaseIIConEnd)-YEAR(PhaseIIPreconBegin)+1)</f>
        <v>0</v>
      </c>
      <c r="E23" s="446">
        <f>(AND(E$8&gt;=YEAR(PhaseIIConBegin),E$8&lt;=YEAR(PhaseIIConEnd)))*SUM($D21:$N21)*'Assumptions-Overall'!$H$44/(YEAR(PhaseIIConEnd)-YEAR(PhaseIIPreconBegin)+1)</f>
        <v>0</v>
      </c>
      <c r="F23" s="446">
        <f>(AND(F$8&gt;=YEAR(PhaseIIConBegin),F$8&lt;=YEAR(PhaseIIConEnd)))*SUM($D21:$N21)*'Assumptions-Overall'!$H$44/(YEAR(PhaseIIConEnd)-YEAR(PhaseIIPreconBegin)+1)</f>
        <v>161109</v>
      </c>
      <c r="G23" s="446">
        <f>(AND(G$8&gt;=YEAR(PhaseIIPreconBegin),G$8&lt;=YEAR(PhaseIIConEnd)))*SUM($D21:$N21)*'Assumptions-Overall'!$H$44/(YEAR(PhaseIIConEnd)-YEAR(PhaseIIPreconBegin)+1)</f>
        <v>161109</v>
      </c>
      <c r="H23" s="446">
        <f>(AND(H$8&gt;=YEAR(PhaseIIPreconBegin),H$8&lt;=YEAR(PhaseIIConEnd)))*SUM($D21:$N21)*'Assumptions-Overall'!$H$44/(YEAR(PhaseIIConEnd)-YEAR(PhaseIIPreconBegin)+1)</f>
        <v>0</v>
      </c>
      <c r="I23" s="446">
        <f>(AND(I$8&gt;=YEAR(PhaseIIPreconBegin),I$8&lt;=YEAR(PhaseIIConEnd)))*SUM($D21:$N21)*'Assumptions-Overall'!$H$44/(YEAR(PhaseIIConEnd)-YEAR(PhaseIIPreconBegin)+1)</f>
        <v>0</v>
      </c>
      <c r="J23" s="446">
        <f>(AND(J$8&gt;=YEAR(PhaseIIPreconBegin),J$8&lt;=YEAR(PhaseIIConEnd)))*SUM($D21:$N21)*'Assumptions-Overall'!$H$44/(YEAR(PhaseIIConEnd)-YEAR(PhaseIIPreconBegin)+1)</f>
        <v>0</v>
      </c>
      <c r="K23" s="446">
        <f>(AND(K$8&gt;=YEAR(PhaseIIPreconBegin),K$8&lt;=YEAR(PhaseIIConEnd)))*SUM($D21:$N21)*'Assumptions-Overall'!$H$44/(YEAR(PhaseIIConEnd)-YEAR(PhaseIIPreconBegin)+1)</f>
        <v>0</v>
      </c>
      <c r="L23" s="446">
        <f>(AND(L$8&gt;=YEAR(PhaseIIPreconBegin),L$8&lt;=YEAR(PhaseIIConEnd)))*SUM($D21:$N21)*'Assumptions-Overall'!$H$44/(YEAR(PhaseIIConEnd)-YEAR(PhaseIIPreconBegin)+1)</f>
        <v>0</v>
      </c>
      <c r="M23" s="446">
        <f>(AND(M$8&gt;=YEAR(PhaseIIPreconBegin),M$8&lt;=YEAR(PhaseIIConEnd)))*SUM($D21:$N21)*'Assumptions-Overall'!$H$44/(YEAR(PhaseIIConEnd)-YEAR(PhaseIIPreconBegin)+1)</f>
        <v>0</v>
      </c>
      <c r="N23" s="450"/>
    </row>
    <row r="24" spans="2:14" x14ac:dyDescent="0.65">
      <c r="B24" s="391" t="s">
        <v>116</v>
      </c>
      <c r="C24" s="366"/>
      <c r="D24" s="465">
        <f>SUM(D21:D23)*'Assumptions-Overall'!$H$45</f>
        <v>0</v>
      </c>
      <c r="E24" s="465">
        <f>SUM(E21:E23)*'Assumptions-Overall'!$H$45</f>
        <v>0</v>
      </c>
      <c r="F24" s="465">
        <f>SUM(F21:F23)*'Assumptions-Overall'!$H$45</f>
        <v>133720.47</v>
      </c>
      <c r="G24" s="465">
        <f>SUM(G21:G23)*'Assumptions-Overall'!$H$45</f>
        <v>133720.47</v>
      </c>
      <c r="H24" s="465">
        <f>SUM(H21:H23)*'Assumptions-Overall'!$H$45</f>
        <v>0</v>
      </c>
      <c r="I24" s="465">
        <f>SUM(I21:I23)*'Assumptions-Overall'!$H$45</f>
        <v>0</v>
      </c>
      <c r="J24" s="465">
        <f>SUM(J21:J23)*'Assumptions-Overall'!$H$45</f>
        <v>0</v>
      </c>
      <c r="K24" s="465">
        <f>SUM(K21:K23)*'Assumptions-Overall'!$H$45</f>
        <v>0</v>
      </c>
      <c r="L24" s="465">
        <f>SUM(L21:L23)*'Assumptions-Overall'!$H$45</f>
        <v>0</v>
      </c>
      <c r="M24" s="465">
        <f>SUM(M21:M23)*'Assumptions-Overall'!$H$45</f>
        <v>0</v>
      </c>
      <c r="N24" s="450"/>
    </row>
    <row r="25" spans="2:14" x14ac:dyDescent="0.65">
      <c r="B25" s="391" t="s">
        <v>212</v>
      </c>
      <c r="C25" s="366"/>
      <c r="D25" s="446">
        <f>SUM(D21:D24)</f>
        <v>0</v>
      </c>
      <c r="E25" s="446">
        <f t="shared" ref="E25:M25" si="2">SUM(E21:E24)</f>
        <v>0</v>
      </c>
      <c r="F25" s="446">
        <f t="shared" si="2"/>
        <v>2808129.87</v>
      </c>
      <c r="G25" s="446">
        <f t="shared" si="2"/>
        <v>2808129.87</v>
      </c>
      <c r="H25" s="446">
        <f t="shared" si="2"/>
        <v>0</v>
      </c>
      <c r="I25" s="446">
        <f t="shared" si="2"/>
        <v>0</v>
      </c>
      <c r="J25" s="446">
        <f t="shared" si="2"/>
        <v>0</v>
      </c>
      <c r="K25" s="446">
        <f t="shared" si="2"/>
        <v>0</v>
      </c>
      <c r="L25" s="446">
        <f t="shared" si="2"/>
        <v>0</v>
      </c>
      <c r="M25" s="446">
        <f t="shared" si="2"/>
        <v>0</v>
      </c>
      <c r="N25" s="450"/>
    </row>
    <row r="26" spans="2:14" x14ac:dyDescent="0.65">
      <c r="B26" s="3"/>
      <c r="C26" s="8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51"/>
    </row>
    <row r="27" spans="2:14" x14ac:dyDescent="0.65">
      <c r="B27" s="36" t="s">
        <v>552</v>
      </c>
      <c r="C27" s="8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51"/>
    </row>
    <row r="28" spans="2:14" x14ac:dyDescent="0.65">
      <c r="B28" s="3" t="s">
        <v>255</v>
      </c>
      <c r="C28" s="8"/>
      <c r="D28" s="148">
        <v>0</v>
      </c>
      <c r="E28" s="148">
        <v>0</v>
      </c>
      <c r="F28" s="148">
        <v>0</v>
      </c>
      <c r="G28" s="148">
        <v>0</v>
      </c>
      <c r="H28" s="148">
        <f>108*'Assumptions-Parking'!D20</f>
        <v>2430000</v>
      </c>
      <c r="I28" s="148">
        <v>0</v>
      </c>
      <c r="J28" s="148">
        <v>0</v>
      </c>
      <c r="K28" s="148">
        <v>0</v>
      </c>
      <c r="L28" s="148">
        <v>0</v>
      </c>
      <c r="M28" s="148">
        <v>0</v>
      </c>
      <c r="N28" s="151"/>
    </row>
    <row r="29" spans="2:14" x14ac:dyDescent="0.65">
      <c r="B29" s="3" t="s">
        <v>216</v>
      </c>
      <c r="C29" s="8"/>
      <c r="D29" s="144">
        <f>-D28*'Assumptions-ResCondo'!$I$20</f>
        <v>0</v>
      </c>
      <c r="E29" s="144">
        <f>-E28*'Assumptions-ResCondo'!$I$20</f>
        <v>0</v>
      </c>
      <c r="F29" s="144">
        <f>-F28*'Assumptions-ResCondo'!$I$20</f>
        <v>0</v>
      </c>
      <c r="G29" s="144">
        <f>-G28*'Assumptions-ResCondo'!$I$20</f>
        <v>0</v>
      </c>
      <c r="H29" s="144">
        <f>-H28*'Assumptions-ResCondo'!$I$20</f>
        <v>-72900</v>
      </c>
      <c r="I29" s="144">
        <f>-I28*'Assumptions-ResCondo'!$I$20</f>
        <v>0</v>
      </c>
      <c r="J29" s="144">
        <f>-J28*'Assumptions-ResCondo'!$I$20</f>
        <v>0</v>
      </c>
      <c r="K29" s="144">
        <f>-K28*'Assumptions-ResCondo'!$I$20</f>
        <v>0</v>
      </c>
      <c r="L29" s="144">
        <f>-L28*'Assumptions-ResCondo'!$I$20</f>
        <v>0</v>
      </c>
      <c r="M29" s="144">
        <f>-M28*'Assumptions-ResCondo'!$I$20</f>
        <v>0</v>
      </c>
      <c r="N29" s="151"/>
    </row>
    <row r="30" spans="2:14" x14ac:dyDescent="0.65">
      <c r="B30" s="3" t="s">
        <v>220</v>
      </c>
      <c r="C30" s="8"/>
      <c r="D30" s="146">
        <f>SUM(D28:D29)</f>
        <v>0</v>
      </c>
      <c r="E30" s="146">
        <f t="shared" ref="E30:H30" si="3">SUM(E28:E29)</f>
        <v>0</v>
      </c>
      <c r="F30" s="146">
        <f t="shared" si="3"/>
        <v>0</v>
      </c>
      <c r="G30" s="146">
        <f t="shared" si="3"/>
        <v>0</v>
      </c>
      <c r="H30" s="146">
        <f t="shared" si="3"/>
        <v>2357100</v>
      </c>
      <c r="I30" s="146"/>
      <c r="J30" s="146"/>
      <c r="K30" s="146"/>
      <c r="L30" s="146"/>
      <c r="M30" s="146"/>
      <c r="N30" s="151"/>
    </row>
    <row r="31" spans="2:14" x14ac:dyDescent="0.65">
      <c r="B31" s="3"/>
      <c r="C31" s="8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51"/>
    </row>
    <row r="32" spans="2:14" x14ac:dyDescent="0.65">
      <c r="B32" s="36" t="s">
        <v>213</v>
      </c>
      <c r="C32" s="8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51"/>
    </row>
    <row r="33" spans="2:14" x14ac:dyDescent="0.65">
      <c r="B33" s="3" t="s">
        <v>215</v>
      </c>
      <c r="C33" s="8"/>
      <c r="D33" s="146">
        <f>(D$8=YEAR('Assumptions-Overall'!$C$30))*E18/0.05</f>
        <v>0</v>
      </c>
      <c r="E33" s="146">
        <f>(E$8=YEAR('Assumptions-Overall'!$C$30))*F18/0.05</f>
        <v>0</v>
      </c>
      <c r="F33" s="146">
        <f>(F$8=YEAR('Assumptions-Overall'!$C$30))*G18/0.05</f>
        <v>0</v>
      </c>
      <c r="G33" s="146">
        <f>(G$8=YEAR('Assumptions-Overall'!$C$30))*H18/0.05</f>
        <v>0</v>
      </c>
      <c r="H33" s="146">
        <f>(H$8=YEAR('Assumptions-Overall'!$C$30))*I18/0.05</f>
        <v>0</v>
      </c>
      <c r="I33" s="146">
        <f>(I$8=YEAR('Assumptions-Overall'!$C$30))*J18/0.05</f>
        <v>0</v>
      </c>
      <c r="J33" s="146">
        <f>(J$8=YEAR('Assumptions-Overall'!$C$30))*K18/0.05</f>
        <v>0</v>
      </c>
      <c r="K33" s="146">
        <f>(K$8=YEAR('Assumptions-Overall'!$C$30))*L18/0.05</f>
        <v>0</v>
      </c>
      <c r="L33" s="146">
        <f>(L$8=YEAR('Assumptions-Overall'!$C$30))*M18/0.05</f>
        <v>0</v>
      </c>
      <c r="M33" s="146">
        <f>(M$8=YEAR('Assumptions-Overall'!$C$30))*N18/0.03</f>
        <v>5734286.8975434583</v>
      </c>
      <c r="N33" s="151"/>
    </row>
    <row r="34" spans="2:14" x14ac:dyDescent="0.65">
      <c r="B34" s="3" t="s">
        <v>216</v>
      </c>
      <c r="C34" s="8"/>
      <c r="D34" s="144">
        <f>-D33*'Assumptions-Overall'!$R$27</f>
        <v>0</v>
      </c>
      <c r="E34" s="144">
        <f>-E33*'Assumptions-Overall'!$R$27</f>
        <v>0</v>
      </c>
      <c r="F34" s="144">
        <f>-F33*'Assumptions-Overall'!$R$27</f>
        <v>0</v>
      </c>
      <c r="G34" s="144">
        <f>-G33*'Assumptions-Overall'!$R$27</f>
        <v>0</v>
      </c>
      <c r="H34" s="144">
        <f>-H33*'Assumptions-Overall'!$R$27</f>
        <v>0</v>
      </c>
      <c r="I34" s="144">
        <f>-I33*'Assumptions-Overall'!$R$27</f>
        <v>0</v>
      </c>
      <c r="J34" s="144">
        <f>-J33*'Assumptions-Overall'!$R$27</f>
        <v>0</v>
      </c>
      <c r="K34" s="144">
        <f>-K33*'Assumptions-Overall'!$R$27</f>
        <v>0</v>
      </c>
      <c r="L34" s="144">
        <f>-L33*'Assumptions-Overall'!$R$27</f>
        <v>0</v>
      </c>
      <c r="M34" s="144">
        <f>-M33*'Assumptions-Overall'!$R$27</f>
        <v>-114685.73795086917</v>
      </c>
      <c r="N34" s="151"/>
    </row>
    <row r="35" spans="2:14" x14ac:dyDescent="0.65">
      <c r="B35" s="3" t="s">
        <v>217</v>
      </c>
      <c r="C35" s="8"/>
      <c r="D35" s="146">
        <f>SUM(D33:D34)</f>
        <v>0</v>
      </c>
      <c r="E35" s="146">
        <f t="shared" ref="E35:M35" si="4">SUM(E33:E34)</f>
        <v>0</v>
      </c>
      <c r="F35" s="146">
        <f t="shared" si="4"/>
        <v>0</v>
      </c>
      <c r="G35" s="146">
        <f t="shared" si="4"/>
        <v>0</v>
      </c>
      <c r="H35" s="146">
        <f t="shared" si="4"/>
        <v>0</v>
      </c>
      <c r="I35" s="146">
        <f t="shared" si="4"/>
        <v>0</v>
      </c>
      <c r="J35" s="146">
        <f t="shared" si="4"/>
        <v>0</v>
      </c>
      <c r="K35" s="146">
        <f t="shared" si="4"/>
        <v>0</v>
      </c>
      <c r="L35" s="146">
        <f t="shared" si="4"/>
        <v>0</v>
      </c>
      <c r="M35" s="146">
        <f t="shared" si="4"/>
        <v>5619601.1595925894</v>
      </c>
      <c r="N35" s="151"/>
    </row>
    <row r="36" spans="2:14" x14ac:dyDescent="0.65">
      <c r="B36" s="3"/>
      <c r="C36" s="8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51"/>
    </row>
    <row r="37" spans="2:14" x14ac:dyDescent="0.65">
      <c r="B37" s="3" t="s">
        <v>214</v>
      </c>
      <c r="C37" s="8"/>
      <c r="D37" s="146">
        <f>D18+D25+D30+D35</f>
        <v>0</v>
      </c>
      <c r="E37" s="146">
        <f>E18-E25+E30+E35</f>
        <v>0</v>
      </c>
      <c r="F37" s="146">
        <f t="shared" ref="F37:M37" si="5">F18-F25+F30+F35</f>
        <v>-2808129.87</v>
      </c>
      <c r="G37" s="146">
        <f t="shared" si="5"/>
        <v>-2668254.87</v>
      </c>
      <c r="H37" s="146">
        <f t="shared" si="5"/>
        <v>2501171.25</v>
      </c>
      <c r="I37" s="146">
        <f t="shared" si="5"/>
        <v>148393.38750000001</v>
      </c>
      <c r="J37" s="146">
        <f t="shared" si="5"/>
        <v>152845.189125</v>
      </c>
      <c r="K37" s="146">
        <f t="shared" si="5"/>
        <v>157430.54479875002</v>
      </c>
      <c r="L37" s="146">
        <f t="shared" si="5"/>
        <v>162153.46114271253</v>
      </c>
      <c r="M37" s="146">
        <f t="shared" si="5"/>
        <v>5786619.2245695833</v>
      </c>
      <c r="N37" s="151"/>
    </row>
    <row r="38" spans="2:14" x14ac:dyDescent="0.65">
      <c r="B38" s="3" t="s">
        <v>218</v>
      </c>
      <c r="C38" s="158">
        <f>IFERROR(IRR(D37:M37),"n/a")</f>
        <v>0.10973472061512823</v>
      </c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51"/>
    </row>
    <row r="39" spans="2:14" ht="13" thickBot="1" x14ac:dyDescent="0.8">
      <c r="B39" s="5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</row>
    <row r="40" spans="2:14" x14ac:dyDescent="0.65"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6"/>
    </row>
    <row r="41" spans="2:14" x14ac:dyDescent="0.65">
      <c r="B41" s="147" t="s">
        <v>198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9"/>
    </row>
    <row r="42" spans="2:14" ht="14.6" hidden="1" customHeight="1" x14ac:dyDescent="0.65">
      <c r="B42" s="3"/>
      <c r="C42" s="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9"/>
    </row>
    <row r="43" spans="2:14" hidden="1" x14ac:dyDescent="0.65">
      <c r="B43" s="150"/>
      <c r="C43" s="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9"/>
    </row>
    <row r="44" spans="2:14" x14ac:dyDescent="0.65">
      <c r="B44" s="3"/>
      <c r="C44" s="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9"/>
    </row>
    <row r="45" spans="2:14" x14ac:dyDescent="0.65">
      <c r="B45" s="3" t="s">
        <v>254</v>
      </c>
      <c r="C45" s="8"/>
      <c r="D45" s="148">
        <f>IF(D$8&gt;=YEAR(PhaseIIIComplete),('Assumptions-Parking'!$E$14+'Assumptions-Parking'!$E$11),0)</f>
        <v>0</v>
      </c>
      <c r="E45" s="148">
        <f>IF(E$8&gt;=YEAR(PhaseIIIComplete),('Assumptions-Parking'!$E$14+'Assumptions-Parking'!$E$11),0)</f>
        <v>0</v>
      </c>
      <c r="F45" s="148">
        <f>IF(F$8&gt;=YEAR(PhaseIIIComplete),('Assumptions-Parking'!$E$14+'Assumptions-Parking'!$E$11),0)</f>
        <v>0</v>
      </c>
      <c r="G45" s="148">
        <f>IF(G$8&gt;=YEAR(PhaseIIIComplete),('Assumptions-Parking'!$E$14+'Assumptions-Parking'!$E$11),0)</f>
        <v>0</v>
      </c>
      <c r="H45" s="148">
        <f>IF(H$8&gt;=YEAR(PhaseIIIComplete),('Assumptions-Parking'!$E$14+'Assumptions-Parking'!$E$11),0)</f>
        <v>0</v>
      </c>
      <c r="I45" s="148">
        <f>IF(I$8&gt;=YEAR(PhaseIIIComplete),('Assumptions-Parking'!$E$14+'Assumptions-Parking'!$E$11),0)</f>
        <v>0</v>
      </c>
      <c r="J45" s="148">
        <f>IF(J$8&gt;=YEAR(PhaseIIIComplete),('Assumptions-Parking'!$E$14+'Assumptions-Parking'!$E$11),0)</f>
        <v>0</v>
      </c>
      <c r="K45" s="148">
        <f>IF(K$8&gt;=YEAR(PhaseIIIComplete),('Assumptions-Parking'!$E$14+'Assumptions-Parking'!$E$11),0)</f>
        <v>0</v>
      </c>
      <c r="L45" s="148">
        <f>IF(L$8&gt;=YEAR(PhaseIIIComplete),('Assumptions-Parking'!$E$14+'Assumptions-Parking'!$E$11),0)</f>
        <v>0</v>
      </c>
      <c r="M45" s="148">
        <f>IF(M$8&gt;=YEAR(PhaseIIIComplete),('Assumptions-Parking'!$E$14+'Assumptions-Parking'!$E$11),0)</f>
        <v>169.97499999999999</v>
      </c>
      <c r="N45" s="149">
        <f>IF(N$8&gt;=YEAR(PhaseIIIComplete),('Assumptions-Parking'!$E$14+'Assumptions-Parking'!$E$11),0)</f>
        <v>169.97499999999999</v>
      </c>
    </row>
    <row r="46" spans="2:14" x14ac:dyDescent="0.65">
      <c r="B46" s="150"/>
      <c r="C46" s="8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9"/>
    </row>
    <row r="47" spans="2:14" x14ac:dyDescent="0.65">
      <c r="B47" s="3"/>
      <c r="C47" s="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9"/>
    </row>
    <row r="48" spans="2:14" s="365" customFormat="1" x14ac:dyDescent="0.65">
      <c r="B48" s="409" t="s">
        <v>206</v>
      </c>
      <c r="C48" s="366"/>
      <c r="D48" s="646"/>
      <c r="E48" s="646"/>
      <c r="F48" s="646"/>
      <c r="G48" s="646"/>
      <c r="H48" s="646"/>
      <c r="I48" s="646"/>
      <c r="J48" s="646"/>
      <c r="K48" s="646"/>
      <c r="L48" s="646"/>
      <c r="M48" s="646"/>
      <c r="N48" s="647"/>
    </row>
    <row r="49" spans="2:14" s="365" customFormat="1" x14ac:dyDescent="0.65">
      <c r="B49" s="391" t="s">
        <v>551</v>
      </c>
      <c r="C49" s="366"/>
      <c r="D49" s="148">
        <f>IF(D$8&gt;=YEAR(PhaseIIIComplete),('Assumptions-Parking'!$E$14*'Assumptions-Parking'!$D$27)*12,0)</f>
        <v>0</v>
      </c>
      <c r="E49" s="148">
        <f>IF(E$8&gt;=YEAR(PhaseIIIComplete),('Assumptions-Parking'!$E$14*'Assumptions-Parking'!$D$27)*12,0)</f>
        <v>0</v>
      </c>
      <c r="F49" s="148">
        <f>IF(F$8&gt;=YEAR(PhaseIIIComplete),('Assumptions-Parking'!$E$14*'Assumptions-Parking'!$D$27)*12,0)</f>
        <v>0</v>
      </c>
      <c r="G49" s="148">
        <f>IF(G$8&gt;=YEAR(PhaseIIIComplete),('Assumptions-Parking'!$E$14*'Assumptions-Parking'!$D$27)*12,0)</f>
        <v>0</v>
      </c>
      <c r="H49" s="148">
        <f>IF(H$8&gt;=YEAR(PhaseIIIComplete),('Assumptions-Parking'!$E$14*'Assumptions-Parking'!$D$27)*12,0)</f>
        <v>0</v>
      </c>
      <c r="I49" s="148">
        <f>IF(I$8&gt;=YEAR(PhaseIIIComplete),('Assumptions-Parking'!$E$14*'Assumptions-Parking'!$D$27)*12,0)</f>
        <v>0</v>
      </c>
      <c r="J49" s="148">
        <f>IF(J$8&gt;=YEAR(PhaseIIIComplete),('Assumptions-Parking'!$E$14*'Assumptions-Parking'!$D$27)*12,0)</f>
        <v>0</v>
      </c>
      <c r="K49" s="148">
        <f>IF(K$8&gt;=YEAR(PhaseIIIComplete),('Assumptions-Parking'!$E$14*'Assumptions-Parking'!$D$27)*12,0)</f>
        <v>0</v>
      </c>
      <c r="L49" s="148">
        <f>IF(L$8&gt;=YEAR(PhaseIIIComplete),('Assumptions-Parking'!$E$14*'Assumptions-Parking'!$D$27)*12,0)</f>
        <v>0</v>
      </c>
      <c r="M49" s="148">
        <f>IF(M$8&gt;=YEAR(PhaseIIIComplete),('Assumptions-Parking'!$E$14*'Assumptions-Parking'!$D$27)*12,0)</f>
        <v>185075.99999999997</v>
      </c>
      <c r="N49" s="149">
        <f>IF(N$8&gt;=YEAR(PhaseIIIComplete),('Assumptions-Parking'!$E$14*'Assumptions-Parking'!$D$27)*12,0)</f>
        <v>185075.99999999997</v>
      </c>
    </row>
    <row r="50" spans="2:14" x14ac:dyDescent="0.65">
      <c r="B50" s="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</row>
    <row r="51" spans="2:14" x14ac:dyDescent="0.65">
      <c r="B51" s="36" t="s">
        <v>130</v>
      </c>
      <c r="C51" s="8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51"/>
    </row>
    <row r="52" spans="2:14" x14ac:dyDescent="0.65">
      <c r="B52" s="3" t="s">
        <v>210</v>
      </c>
      <c r="C52" s="8"/>
      <c r="D52" s="646">
        <f>IF(D$8&gt;=YEAR(PhaseIIIConBegin)*AND(D$8&lt;=YEAR(PhaseIIIConEnd)),('Assumptions-Parking'!$D$11+'Assumptions-Parking'!$D$14)*'Assumptions-Land&amp;Infrastructure'!$F$23,0)</f>
        <v>0</v>
      </c>
      <c r="E52" s="646">
        <f>IF(E$8&gt;=YEAR(PhaseIIIConBegin)*AND(E$8&lt;=YEAR(PhaseIIIConEnd)),('Assumptions-Parking'!$D$11+'Assumptions-Parking'!$D$14)*'Assumptions-Land&amp;Infrastructure'!$F$23,0)</f>
        <v>0</v>
      </c>
      <c r="F52" s="646">
        <f>IF(F$8&gt;=YEAR(PhaseIIIConBegin)*AND(F$8&lt;=YEAR(PhaseIIIConEnd)),('Assumptions-Parking'!$D$11+'Assumptions-Parking'!$D$14)*'Assumptions-Land&amp;Infrastructure'!$F$23,0)</f>
        <v>0</v>
      </c>
      <c r="G52" s="646">
        <f>IF(G$8&gt;=YEAR(PhaseIIIConBegin)*AND(G$8&lt;=YEAR(PhaseIIIConEnd)),('Assumptions-Parking'!$D$11+'Assumptions-Parking'!$D$14)*'Assumptions-Land&amp;Infrastructure'!$F$23,0)</f>
        <v>0</v>
      </c>
      <c r="H52" s="646">
        <f>IF(H$8&gt;=YEAR(PhaseIIIConBegin)*AND(H$8&lt;=YEAR(PhaseIIIConEnd)),('Assumptions-Parking'!$D$11+'Assumptions-Parking'!$D$14)*'Assumptions-Land&amp;Infrastructure'!$F$23,0)</f>
        <v>0</v>
      </c>
      <c r="I52" s="646">
        <f>IF(I$8&gt;=YEAR(PhaseIIIConBegin)*AND(I$8&lt;=YEAR(PhaseIIIConEnd)),('Assumptions-Parking'!$D$11+'Assumptions-Parking'!$D$14)*'Assumptions-Land&amp;Infrastructure'!$F$23,0)</f>
        <v>0</v>
      </c>
      <c r="J52" s="646">
        <f>IF(J$8&gt;=YEAR(PhaseIIIConBegin)*AND(J$8&lt;=YEAR(PhaseIIIConEnd)),('Assumptions-Parking'!$D$11+'Assumptions-Parking'!$D$14)*'Assumptions-Land&amp;Infrastructure'!$F$23,0)</f>
        <v>0</v>
      </c>
      <c r="K52" s="646">
        <f>IF(K$8&gt;=YEAR(PhaseIIIConBegin)*AND(K$8&lt;=YEAR(PhaseIIIConEnd)),('Assumptions-Parking'!$D$11+'Assumptions-Parking'!$D$14)*'Assumptions-Land&amp;Infrastructure'!$F$23,0)</f>
        <v>5342165</v>
      </c>
      <c r="L52" s="646">
        <f>IF(L$8&gt;=YEAR(PhaseIIIConBegin)*AND(L$8&lt;=YEAR(PhaseIIIConEnd)),('Assumptions-Parking'!$D$11+'Assumptions-Parking'!$D$14)*'Assumptions-Land&amp;Infrastructure'!$F$23,0)</f>
        <v>5342165</v>
      </c>
      <c r="M52" s="646">
        <f>0</f>
        <v>0</v>
      </c>
      <c r="N52" s="151"/>
    </row>
    <row r="53" spans="2:14" x14ac:dyDescent="0.65">
      <c r="B53" s="3" t="s">
        <v>211</v>
      </c>
      <c r="C53" s="8"/>
      <c r="D53" s="146">
        <f>(AND(D$8&gt;=YEAR(PhaseIIIConBegin),D$8&lt;=YEAR(PhaseIIIConEnd)))*SUM($D52:$N52)*'Assumptions-Overall'!$H$43/(YEAR(PhaseIIIConEnd)-YEAR(PhaseIIIPreconBegin)+1)</f>
        <v>0</v>
      </c>
      <c r="E53" s="146">
        <f>(AND(E$8&gt;=YEAR(PhaseIIIConBegin),E$8&lt;=YEAR(PhaseIIIConEnd)))*SUM($D52:$N52)*'Assumptions-Overall'!$H$43/(YEAR(PhaseIIIConEnd)-YEAR(PhaseIIIPreconBegin)+1)</f>
        <v>0</v>
      </c>
      <c r="F53" s="146">
        <f>(AND(F$8&gt;=YEAR(PhaseIIIConBegin),F$8&lt;=YEAR(PhaseIIIConEnd)))*SUM($D52:$N52)*'Assumptions-Overall'!$H$43/(YEAR(PhaseIIIConEnd)-YEAR(PhaseIIIPreconBegin)+1)</f>
        <v>0</v>
      </c>
      <c r="G53" s="146">
        <f>(AND(G$8&gt;=YEAR(PhaseIIIConBegin),G$8&lt;=YEAR(PhaseIIIConEnd)))*SUM($D52:$N52)*'Assumptions-Overall'!$H$43/(YEAR(PhaseIIIConEnd)-YEAR(PhaseIIIPreconBegin)+1)</f>
        <v>0</v>
      </c>
      <c r="H53" s="146">
        <f>(AND(H$8&gt;=YEAR(PhaseIIIConBegin),H$8&lt;=YEAR(PhaseIIIConEnd)))*SUM($D52:$N52)*'Assumptions-Overall'!$H$43/(YEAR(PhaseIIIConEnd)-YEAR(PhaseIIIPreconBegin)+1)</f>
        <v>0</v>
      </c>
      <c r="I53" s="146">
        <f>(AND(I$8&gt;=YEAR(PhaseIIIConBegin),I$8&lt;=YEAR(PhaseIIIConEnd)))*SUM($D52:$N52)*'Assumptions-Overall'!$H$43/(YEAR(PhaseIIIConEnd)-YEAR(PhaseIIIPreconBegin)+1)</f>
        <v>0</v>
      </c>
      <c r="J53" s="146">
        <f>(AND(J$8&gt;=YEAR(PhaseIIIConBegin),J$8&lt;=YEAR(PhaseIIIConEnd)))*SUM($D52:$N52)*'Assumptions-Overall'!$H$43/(YEAR(PhaseIIIConEnd)-YEAR(PhaseIIIPreconBegin)+1)</f>
        <v>0</v>
      </c>
      <c r="K53" s="146">
        <f>(AND(K$8&gt;=YEAR(PhaseIIIConBegin),K$8&lt;=YEAR(PhaseIIIConEnd)))*SUM($D52:$N52)*'Assumptions-Overall'!$H$43/(YEAR(PhaseIIIConEnd)-YEAR(PhaseIIIPreconBegin)+1)</f>
        <v>160264.94999999998</v>
      </c>
      <c r="L53" s="146">
        <f>(AND(L$8&gt;=YEAR(PhaseIIIConBegin),L$8&lt;=YEAR(PhaseIIIConEnd)))*SUM($D52:$N52)*'Assumptions-Overall'!$H$43/(YEAR(PhaseIIIConEnd)-YEAR(PhaseIIIPreconBegin)+1)</f>
        <v>160264.94999999998</v>
      </c>
      <c r="M53" s="146">
        <f>(AND(M$8&gt;=YEAR(PhaseIIIConBegin),M$8&lt;=YEAR(PhaseIIIConEnd)))*SUM($D52:$N52)*'Assumptions-Overall'!$H$43/(YEAR(PhaseIIIConEnd)-YEAR(PhaseIIIPreconBegin)+1)</f>
        <v>0</v>
      </c>
      <c r="N53" s="151"/>
    </row>
    <row r="54" spans="2:14" x14ac:dyDescent="0.65">
      <c r="B54" s="3" t="s">
        <v>115</v>
      </c>
      <c r="C54" s="8"/>
      <c r="D54" s="146">
        <f>(AND(D$8&gt;=YEAR(PhaseIIIPreconBegin),D$8&lt;=YEAR(PhaseIIIConEnd)))*SUM($D52:$N52)*'Assumptions-Overall'!$H$44/(YEAR(PhaseIIIConEnd)-YEAR(PhaseIIIPreconBegin)+1)</f>
        <v>0</v>
      </c>
      <c r="E54" s="146">
        <f>(AND(E$8&gt;=YEAR(PhaseIIIPreconBegin),E$8&lt;=YEAR(PhaseIIIConEnd)))*SUM($D52:$N52)*'Assumptions-Overall'!$H$44/(YEAR(PhaseIIIConEnd)-YEAR(PhaseIIIPreconBegin)+1)</f>
        <v>0</v>
      </c>
      <c r="F54" s="146">
        <f>(AND(F$8&gt;=YEAR(PhaseIIIPreconBegin),F$8&lt;=YEAR(PhaseIIIConEnd)))*SUM($D52:$N52)*'Assumptions-Overall'!$H$44/(YEAR(PhaseIIIConEnd)-YEAR(PhaseIIIPreconBegin)+1)</f>
        <v>0</v>
      </c>
      <c r="G54" s="146">
        <f>(AND(G$8&gt;=YEAR(PhaseIIIPreconBegin),G$8&lt;=YEAR(PhaseIIIConEnd)))*SUM($D52:$N52)*'Assumptions-Overall'!$H$44/(YEAR(PhaseIIIConEnd)-YEAR(PhaseIIIPreconBegin)+1)</f>
        <v>0</v>
      </c>
      <c r="H54" s="146">
        <f>(AND(H$8&gt;=YEAR(PhaseIIIPreconBegin),H$8&lt;=YEAR(PhaseIIIConEnd)))*SUM($D52:$N52)*'Assumptions-Overall'!$H$44/(YEAR(PhaseIIIConEnd)-YEAR(PhaseIIIPreconBegin)+1)</f>
        <v>0</v>
      </c>
      <c r="I54" s="146">
        <f>(AND(I$8&gt;=YEAR(PhaseIIIConBegin),I$8&lt;=YEAR(PhaseIIIConEnd)))*SUM($D52:$N52)*'Assumptions-Overall'!$H$44/(YEAR(PhaseIIIConEnd)-YEAR(PhaseIIIPreconBegin)+1)</f>
        <v>0</v>
      </c>
      <c r="J54" s="146">
        <f>(AND(J$8&gt;=YEAR(PhaseIIIConBegin),J$8&lt;=YEAR(PhaseIIIConEnd)))*SUM($D52:$N52)*'Assumptions-Overall'!$H$44/(YEAR(PhaseIIIConEnd)-YEAR(PhaseIIIPreconBegin)+1)</f>
        <v>0</v>
      </c>
      <c r="K54" s="146">
        <f>(AND(K$8&gt;=YEAR(PhaseIIIPreconBegin),K$8&lt;=YEAR(PhaseIIIConEnd)))*SUM($D52:$N52)*'Assumptions-Overall'!$H$44/(YEAR(PhaseIIIConEnd)-YEAR(PhaseIIIPreconBegin)+1)</f>
        <v>267108.25</v>
      </c>
      <c r="L54" s="146">
        <f>(AND(L$8&gt;=YEAR(PhaseIIIPreconBegin),L$8&lt;=YEAR(PhaseIIIConEnd)))*SUM($D52:$N52)*'Assumptions-Overall'!$H$44/(YEAR(PhaseIIIConEnd)-YEAR(PhaseIIIPreconBegin)+1)</f>
        <v>267108.25</v>
      </c>
      <c r="M54" s="146">
        <f>(AND(M$8&gt;=YEAR(PhaseIIIPreconBegin),M$8&lt;=YEAR(PhaseIIIConEnd)))*SUM($D52:$N52)*'Assumptions-Overall'!$H$44/(YEAR(PhaseIIIConEnd)-YEAR(PhaseIIIPreconBegin)+1)</f>
        <v>0</v>
      </c>
      <c r="N54" s="151"/>
    </row>
    <row r="55" spans="2:14" x14ac:dyDescent="0.65">
      <c r="B55" s="3" t="s">
        <v>116</v>
      </c>
      <c r="C55" s="8"/>
      <c r="D55" s="144">
        <f>SUM(D52:D54)*'Assumptions-Overall'!$H$45</f>
        <v>0</v>
      </c>
      <c r="E55" s="144">
        <f>SUM(E52:E54)*'Assumptions-Overall'!$H$45</f>
        <v>0</v>
      </c>
      <c r="F55" s="144">
        <f>SUM(F52:F54)*'Assumptions-Overall'!$H$45</f>
        <v>0</v>
      </c>
      <c r="G55" s="144">
        <f>SUM(G52:G54)*'Assumptions-Overall'!$H$45</f>
        <v>0</v>
      </c>
      <c r="H55" s="144">
        <f>SUM(H52:H54)*'Assumptions-Overall'!$H$45</f>
        <v>0</v>
      </c>
      <c r="I55" s="144">
        <f>SUM(I52:I54)*'Assumptions-Overall'!$H$45</f>
        <v>0</v>
      </c>
      <c r="J55" s="144">
        <f>SUM(J52:J54)*'Assumptions-Overall'!$H$45</f>
        <v>0</v>
      </c>
      <c r="K55" s="144">
        <f>SUM(K52:K54)*'Assumptions-Overall'!$H$45</f>
        <v>288476.91000000003</v>
      </c>
      <c r="L55" s="144">
        <f>SUM(L52:L54)*'Assumptions-Overall'!$H$45</f>
        <v>288476.91000000003</v>
      </c>
      <c r="M55" s="144">
        <f>SUM(M52:M54)*'Assumptions-Overall'!$H$45</f>
        <v>0</v>
      </c>
      <c r="N55" s="151"/>
    </row>
    <row r="56" spans="2:14" x14ac:dyDescent="0.65">
      <c r="B56" s="3" t="s">
        <v>212</v>
      </c>
      <c r="C56" s="8"/>
      <c r="D56" s="146">
        <f>SUM(D52:D55)</f>
        <v>0</v>
      </c>
      <c r="E56" s="146">
        <f t="shared" ref="E56:M56" si="6">SUM(E52:E55)</f>
        <v>0</v>
      </c>
      <c r="F56" s="146">
        <f t="shared" si="6"/>
        <v>0</v>
      </c>
      <c r="G56" s="146">
        <f t="shared" si="6"/>
        <v>0</v>
      </c>
      <c r="H56" s="146">
        <f t="shared" si="6"/>
        <v>0</v>
      </c>
      <c r="I56" s="146">
        <f t="shared" si="6"/>
        <v>0</v>
      </c>
      <c r="J56" s="146">
        <f t="shared" si="6"/>
        <v>0</v>
      </c>
      <c r="K56" s="146">
        <f t="shared" si="6"/>
        <v>6058015.1100000003</v>
      </c>
      <c r="L56" s="146">
        <f t="shared" si="6"/>
        <v>6058015.1100000003</v>
      </c>
      <c r="M56" s="146">
        <f t="shared" si="6"/>
        <v>0</v>
      </c>
      <c r="N56" s="151"/>
    </row>
    <row r="57" spans="2:14" x14ac:dyDescent="0.65">
      <c r="B57" s="3"/>
      <c r="C57" s="8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51"/>
    </row>
    <row r="58" spans="2:14" x14ac:dyDescent="0.65">
      <c r="B58" s="36" t="s">
        <v>552</v>
      </c>
      <c r="C58" s="8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51"/>
    </row>
    <row r="59" spans="2:14" x14ac:dyDescent="0.65">
      <c r="B59" s="3" t="s">
        <v>255</v>
      </c>
      <c r="C59" s="8"/>
      <c r="D59" s="148">
        <f>IF(D$8&gt;=YEAR(PhaseIIIComplete),'Assumptions-Parking'!$D$20*'Assumptions-Parking'!$D$19*1.03,0)</f>
        <v>0</v>
      </c>
      <c r="E59" s="148">
        <f>IF(E$8&gt;=YEAR(PhaseIIIComplete),'Assumptions-Parking'!$D$20*'Assumptions-Parking'!$D$19,0)</f>
        <v>0</v>
      </c>
      <c r="F59" s="148">
        <f>IF(F$8&gt;=YEAR(PhaseIIIComplete),'Assumptions-Parking'!$D$20*'Assumptions-Parking'!$D$19,0)</f>
        <v>0</v>
      </c>
      <c r="G59" s="148">
        <f>IF(G$8&gt;=YEAR(PhaseIIIComplete),'Assumptions-Parking'!$D$20*'Assumptions-Parking'!$D$19,0)</f>
        <v>0</v>
      </c>
      <c r="H59" s="148">
        <f>IF(H$8&gt;=YEAR(PhaseIIIComplete),'Assumptions-Parking'!$D$20*'Assumptions-Parking'!$D$19,0)</f>
        <v>0</v>
      </c>
      <c r="I59" s="148">
        <f>IF(I$8&gt;=YEAR(PhaseIIIComplete),'Assumptions-Parking'!$D$20*'Assumptions-Parking'!$D$19,0)</f>
        <v>0</v>
      </c>
      <c r="J59" s="148">
        <f>IF(J$8&gt;=YEAR(PhaseIIIComplete),'Assumptions-Parking'!$D$20*'Assumptions-Parking'!$D$19,0)</f>
        <v>0</v>
      </c>
      <c r="K59" s="148">
        <f>IF(K$8&gt;=YEAR(PhaseIIIComplete),'Assumptions-Parking'!$D$20*'Assumptions-Parking'!$D$19/3,0)</f>
        <v>0</v>
      </c>
      <c r="L59" s="148">
        <f>IF(L$8&gt;=YEAR(PhaseIIIComplete),'Assumptions-Parking'!$D$20*1.27*'Assumptions-Parking'!$D$19/3,0)</f>
        <v>0</v>
      </c>
      <c r="M59" s="148">
        <f>L59*1.03</f>
        <v>0</v>
      </c>
      <c r="N59" s="151"/>
    </row>
    <row r="60" spans="2:14" x14ac:dyDescent="0.65">
      <c r="B60" s="3" t="s">
        <v>216</v>
      </c>
      <c r="C60" s="8"/>
      <c r="D60" s="144">
        <f>-D59*'Assumptions-ResCondo'!$I$20</f>
        <v>0</v>
      </c>
      <c r="E60" s="144">
        <f>-E59*'Assumptions-ResCondo'!$I$20</f>
        <v>0</v>
      </c>
      <c r="F60" s="144">
        <f>-F59*'Assumptions-ResCondo'!$I$20</f>
        <v>0</v>
      </c>
      <c r="G60" s="144">
        <f>-G59*'Assumptions-ResCondo'!$I$20</f>
        <v>0</v>
      </c>
      <c r="H60" s="144">
        <f>-H59*'Assumptions-ResCondo'!$I$20</f>
        <v>0</v>
      </c>
      <c r="I60" s="144">
        <f>-I59*'Assumptions-ResCondo'!$I$20</f>
        <v>0</v>
      </c>
      <c r="J60" s="144">
        <f>-J59*'Assumptions-ResCondo'!$I$20</f>
        <v>0</v>
      </c>
      <c r="K60" s="144">
        <f>-K59*'Assumptions-ResCondo'!$I$20</f>
        <v>0</v>
      </c>
      <c r="L60" s="144">
        <f>-L59*'Assumptions-ResCondo'!$I$20</f>
        <v>0</v>
      </c>
      <c r="M60" s="144">
        <f>-M59*'Assumptions-ResCondo'!$I$20</f>
        <v>0</v>
      </c>
      <c r="N60" s="151"/>
    </row>
    <row r="61" spans="2:14" x14ac:dyDescent="0.65">
      <c r="B61" s="3" t="s">
        <v>220</v>
      </c>
      <c r="C61" s="8"/>
      <c r="D61" s="146">
        <f>SUM(D59:D60)</f>
        <v>0</v>
      </c>
      <c r="E61" s="146">
        <f t="shared" ref="E61:M61" si="7">SUM(E59:E60)</f>
        <v>0</v>
      </c>
      <c r="F61" s="146">
        <f t="shared" si="7"/>
        <v>0</v>
      </c>
      <c r="G61" s="146">
        <f t="shared" si="7"/>
        <v>0</v>
      </c>
      <c r="H61" s="146">
        <f t="shared" si="7"/>
        <v>0</v>
      </c>
      <c r="I61" s="146">
        <f t="shared" si="7"/>
        <v>0</v>
      </c>
      <c r="J61" s="146">
        <f t="shared" si="7"/>
        <v>0</v>
      </c>
      <c r="K61" s="146">
        <f t="shared" si="7"/>
        <v>0</v>
      </c>
      <c r="L61" s="146">
        <f t="shared" si="7"/>
        <v>0</v>
      </c>
      <c r="M61" s="146">
        <f t="shared" si="7"/>
        <v>0</v>
      </c>
      <c r="N61" s="151"/>
    </row>
    <row r="62" spans="2:14" x14ac:dyDescent="0.65">
      <c r="B62" s="3"/>
      <c r="C62" s="8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51"/>
    </row>
    <row r="63" spans="2:14" x14ac:dyDescent="0.65">
      <c r="B63" s="36" t="s">
        <v>213</v>
      </c>
      <c r="C63" s="8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51"/>
    </row>
    <row r="64" spans="2:14" x14ac:dyDescent="0.65">
      <c r="B64" s="3" t="s">
        <v>215</v>
      </c>
      <c r="C64" s="8"/>
      <c r="D64" s="146">
        <f>(D$8=YEAR('Assumptions-Overall'!$C$30))*E49/0.05</f>
        <v>0</v>
      </c>
      <c r="E64" s="146">
        <f>(E$8=YEAR('Assumptions-Overall'!$C$30))*F49/0.05</f>
        <v>0</v>
      </c>
      <c r="F64" s="146">
        <f>(F$8=YEAR('Assumptions-Overall'!$C$30))*G49/0.05</f>
        <v>0</v>
      </c>
      <c r="G64" s="146">
        <f>(G$8=YEAR('Assumptions-Overall'!$C$30))*H49/0.05</f>
        <v>0</v>
      </c>
      <c r="H64" s="146">
        <f>(H$8=YEAR('Assumptions-Overall'!$C$30))*I49/0.05</f>
        <v>0</v>
      </c>
      <c r="I64" s="146">
        <f>(I$8=YEAR('Assumptions-Overall'!$C$30))*J49/0.05</f>
        <v>0</v>
      </c>
      <c r="J64" s="146">
        <f>(J$8=YEAR('Assumptions-Overall'!$C$30))*K49/0.05</f>
        <v>0</v>
      </c>
      <c r="K64" s="146">
        <f>(K$8=YEAR('Assumptions-Overall'!$C$30))*L49/0.05</f>
        <v>0</v>
      </c>
      <c r="L64" s="146">
        <f>(L$8=YEAR('Assumptions-Overall'!$C$30))*M49/0.05</f>
        <v>0</v>
      </c>
      <c r="M64" s="146">
        <f>(M$8=YEAR('Assumptions-Overall'!$C$30))*N49/0.03</f>
        <v>6169199.9999999991</v>
      </c>
      <c r="N64" s="151"/>
    </row>
    <row r="65" spans="2:14" x14ac:dyDescent="0.65">
      <c r="B65" s="3" t="s">
        <v>216</v>
      </c>
      <c r="C65" s="8"/>
      <c r="D65" s="144">
        <f>-D64*'Assumptions-Overall'!$R$27</f>
        <v>0</v>
      </c>
      <c r="E65" s="144">
        <f>-E64*'Assumptions-Overall'!$R$27</f>
        <v>0</v>
      </c>
      <c r="F65" s="144">
        <f>-F64*'Assumptions-Overall'!$R$27</f>
        <v>0</v>
      </c>
      <c r="G65" s="144">
        <f>-G64*'Assumptions-Overall'!$R$27</f>
        <v>0</v>
      </c>
      <c r="H65" s="144">
        <f>-H64*'Assumptions-Overall'!$R$27</f>
        <v>0</v>
      </c>
      <c r="I65" s="144">
        <f>-I64*'Assumptions-Overall'!$R$27</f>
        <v>0</v>
      </c>
      <c r="J65" s="144">
        <f>-J64*'Assumptions-Overall'!$R$27</f>
        <v>0</v>
      </c>
      <c r="K65" s="144">
        <f>-K64*'Assumptions-Overall'!$R$27</f>
        <v>0</v>
      </c>
      <c r="L65" s="144">
        <f>-L64*'Assumptions-Overall'!$R$27</f>
        <v>0</v>
      </c>
      <c r="M65" s="144">
        <f>-M64*'Assumptions-Overall'!$R$27</f>
        <v>-123383.99999999999</v>
      </c>
      <c r="N65" s="151"/>
    </row>
    <row r="66" spans="2:14" x14ac:dyDescent="0.65">
      <c r="B66" s="3" t="s">
        <v>217</v>
      </c>
      <c r="C66" s="8"/>
      <c r="D66" s="146">
        <f>SUM(D64:D65)</f>
        <v>0</v>
      </c>
      <c r="E66" s="146">
        <f t="shared" ref="E66:M66" si="8">SUM(E64:E65)</f>
        <v>0</v>
      </c>
      <c r="F66" s="146">
        <f t="shared" si="8"/>
        <v>0</v>
      </c>
      <c r="G66" s="146">
        <f t="shared" si="8"/>
        <v>0</v>
      </c>
      <c r="H66" s="146">
        <f t="shared" si="8"/>
        <v>0</v>
      </c>
      <c r="I66" s="146">
        <f t="shared" si="8"/>
        <v>0</v>
      </c>
      <c r="J66" s="146">
        <f t="shared" si="8"/>
        <v>0</v>
      </c>
      <c r="K66" s="146">
        <f t="shared" si="8"/>
        <v>0</v>
      </c>
      <c r="L66" s="146">
        <f t="shared" si="8"/>
        <v>0</v>
      </c>
      <c r="M66" s="146">
        <f t="shared" si="8"/>
        <v>6045815.9999999991</v>
      </c>
      <c r="N66" s="151"/>
    </row>
    <row r="67" spans="2:14" x14ac:dyDescent="0.65">
      <c r="B67" s="3"/>
      <c r="C67" s="8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51"/>
    </row>
    <row r="68" spans="2:14" x14ac:dyDescent="0.65">
      <c r="B68" s="3" t="s">
        <v>214</v>
      </c>
      <c r="C68" s="8"/>
      <c r="D68" s="146">
        <f t="shared" ref="D68:F68" si="9">D49-D56+D61+D66</f>
        <v>0</v>
      </c>
      <c r="E68" s="146">
        <f t="shared" si="9"/>
        <v>0</v>
      </c>
      <c r="F68" s="146">
        <f t="shared" si="9"/>
        <v>0</v>
      </c>
      <c r="G68" s="146">
        <f>G49-G56+G61+G66</f>
        <v>0</v>
      </c>
      <c r="H68" s="146">
        <f t="shared" ref="H68:M68" si="10">H49-H56+H61+H66</f>
        <v>0</v>
      </c>
      <c r="I68" s="146">
        <f t="shared" si="10"/>
        <v>0</v>
      </c>
      <c r="J68" s="146">
        <f t="shared" si="10"/>
        <v>0</v>
      </c>
      <c r="K68" s="146">
        <f t="shared" si="10"/>
        <v>-6058015.1100000003</v>
      </c>
      <c r="L68" s="146">
        <f t="shared" si="10"/>
        <v>-6058015.1100000003</v>
      </c>
      <c r="M68" s="146">
        <f t="shared" si="10"/>
        <v>6230891.9999999991</v>
      </c>
      <c r="N68" s="151"/>
    </row>
    <row r="69" spans="2:14" x14ac:dyDescent="0.65">
      <c r="B69" s="3" t="s">
        <v>218</v>
      </c>
      <c r="C69" s="158">
        <f>IFERROR(IRR(D68:M68),"n/a")</f>
        <v>-0.36927594588047974</v>
      </c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51"/>
    </row>
    <row r="70" spans="2:14" ht="13" thickBot="1" x14ac:dyDescent="0.8">
      <c r="B70" s="5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1"/>
    </row>
    <row r="72" spans="2:14" x14ac:dyDescent="0.65">
      <c r="B72" s="769" t="s">
        <v>278</v>
      </c>
      <c r="C72" s="769"/>
      <c r="D72" s="770">
        <f>D68+D37</f>
        <v>0</v>
      </c>
      <c r="E72" s="770">
        <f t="shared" ref="E72:M72" si="11">E68+E37</f>
        <v>0</v>
      </c>
      <c r="F72" s="770">
        <f t="shared" si="11"/>
        <v>-2808129.87</v>
      </c>
      <c r="G72" s="770">
        <f t="shared" si="11"/>
        <v>-2668254.87</v>
      </c>
      <c r="H72" s="770">
        <f t="shared" si="11"/>
        <v>2501171.25</v>
      </c>
      <c r="I72" s="770">
        <f t="shared" si="11"/>
        <v>148393.38750000001</v>
      </c>
      <c r="J72" s="770">
        <f t="shared" si="11"/>
        <v>152845.189125</v>
      </c>
      <c r="K72" s="770">
        <f t="shared" si="11"/>
        <v>-5900584.5652012499</v>
      </c>
      <c r="L72" s="770">
        <f t="shared" si="11"/>
        <v>-5895861.6488572881</v>
      </c>
      <c r="M72" s="770">
        <f t="shared" si="11"/>
        <v>12017511.224569581</v>
      </c>
    </row>
    <row r="73" spans="2:14" x14ac:dyDescent="0.65">
      <c r="B73" s="769" t="s">
        <v>279</v>
      </c>
      <c r="C73" s="771">
        <f>IRR(D72:M72)</f>
        <v>-7.0362919624385012E-2</v>
      </c>
    </row>
  </sheetData>
  <mergeCells count="2">
    <mergeCell ref="B2:C2"/>
    <mergeCell ref="B6:N6"/>
  </mergeCells>
  <pageMargins left="0.7" right="0.7" top="0.75" bottom="0.75" header="0.3" footer="0.3"/>
  <pageSetup orientation="portrait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1DEFD-805E-450C-8921-8C857A4E3467}">
  <sheetPr>
    <tabColor rgb="FFF0C2DC"/>
  </sheetPr>
  <dimension ref="A1:P42"/>
  <sheetViews>
    <sheetView workbookViewId="0">
      <selection activeCell="G10" sqref="G10"/>
    </sheetView>
  </sheetViews>
  <sheetFormatPr defaultColWidth="9.08984375" defaultRowHeight="12.25" x14ac:dyDescent="0.65"/>
  <cols>
    <col min="1" max="1" width="2.76953125" style="1" customWidth="1"/>
    <col min="2" max="2" width="42.453125" style="1" customWidth="1"/>
    <col min="3" max="4" width="7.76953125" style="1" customWidth="1"/>
    <col min="5" max="5" width="14.453125" style="1" customWidth="1"/>
    <col min="6" max="6" width="9.76953125" style="1" customWidth="1"/>
    <col min="7" max="7" width="11.76953125" style="1" customWidth="1"/>
    <col min="8" max="8" width="20.08984375" style="1" customWidth="1"/>
    <col min="9" max="9" width="25.08984375" style="1" customWidth="1"/>
    <col min="10" max="10" width="16.08984375" style="1" customWidth="1"/>
    <col min="11" max="11" width="15.76953125" style="1" customWidth="1"/>
    <col min="12" max="12" width="14.76953125" style="1" customWidth="1"/>
    <col min="13" max="13" width="15.08984375" style="1" customWidth="1"/>
    <col min="14" max="14" width="9.08984375" style="1"/>
    <col min="15" max="15" width="15.453125" style="1" customWidth="1"/>
    <col min="16" max="16" width="9.08984375" style="1"/>
    <col min="17" max="17" width="13.453125" style="1" customWidth="1"/>
    <col min="18" max="18" width="14.453125" style="1" customWidth="1"/>
    <col min="19" max="19" width="15.76953125" style="1" customWidth="1"/>
    <col min="20" max="20" width="12.76953125" style="1" customWidth="1"/>
    <col min="21" max="21" width="14.76953125" style="1" customWidth="1"/>
    <col min="22" max="16384" width="9.08984375" style="1"/>
  </cols>
  <sheetData>
    <row r="1" spans="2:16" ht="13" thickBot="1" x14ac:dyDescent="0.8"/>
    <row r="2" spans="2:16" ht="12" customHeight="1" x14ac:dyDescent="0.9">
      <c r="B2" s="982" t="s">
        <v>37</v>
      </c>
      <c r="C2" s="983"/>
      <c r="E2" s="643"/>
      <c r="F2" s="643"/>
      <c r="G2" s="643"/>
      <c r="H2" s="443"/>
    </row>
    <row r="3" spans="2:16" x14ac:dyDescent="0.65">
      <c r="B3" s="3" t="s">
        <v>36</v>
      </c>
      <c r="C3" s="4" t="s">
        <v>398</v>
      </c>
      <c r="E3" s="643"/>
      <c r="F3" s="643"/>
      <c r="G3" s="643"/>
      <c r="H3" s="443"/>
    </row>
    <row r="4" spans="2:16" ht="13" thickBot="1" x14ac:dyDescent="0.8">
      <c r="B4" s="5" t="s">
        <v>35</v>
      </c>
      <c r="C4" s="6">
        <f>TeamNumber</f>
        <v>192021</v>
      </c>
      <c r="E4" s="643"/>
      <c r="F4" s="643"/>
      <c r="G4" s="643"/>
      <c r="H4" s="479"/>
    </row>
    <row r="5" spans="2:16" ht="13" thickBot="1" x14ac:dyDescent="0.8">
      <c r="E5" s="643"/>
      <c r="F5" s="643"/>
      <c r="G5" s="643"/>
      <c r="H5" s="479"/>
    </row>
    <row r="6" spans="2:16" ht="15" thickBot="1" x14ac:dyDescent="1.05">
      <c r="B6" s="979" t="s">
        <v>332</v>
      </c>
      <c r="C6" s="980"/>
      <c r="D6" s="980"/>
      <c r="E6" s="980"/>
      <c r="F6" s="981"/>
      <c r="I6" s="996" t="s">
        <v>520</v>
      </c>
      <c r="J6" s="998"/>
      <c r="K6" s="365"/>
      <c r="P6" s="365"/>
    </row>
    <row r="7" spans="2:16" x14ac:dyDescent="0.65">
      <c r="B7" s="165" t="s">
        <v>26</v>
      </c>
      <c r="C7" s="108" t="s">
        <v>334</v>
      </c>
      <c r="D7" s="108" t="s">
        <v>333</v>
      </c>
      <c r="E7" s="108" t="s">
        <v>466</v>
      </c>
      <c r="F7" s="164" t="s">
        <v>335</v>
      </c>
      <c r="I7" s="572"/>
      <c r="J7" s="516"/>
      <c r="K7" s="365"/>
      <c r="P7" s="365"/>
    </row>
    <row r="8" spans="2:16" x14ac:dyDescent="0.65">
      <c r="B8" s="56" t="s">
        <v>40</v>
      </c>
      <c r="C8" s="342">
        <f>D8/43560</f>
        <v>2.2199494949494949</v>
      </c>
      <c r="D8" s="169">
        <v>96701</v>
      </c>
      <c r="E8" s="344">
        <v>90</v>
      </c>
      <c r="F8" s="101">
        <f>D8*E8</f>
        <v>8703090</v>
      </c>
      <c r="G8" s="344"/>
      <c r="I8" s="409" t="s">
        <v>519</v>
      </c>
      <c r="J8" s="379" t="s">
        <v>104</v>
      </c>
      <c r="K8" s="365"/>
      <c r="P8" s="365"/>
    </row>
    <row r="9" spans="2:16" x14ac:dyDescent="0.65">
      <c r="B9" s="56" t="s">
        <v>39</v>
      </c>
      <c r="C9" s="342">
        <f t="shared" ref="C9:C10" si="0">D9/43560</f>
        <v>7.1668962350780534</v>
      </c>
      <c r="D9" s="169">
        <v>312190</v>
      </c>
      <c r="E9" s="344">
        <v>120</v>
      </c>
      <c r="F9" s="101">
        <f>D9*E9</f>
        <v>37462800</v>
      </c>
      <c r="G9" s="344"/>
      <c r="I9" s="474">
        <v>0.5</v>
      </c>
      <c r="J9" s="381" t="s">
        <v>25</v>
      </c>
      <c r="K9" s="365"/>
      <c r="P9" s="365"/>
    </row>
    <row r="10" spans="2:16" x14ac:dyDescent="0.65">
      <c r="B10" s="173" t="s">
        <v>38</v>
      </c>
      <c r="C10" s="343">
        <f t="shared" si="0"/>
        <v>3.6399449035812674</v>
      </c>
      <c r="D10" s="170">
        <v>158556</v>
      </c>
      <c r="E10" s="345">
        <v>150</v>
      </c>
      <c r="F10" s="168">
        <f>D10*E10</f>
        <v>23783400</v>
      </c>
      <c r="G10" s="345"/>
      <c r="I10" s="474">
        <v>0.5</v>
      </c>
      <c r="J10" s="384" t="s">
        <v>24</v>
      </c>
      <c r="K10" s="365"/>
      <c r="P10" s="365"/>
    </row>
    <row r="11" spans="2:16" ht="13" thickBot="1" x14ac:dyDescent="0.8">
      <c r="B11" s="764" t="s">
        <v>336</v>
      </c>
      <c r="C11" s="765"/>
      <c r="D11" s="766"/>
      <c r="E11" s="767"/>
      <c r="F11" s="768">
        <f>SUM(F8:F10)</f>
        <v>69949290</v>
      </c>
      <c r="I11" s="475">
        <v>1</v>
      </c>
      <c r="J11" s="389" t="s">
        <v>23</v>
      </c>
      <c r="K11" s="365"/>
      <c r="P11" s="365"/>
    </row>
    <row r="12" spans="2:16" ht="13" thickBot="1" x14ac:dyDescent="0.8">
      <c r="I12" s="365"/>
      <c r="J12" s="365"/>
      <c r="K12" s="365"/>
      <c r="P12" s="365"/>
    </row>
    <row r="13" spans="2:16" ht="15" thickBot="1" x14ac:dyDescent="1.05">
      <c r="B13" s="986" t="s">
        <v>621</v>
      </c>
      <c r="C13" s="987"/>
      <c r="D13" s="987"/>
      <c r="E13" s="987"/>
      <c r="F13" s="987"/>
      <c r="G13" s="988"/>
      <c r="I13" s="986" t="s">
        <v>521</v>
      </c>
      <c r="J13" s="987"/>
      <c r="K13" s="987"/>
      <c r="L13" s="988"/>
      <c r="P13" s="365"/>
    </row>
    <row r="14" spans="2:16" x14ac:dyDescent="0.65">
      <c r="B14" s="640" t="s">
        <v>260</v>
      </c>
      <c r="C14" s="641" t="s">
        <v>104</v>
      </c>
      <c r="D14" s="641" t="s">
        <v>256</v>
      </c>
      <c r="E14" s="641" t="s">
        <v>257</v>
      </c>
      <c r="F14" s="641" t="s">
        <v>258</v>
      </c>
      <c r="G14" s="642" t="s">
        <v>259</v>
      </c>
      <c r="I14" s="154"/>
      <c r="J14" s="155" t="s">
        <v>607</v>
      </c>
      <c r="K14" s="155" t="s">
        <v>553</v>
      </c>
      <c r="L14" s="156" t="s">
        <v>512</v>
      </c>
      <c r="M14" s="365"/>
      <c r="N14" s="365"/>
      <c r="O14" s="365"/>
      <c r="P14" s="365"/>
    </row>
    <row r="15" spans="2:16" x14ac:dyDescent="0.65">
      <c r="B15" s="52" t="s">
        <v>484</v>
      </c>
      <c r="C15" s="521" t="s">
        <v>25</v>
      </c>
      <c r="D15" s="522">
        <f>D8</f>
        <v>96701</v>
      </c>
      <c r="E15" s="521" t="s">
        <v>261</v>
      </c>
      <c r="F15" s="563">
        <v>10</v>
      </c>
      <c r="G15" s="564">
        <f>D15*F15</f>
        <v>967010</v>
      </c>
      <c r="I15" s="3" t="s">
        <v>511</v>
      </c>
      <c r="J15" s="636">
        <v>450000</v>
      </c>
      <c r="K15" s="524">
        <v>30</v>
      </c>
      <c r="L15" s="756">
        <f>J15*K15</f>
        <v>13500000</v>
      </c>
      <c r="M15" s="365"/>
      <c r="N15" s="365"/>
      <c r="O15" s="365"/>
      <c r="P15" s="365"/>
    </row>
    <row r="16" spans="2:16" x14ac:dyDescent="0.65">
      <c r="B16" s="52" t="s">
        <v>484</v>
      </c>
      <c r="C16" s="521" t="s">
        <v>24</v>
      </c>
      <c r="D16" s="522">
        <f>D9</f>
        <v>312190</v>
      </c>
      <c r="E16" s="521" t="s">
        <v>261</v>
      </c>
      <c r="F16" s="563">
        <v>10</v>
      </c>
      <c r="G16" s="564">
        <f>D16*F16</f>
        <v>3121900</v>
      </c>
      <c r="I16" s="150" t="s">
        <v>513</v>
      </c>
      <c r="J16" s="8"/>
      <c r="K16" s="8"/>
      <c r="L16" s="756">
        <f>(L15)*3%</f>
        <v>405000</v>
      </c>
      <c r="M16" s="365"/>
      <c r="N16" s="365"/>
      <c r="O16" s="365"/>
      <c r="P16" s="365"/>
    </row>
    <row r="17" spans="1:16" x14ac:dyDescent="0.65">
      <c r="B17" s="52" t="s">
        <v>484</v>
      </c>
      <c r="C17" s="521" t="s">
        <v>23</v>
      </c>
      <c r="D17" s="522">
        <f>D10</f>
        <v>158556</v>
      </c>
      <c r="E17" s="521" t="s">
        <v>261</v>
      </c>
      <c r="F17" s="563">
        <v>10</v>
      </c>
      <c r="G17" s="564">
        <f>D17*F17</f>
        <v>1585560</v>
      </c>
      <c r="I17" s="150" t="s">
        <v>514</v>
      </c>
      <c r="J17" s="8"/>
      <c r="K17" s="8"/>
      <c r="L17" s="756">
        <f>(L15)*3%</f>
        <v>405000</v>
      </c>
      <c r="M17" s="365"/>
      <c r="N17" s="365"/>
      <c r="O17" s="365"/>
      <c r="P17" s="365"/>
    </row>
    <row r="18" spans="1:16" x14ac:dyDescent="0.65">
      <c r="B18" s="52" t="s">
        <v>269</v>
      </c>
      <c r="C18" s="521" t="s">
        <v>25</v>
      </c>
      <c r="D18" s="523">
        <f>D15/43560</f>
        <v>2.2199494949494949</v>
      </c>
      <c r="E18" s="521" t="s">
        <v>270</v>
      </c>
      <c r="F18" s="563">
        <v>220000</v>
      </c>
      <c r="G18" s="564">
        <f t="shared" ref="G18:G20" si="1">D18*F18</f>
        <v>488388.88888888888</v>
      </c>
      <c r="I18" s="150" t="s">
        <v>515</v>
      </c>
      <c r="J18" s="8"/>
      <c r="K18" s="8"/>
      <c r="L18" s="756">
        <f>(L15)*3%</f>
        <v>405000</v>
      </c>
    </row>
    <row r="19" spans="1:16" ht="13" thickBot="1" x14ac:dyDescent="0.8">
      <c r="B19" s="52" t="s">
        <v>269</v>
      </c>
      <c r="C19" s="521" t="s">
        <v>24</v>
      </c>
      <c r="D19" s="523">
        <f t="shared" ref="D19:D20" si="2">D16/43560</f>
        <v>7.1668962350780534</v>
      </c>
      <c r="E19" s="521" t="s">
        <v>270</v>
      </c>
      <c r="F19" s="563">
        <v>220000</v>
      </c>
      <c r="G19" s="564">
        <f t="shared" si="1"/>
        <v>1576717.1717171718</v>
      </c>
      <c r="I19" s="758" t="s">
        <v>542</v>
      </c>
      <c r="J19" s="10"/>
      <c r="K19" s="10"/>
      <c r="L19" s="757">
        <f>L15-(SUM(L16:L18))</f>
        <v>12285000</v>
      </c>
    </row>
    <row r="20" spans="1:16" ht="13" thickBot="1" x14ac:dyDescent="0.8">
      <c r="B20" s="52" t="s">
        <v>269</v>
      </c>
      <c r="C20" s="521" t="s">
        <v>23</v>
      </c>
      <c r="D20" s="523">
        <f t="shared" si="2"/>
        <v>3.6399449035812674</v>
      </c>
      <c r="E20" s="521" t="s">
        <v>270</v>
      </c>
      <c r="F20" s="563">
        <v>220000</v>
      </c>
      <c r="G20" s="564">
        <f t="shared" si="1"/>
        <v>800787.87878787878</v>
      </c>
      <c r="I20" s="365"/>
      <c r="J20" s="365"/>
      <c r="K20" s="365"/>
      <c r="L20" s="365"/>
    </row>
    <row r="21" spans="1:16" ht="15" thickBot="1" x14ac:dyDescent="1.05">
      <c r="B21" s="52" t="s">
        <v>487</v>
      </c>
      <c r="C21" s="521" t="s">
        <v>25</v>
      </c>
      <c r="D21" s="169">
        <v>2632</v>
      </c>
      <c r="E21" s="521" t="s">
        <v>261</v>
      </c>
      <c r="F21" s="563">
        <v>160</v>
      </c>
      <c r="G21" s="564">
        <f>D21*F21</f>
        <v>421120</v>
      </c>
      <c r="I21" s="986" t="s">
        <v>556</v>
      </c>
      <c r="J21" s="988"/>
      <c r="N21" s="96"/>
    </row>
    <row r="22" spans="1:16" x14ac:dyDescent="0.65">
      <c r="B22" s="52" t="s">
        <v>497</v>
      </c>
      <c r="C22" s="521" t="s">
        <v>24</v>
      </c>
      <c r="D22" s="169">
        <v>10</v>
      </c>
      <c r="E22" s="521" t="s">
        <v>270</v>
      </c>
      <c r="F22" s="563">
        <v>40000</v>
      </c>
      <c r="G22" s="564">
        <f t="shared" ref="G22" si="3">D22*F22</f>
        <v>400000</v>
      </c>
      <c r="I22" s="637" t="s">
        <v>184</v>
      </c>
      <c r="J22" s="638" t="s">
        <v>522</v>
      </c>
      <c r="N22" s="96"/>
    </row>
    <row r="23" spans="1:16" x14ac:dyDescent="0.65">
      <c r="B23" s="391" t="s">
        <v>533</v>
      </c>
      <c r="C23" s="521" t="s">
        <v>24</v>
      </c>
      <c r="D23" s="169">
        <v>216057</v>
      </c>
      <c r="E23" s="521" t="s">
        <v>261</v>
      </c>
      <c r="F23" s="563">
        <v>85</v>
      </c>
      <c r="G23" s="564">
        <f>D23*F23</f>
        <v>18364845</v>
      </c>
      <c r="I23" s="391" t="s">
        <v>182</v>
      </c>
      <c r="J23" s="427">
        <v>0.3</v>
      </c>
      <c r="N23" s="96"/>
    </row>
    <row r="24" spans="1:16" x14ac:dyDescent="0.65">
      <c r="B24" s="391" t="s">
        <v>485</v>
      </c>
      <c r="C24" s="521" t="s">
        <v>23</v>
      </c>
      <c r="D24" s="169">
        <v>15500</v>
      </c>
      <c r="E24" s="521" t="s">
        <v>261</v>
      </c>
      <c r="F24" s="563">
        <v>160</v>
      </c>
      <c r="G24" s="564">
        <f>D24*F24</f>
        <v>2480000</v>
      </c>
      <c r="I24" s="391" t="s">
        <v>554</v>
      </c>
      <c r="J24" s="427">
        <v>0.15</v>
      </c>
      <c r="N24" s="96"/>
    </row>
    <row r="25" spans="1:16" x14ac:dyDescent="0.65">
      <c r="A25" s="365"/>
      <c r="B25" s="391" t="s">
        <v>486</v>
      </c>
      <c r="C25" s="521" t="s">
        <v>25</v>
      </c>
      <c r="D25" s="169">
        <v>3.7949999999999999</v>
      </c>
      <c r="E25" s="521" t="s">
        <v>270</v>
      </c>
      <c r="F25" s="563">
        <v>5000000</v>
      </c>
      <c r="G25" s="564">
        <f>D25*F25</f>
        <v>18975000</v>
      </c>
      <c r="H25" s="365"/>
      <c r="I25" s="391"/>
      <c r="J25" s="427"/>
      <c r="K25" s="365"/>
      <c r="L25" s="365"/>
      <c r="M25" s="365"/>
      <c r="N25" s="96"/>
    </row>
    <row r="26" spans="1:16" x14ac:dyDescent="0.65">
      <c r="B26" s="52" t="s">
        <v>557</v>
      </c>
      <c r="C26" s="521" t="s">
        <v>25</v>
      </c>
      <c r="D26" s="169">
        <v>1456</v>
      </c>
      <c r="E26" s="521" t="s">
        <v>439</v>
      </c>
      <c r="F26" s="563">
        <v>9144</v>
      </c>
      <c r="G26" s="564">
        <f t="shared" ref="G26:G36" si="4">D26*F26</f>
        <v>13313664</v>
      </c>
      <c r="I26" s="409" t="s">
        <v>185</v>
      </c>
      <c r="J26" s="379" t="s">
        <v>186</v>
      </c>
      <c r="N26" s="96"/>
    </row>
    <row r="27" spans="1:16" x14ac:dyDescent="0.65">
      <c r="B27" s="52" t="s">
        <v>557</v>
      </c>
      <c r="C27" s="521" t="s">
        <v>24</v>
      </c>
      <c r="D27" s="169">
        <v>946</v>
      </c>
      <c r="E27" s="521" t="s">
        <v>439</v>
      </c>
      <c r="F27" s="563">
        <v>9144</v>
      </c>
      <c r="G27" s="564">
        <f t="shared" si="4"/>
        <v>8650224</v>
      </c>
      <c r="I27" s="391" t="str">
        <f>I23</f>
        <v>Food &amp; Beverage</v>
      </c>
      <c r="J27" s="427">
        <v>0.3</v>
      </c>
      <c r="N27" s="96"/>
    </row>
    <row r="28" spans="1:16" x14ac:dyDescent="0.65">
      <c r="B28" s="391" t="s">
        <v>558</v>
      </c>
      <c r="C28" s="521" t="s">
        <v>25</v>
      </c>
      <c r="D28" s="169">
        <v>20600</v>
      </c>
      <c r="E28" s="521" t="s">
        <v>261</v>
      </c>
      <c r="F28" s="563">
        <v>476</v>
      </c>
      <c r="G28" s="564">
        <f t="shared" si="4"/>
        <v>9805600</v>
      </c>
      <c r="I28" s="391" t="str">
        <f>I24</f>
        <v>Other Departments (including photos)</v>
      </c>
      <c r="J28" s="427">
        <v>0.1</v>
      </c>
      <c r="N28" s="96"/>
    </row>
    <row r="29" spans="1:16" x14ac:dyDescent="0.65">
      <c r="B29" s="52" t="s">
        <v>559</v>
      </c>
      <c r="C29" s="521" t="s">
        <v>25</v>
      </c>
      <c r="D29" s="169">
        <v>5000</v>
      </c>
      <c r="E29" s="521" t="s">
        <v>261</v>
      </c>
      <c r="F29" s="563">
        <v>20</v>
      </c>
      <c r="G29" s="564">
        <f t="shared" si="4"/>
        <v>100000</v>
      </c>
      <c r="I29" s="391"/>
      <c r="J29" s="393"/>
      <c r="N29" s="96"/>
    </row>
    <row r="30" spans="1:16" x14ac:dyDescent="0.65">
      <c r="B30" s="52" t="s">
        <v>560</v>
      </c>
      <c r="C30" s="521" t="s">
        <v>23</v>
      </c>
      <c r="D30" s="169">
        <v>5000</v>
      </c>
      <c r="E30" s="521" t="s">
        <v>261</v>
      </c>
      <c r="F30" s="563">
        <v>20</v>
      </c>
      <c r="G30" s="564">
        <f t="shared" si="4"/>
        <v>100000</v>
      </c>
      <c r="I30" s="409" t="s">
        <v>128</v>
      </c>
      <c r="J30" s="379" t="s">
        <v>523</v>
      </c>
      <c r="N30" s="96"/>
    </row>
    <row r="31" spans="1:16" x14ac:dyDescent="0.65">
      <c r="B31" s="52" t="s">
        <v>262</v>
      </c>
      <c r="C31" s="521" t="s">
        <v>25</v>
      </c>
      <c r="D31" s="169">
        <v>10</v>
      </c>
      <c r="E31" s="521" t="s">
        <v>264</v>
      </c>
      <c r="F31" s="563">
        <v>502000</v>
      </c>
      <c r="G31" s="564">
        <f t="shared" si="4"/>
        <v>5020000</v>
      </c>
      <c r="I31" s="391" t="s">
        <v>507</v>
      </c>
      <c r="J31" s="444">
        <v>10</v>
      </c>
      <c r="N31" s="2"/>
      <c r="O31" s="171"/>
    </row>
    <row r="32" spans="1:16" x14ac:dyDescent="0.65">
      <c r="B32" s="391" t="s">
        <v>263</v>
      </c>
      <c r="C32" s="521" t="s">
        <v>24</v>
      </c>
      <c r="D32" s="169">
        <v>5</v>
      </c>
      <c r="E32" s="521" t="s">
        <v>264</v>
      </c>
      <c r="F32" s="563">
        <v>502000</v>
      </c>
      <c r="G32" s="564">
        <f t="shared" si="4"/>
        <v>2510000</v>
      </c>
      <c r="I32" s="3"/>
      <c r="J32" s="9"/>
    </row>
    <row r="33" spans="2:10" x14ac:dyDescent="0.65">
      <c r="B33" s="391" t="s">
        <v>496</v>
      </c>
      <c r="C33" s="521" t="s">
        <v>25</v>
      </c>
      <c r="D33" s="169">
        <v>50000</v>
      </c>
      <c r="E33" s="521" t="s">
        <v>261</v>
      </c>
      <c r="F33" s="563">
        <v>100</v>
      </c>
      <c r="G33" s="564">
        <f t="shared" si="4"/>
        <v>5000000</v>
      </c>
      <c r="I33" s="409" t="s">
        <v>189</v>
      </c>
      <c r="J33" s="379" t="s">
        <v>522</v>
      </c>
    </row>
    <row r="34" spans="2:10" ht="13" thickBot="1" x14ac:dyDescent="0.8">
      <c r="B34" s="391" t="s">
        <v>488</v>
      </c>
      <c r="C34" s="521" t="s">
        <v>25</v>
      </c>
      <c r="D34" s="169">
        <v>5000</v>
      </c>
      <c r="E34" s="521" t="s">
        <v>261</v>
      </c>
      <c r="F34" s="563">
        <v>100</v>
      </c>
      <c r="G34" s="564">
        <f t="shared" si="4"/>
        <v>500000</v>
      </c>
      <c r="I34" s="392" t="s">
        <v>189</v>
      </c>
      <c r="J34" s="414">
        <v>0.03</v>
      </c>
    </row>
    <row r="35" spans="2:10" x14ac:dyDescent="0.65">
      <c r="B35" s="391" t="s">
        <v>488</v>
      </c>
      <c r="C35" s="521" t="s">
        <v>24</v>
      </c>
      <c r="D35" s="169">
        <v>0</v>
      </c>
      <c r="E35" s="521" t="s">
        <v>261</v>
      </c>
      <c r="F35" s="563">
        <v>100</v>
      </c>
      <c r="G35" s="564">
        <f t="shared" si="4"/>
        <v>0</v>
      </c>
    </row>
    <row r="36" spans="2:10" x14ac:dyDescent="0.65">
      <c r="B36" s="391" t="s">
        <v>488</v>
      </c>
      <c r="C36" s="521" t="s">
        <v>23</v>
      </c>
      <c r="D36" s="169">
        <v>50000</v>
      </c>
      <c r="E36" s="521" t="s">
        <v>261</v>
      </c>
      <c r="F36" s="563">
        <v>100</v>
      </c>
      <c r="G36" s="564">
        <f t="shared" si="4"/>
        <v>5000000</v>
      </c>
    </row>
    <row r="37" spans="2:10" x14ac:dyDescent="0.65">
      <c r="B37" s="391" t="s">
        <v>265</v>
      </c>
      <c r="C37" s="521" t="s">
        <v>25</v>
      </c>
      <c r="D37" s="366"/>
      <c r="E37" s="366"/>
      <c r="F37" s="566"/>
      <c r="G37" s="567">
        <f>SUMIF($C$15:$C$32,C37,$G$15:$G$32)</f>
        <v>49090782.888888888</v>
      </c>
    </row>
    <row r="38" spans="2:10" x14ac:dyDescent="0.65">
      <c r="B38" s="391" t="s">
        <v>266</v>
      </c>
      <c r="C38" s="521" t="s">
        <v>24</v>
      </c>
      <c r="D38" s="366"/>
      <c r="E38" s="366"/>
      <c r="F38" s="566"/>
      <c r="G38" s="567">
        <f>SUMIF($C$15:$C$32,C38,$G$15:$G$32)</f>
        <v>34623686.171717167</v>
      </c>
    </row>
    <row r="39" spans="2:10" x14ac:dyDescent="0.65">
      <c r="B39" s="487" t="s">
        <v>267</v>
      </c>
      <c r="C39" s="565" t="s">
        <v>23</v>
      </c>
      <c r="D39" s="568"/>
      <c r="E39" s="568"/>
      <c r="F39" s="569"/>
      <c r="G39" s="570">
        <f>SUMIF($C$15:$C$32,C39,$G$15:$G$32)</f>
        <v>4966347.8787878789</v>
      </c>
    </row>
    <row r="40" spans="2:10" ht="13" thickBot="1" x14ac:dyDescent="0.8">
      <c r="B40" s="759" t="s">
        <v>268</v>
      </c>
      <c r="C40" s="760"/>
      <c r="D40" s="761"/>
      <c r="E40" s="761"/>
      <c r="F40" s="762"/>
      <c r="G40" s="763">
        <f>SUM(G37:G39)</f>
        <v>88680816.939393938</v>
      </c>
    </row>
    <row r="42" spans="2:10" x14ac:dyDescent="0.65">
      <c r="H42" s="166"/>
    </row>
  </sheetData>
  <mergeCells count="6">
    <mergeCell ref="I13:L13"/>
    <mergeCell ref="I21:J21"/>
    <mergeCell ref="B2:C2"/>
    <mergeCell ref="B13:G13"/>
    <mergeCell ref="B6:F6"/>
    <mergeCell ref="I6:J6"/>
  </mergeCells>
  <pageMargins left="0.7" right="0.7" top="0.75" bottom="0.75" header="0.3" footer="0.3"/>
  <pageSetup orientation="portrait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26CBA-5D81-4893-B3B0-7D6686844B2A}">
  <sheetPr>
    <tabColor rgb="FFC1F5FB"/>
  </sheetPr>
  <dimension ref="A1:O112"/>
  <sheetViews>
    <sheetView topLeftCell="A79" workbookViewId="0">
      <selection activeCell="P110" sqref="P110"/>
    </sheetView>
  </sheetViews>
  <sheetFormatPr defaultColWidth="9.08984375" defaultRowHeight="12.25" x14ac:dyDescent="0.65"/>
  <cols>
    <col min="1" max="1" width="2.76953125" style="1" customWidth="1"/>
    <col min="2" max="2" width="35.76953125" style="1" customWidth="1"/>
    <col min="3" max="3" width="9.08984375" style="1"/>
    <col min="4" max="12" width="11.453125" style="1" customWidth="1"/>
    <col min="13" max="13" width="12.08984375" style="1" customWidth="1"/>
    <col min="14" max="14" width="11.453125" style="1" customWidth="1"/>
    <col min="15" max="16384" width="9.08984375" style="1"/>
  </cols>
  <sheetData>
    <row r="1" spans="1:15" ht="12.75" customHeight="1" thickBot="1" x14ac:dyDescent="0.8">
      <c r="D1" s="639"/>
      <c r="E1" s="639"/>
      <c r="F1" s="639"/>
      <c r="G1" s="639"/>
      <c r="H1" s="365"/>
      <c r="I1" s="365"/>
    </row>
    <row r="2" spans="1:15" ht="14.25" x14ac:dyDescent="0.9">
      <c r="B2" s="982" t="s">
        <v>37</v>
      </c>
      <c r="C2" s="983"/>
      <c r="D2" s="639"/>
      <c r="E2" s="639"/>
      <c r="F2" s="639"/>
      <c r="G2" s="639"/>
      <c r="H2" s="365"/>
      <c r="I2" s="365"/>
    </row>
    <row r="3" spans="1:15" x14ac:dyDescent="0.65">
      <c r="B3" s="3" t="s">
        <v>36</v>
      </c>
      <c r="C3" s="4" t="str">
        <f>ProjectName</f>
        <v>8th Hill</v>
      </c>
      <c r="D3" s="639"/>
      <c r="E3" s="639"/>
      <c r="F3" s="639"/>
      <c r="G3" s="639"/>
      <c r="H3" s="365"/>
      <c r="I3" s="365"/>
    </row>
    <row r="4" spans="1:15" ht="13" thickBot="1" x14ac:dyDescent="0.8">
      <c r="B4" s="5" t="s">
        <v>35</v>
      </c>
      <c r="C4" s="6">
        <f>TeamNumber</f>
        <v>192021</v>
      </c>
      <c r="D4" s="639"/>
      <c r="E4" s="639"/>
      <c r="F4" s="639"/>
      <c r="G4" s="639"/>
      <c r="H4" s="365"/>
      <c r="I4" s="365"/>
    </row>
    <row r="5" spans="1:15" ht="13" thickBot="1" x14ac:dyDescent="0.8">
      <c r="A5" s="365"/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</row>
    <row r="6" spans="1:15" ht="15" thickBot="1" x14ac:dyDescent="1.05">
      <c r="A6" s="365"/>
      <c r="B6" s="996" t="s">
        <v>564</v>
      </c>
      <c r="C6" s="997"/>
      <c r="D6" s="997"/>
      <c r="E6" s="997"/>
      <c r="F6" s="997"/>
      <c r="G6" s="997"/>
      <c r="H6" s="997"/>
      <c r="I6" s="997"/>
      <c r="J6" s="997"/>
      <c r="K6" s="997"/>
      <c r="L6" s="997"/>
      <c r="M6" s="997"/>
      <c r="N6" s="998"/>
      <c r="O6" s="365"/>
    </row>
    <row r="7" spans="1:15" x14ac:dyDescent="0.65">
      <c r="A7" s="365"/>
      <c r="B7" s="391" t="s">
        <v>191</v>
      </c>
      <c r="C7" s="366"/>
      <c r="D7" s="366">
        <v>1</v>
      </c>
      <c r="E7" s="366">
        <f>D7+1</f>
        <v>2</v>
      </c>
      <c r="F7" s="366">
        <f t="shared" ref="F7:N8" si="0">E7+1</f>
        <v>3</v>
      </c>
      <c r="G7" s="366">
        <f t="shared" si="0"/>
        <v>4</v>
      </c>
      <c r="H7" s="366">
        <f t="shared" si="0"/>
        <v>5</v>
      </c>
      <c r="I7" s="366">
        <f t="shared" si="0"/>
        <v>6</v>
      </c>
      <c r="J7" s="366">
        <f t="shared" si="0"/>
        <v>7</v>
      </c>
      <c r="K7" s="366">
        <f t="shared" si="0"/>
        <v>8</v>
      </c>
      <c r="L7" s="366">
        <f t="shared" si="0"/>
        <v>9</v>
      </c>
      <c r="M7" s="366">
        <f t="shared" si="0"/>
        <v>10</v>
      </c>
      <c r="N7" s="393">
        <f t="shared" si="0"/>
        <v>11</v>
      </c>
      <c r="O7" s="365"/>
    </row>
    <row r="8" spans="1:15" x14ac:dyDescent="0.65">
      <c r="A8" s="365"/>
      <c r="B8" s="391" t="s">
        <v>192</v>
      </c>
      <c r="C8" s="366"/>
      <c r="D8" s="366">
        <f>YEAR('Assumptions-Overall'!C9)</f>
        <v>2019</v>
      </c>
      <c r="E8" s="366">
        <f>D8+1</f>
        <v>2020</v>
      </c>
      <c r="F8" s="366">
        <f t="shared" si="0"/>
        <v>2021</v>
      </c>
      <c r="G8" s="366">
        <f t="shared" si="0"/>
        <v>2022</v>
      </c>
      <c r="H8" s="366">
        <f t="shared" si="0"/>
        <v>2023</v>
      </c>
      <c r="I8" s="366">
        <f t="shared" si="0"/>
        <v>2024</v>
      </c>
      <c r="J8" s="366">
        <f t="shared" si="0"/>
        <v>2025</v>
      </c>
      <c r="K8" s="366">
        <f t="shared" si="0"/>
        <v>2026</v>
      </c>
      <c r="L8" s="366">
        <f t="shared" si="0"/>
        <v>2027</v>
      </c>
      <c r="M8" s="366">
        <f t="shared" si="0"/>
        <v>2028</v>
      </c>
      <c r="N8" s="393">
        <f t="shared" si="0"/>
        <v>2029</v>
      </c>
      <c r="O8" s="365"/>
    </row>
    <row r="9" spans="1:15" x14ac:dyDescent="0.65">
      <c r="A9" s="365"/>
      <c r="B9" s="391" t="s">
        <v>237</v>
      </c>
      <c r="C9" s="366"/>
      <c r="D9" s="366">
        <f>_xlfn.NUMBERVALUE("12/31/"&amp;D8)-_xlfn.NUMBERVALUE("1/1/"&amp;D8)+1</f>
        <v>365</v>
      </c>
      <c r="E9" s="366">
        <f t="shared" ref="E9:N9" si="1">_xlfn.NUMBERVALUE("12/31/"&amp;E8)-_xlfn.NUMBERVALUE("1/1/"&amp;E8)+1</f>
        <v>366</v>
      </c>
      <c r="F9" s="366">
        <f t="shared" si="1"/>
        <v>365</v>
      </c>
      <c r="G9" s="366">
        <f t="shared" si="1"/>
        <v>365</v>
      </c>
      <c r="H9" s="366">
        <f t="shared" si="1"/>
        <v>365</v>
      </c>
      <c r="I9" s="366">
        <f t="shared" si="1"/>
        <v>366</v>
      </c>
      <c r="J9" s="366">
        <f t="shared" si="1"/>
        <v>365</v>
      </c>
      <c r="K9" s="366">
        <f t="shared" si="1"/>
        <v>365</v>
      </c>
      <c r="L9" s="366">
        <f t="shared" si="1"/>
        <v>365</v>
      </c>
      <c r="M9" s="366">
        <f t="shared" si="1"/>
        <v>366</v>
      </c>
      <c r="N9" s="393">
        <f t="shared" si="1"/>
        <v>365</v>
      </c>
      <c r="O9" s="365"/>
    </row>
    <row r="10" spans="1:15" x14ac:dyDescent="0.65">
      <c r="A10" s="365"/>
      <c r="B10" s="391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93"/>
      <c r="O10" s="365"/>
    </row>
    <row r="11" spans="1:15" x14ac:dyDescent="0.65">
      <c r="A11" s="365"/>
      <c r="B11" s="645" t="s">
        <v>193</v>
      </c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93"/>
      <c r="O11" s="365"/>
    </row>
    <row r="12" spans="1:15" x14ac:dyDescent="0.65">
      <c r="A12" s="365"/>
      <c r="B12" s="391" t="s">
        <v>518</v>
      </c>
      <c r="C12" s="366"/>
      <c r="D12" s="646" t="str">
        <f t="shared" ref="D12:N12" si="2">IF(D$8&gt;=YEAR(PhaseIComplete),"yes","no")</f>
        <v>no</v>
      </c>
      <c r="E12" s="646" t="str">
        <f t="shared" si="2"/>
        <v>no</v>
      </c>
      <c r="F12" s="646" t="str">
        <f t="shared" si="2"/>
        <v>no</v>
      </c>
      <c r="G12" s="646" t="str">
        <f t="shared" si="2"/>
        <v>no</v>
      </c>
      <c r="H12" s="646" t="str">
        <f t="shared" si="2"/>
        <v>yes</v>
      </c>
      <c r="I12" s="646" t="str">
        <f t="shared" si="2"/>
        <v>yes</v>
      </c>
      <c r="J12" s="646" t="str">
        <f t="shared" si="2"/>
        <v>yes</v>
      </c>
      <c r="K12" s="646" t="str">
        <f t="shared" si="2"/>
        <v>yes</v>
      </c>
      <c r="L12" s="646" t="str">
        <f t="shared" si="2"/>
        <v>yes</v>
      </c>
      <c r="M12" s="646" t="str">
        <f t="shared" si="2"/>
        <v>yes</v>
      </c>
      <c r="N12" s="647" t="str">
        <f t="shared" si="2"/>
        <v>yes</v>
      </c>
      <c r="O12" s="365"/>
    </row>
    <row r="13" spans="1:15" x14ac:dyDescent="0.65">
      <c r="A13" s="365"/>
      <c r="B13" s="391"/>
      <c r="C13" s="366"/>
      <c r="D13" s="646"/>
      <c r="E13" s="646"/>
      <c r="F13" s="646"/>
      <c r="G13" s="646"/>
      <c r="H13" s="646"/>
      <c r="I13" s="646"/>
      <c r="J13" s="646"/>
      <c r="K13" s="646"/>
      <c r="L13" s="646"/>
      <c r="M13" s="646"/>
      <c r="N13" s="647"/>
      <c r="O13" s="365"/>
    </row>
    <row r="14" spans="1:15" x14ac:dyDescent="0.65">
      <c r="A14" s="365"/>
      <c r="B14" s="409" t="s">
        <v>206</v>
      </c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93"/>
      <c r="O14" s="365"/>
    </row>
    <row r="15" spans="1:15" x14ac:dyDescent="0.65">
      <c r="A15" s="365"/>
      <c r="B15" s="391" t="s">
        <v>517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93"/>
      <c r="O15" s="365"/>
    </row>
    <row r="16" spans="1:15" x14ac:dyDescent="0.65">
      <c r="A16" s="365"/>
      <c r="B16" s="648" t="str">
        <f>'Assumptions-Land&amp;Infrastructure'!$I$19</f>
        <v>Partnership Gross Income</v>
      </c>
      <c r="C16" s="366"/>
      <c r="D16" s="646">
        <f>IF(D$8&gt;=YEAR(PhaseIComplete),'Assumptions-Land&amp;Infrastructure'!$L$19,0)</f>
        <v>0</v>
      </c>
      <c r="E16" s="646">
        <f>IF(E$8&gt;=YEAR(PhaseIComplete),'Assumptions-Land&amp;Infrastructure'!$L$19,0)</f>
        <v>0</v>
      </c>
      <c r="F16" s="646">
        <f>IF(F$8&gt;=YEAR(PhaseIComplete),'Assumptions-Land&amp;Infrastructure'!$L$19,0)</f>
        <v>0</v>
      </c>
      <c r="G16" s="646">
        <f>IF(G$8&gt;=YEAR(PhaseIComplete),'Assumptions-Land&amp;Infrastructure'!$L$19,0)</f>
        <v>0</v>
      </c>
      <c r="H16" s="646">
        <f>IF(H$8&gt;=YEAR(PhaseIComplete),'Assumptions-Land&amp;Infrastructure'!$L$19,0)</f>
        <v>12285000</v>
      </c>
      <c r="I16" s="646">
        <f>H16*1.03</f>
        <v>12653550</v>
      </c>
      <c r="J16" s="646">
        <f t="shared" ref="J16:N16" si="3">I16*1.03</f>
        <v>13033156.5</v>
      </c>
      <c r="K16" s="646">
        <f t="shared" si="3"/>
        <v>13424151.195</v>
      </c>
      <c r="L16" s="646">
        <f t="shared" si="3"/>
        <v>13826875.73085</v>
      </c>
      <c r="M16" s="646">
        <f t="shared" si="3"/>
        <v>14241682.0027755</v>
      </c>
      <c r="N16" s="647">
        <f t="shared" si="3"/>
        <v>14668932.462858764</v>
      </c>
      <c r="O16" s="365"/>
    </row>
    <row r="17" spans="1:15" x14ac:dyDescent="0.65">
      <c r="A17" s="365"/>
      <c r="B17" s="391"/>
      <c r="C17" s="36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50"/>
      <c r="O17" s="365"/>
    </row>
    <row r="18" spans="1:15" x14ac:dyDescent="0.65">
      <c r="A18" s="365"/>
      <c r="B18" s="409" t="s">
        <v>541</v>
      </c>
      <c r="C18" s="366"/>
      <c r="D18" s="366"/>
      <c r="E18" s="366"/>
      <c r="F18" s="366"/>
      <c r="G18" s="366"/>
      <c r="H18" s="366"/>
      <c r="I18" s="366"/>
      <c r="J18" s="366"/>
      <c r="K18" s="366"/>
      <c r="L18" s="366"/>
      <c r="M18" s="366"/>
      <c r="N18" s="393"/>
      <c r="O18" s="365"/>
    </row>
    <row r="19" spans="1:15" x14ac:dyDescent="0.65">
      <c r="A19" s="365"/>
      <c r="B19" s="464" t="str">
        <f>'Assumptions-Land&amp;Infrastructure'!$I$27</f>
        <v>Food &amp; Beverage</v>
      </c>
      <c r="C19" s="366"/>
      <c r="D19" s="446">
        <f>IF(D$8&gt;=YEAR(PhaseIComplete),'Assumptions-Land&amp;Infrastructure'!$J$23*'Assumptions-Land&amp;Infrastructure'!$L$19*'Assumptions-Land&amp;Infrastructure'!$J$27,0)</f>
        <v>0</v>
      </c>
      <c r="E19" s="446">
        <f>IF(E$8&gt;=YEAR(PhaseIComplete),'Assumptions-Land&amp;Infrastructure'!$J$23*'Assumptions-Land&amp;Infrastructure'!$L$19*'Assumptions-Land&amp;Infrastructure'!$J$27,0)</f>
        <v>0</v>
      </c>
      <c r="F19" s="446">
        <f>IF(F$8&gt;=YEAR(PhaseIComplete),'Assumptions-Land&amp;Infrastructure'!$J$23*'Assumptions-Land&amp;Infrastructure'!$L$19*'Assumptions-Land&amp;Infrastructure'!$J$27,0)</f>
        <v>0</v>
      </c>
      <c r="G19" s="446">
        <f>IF(G$8&gt;=YEAR(PhaseIComplete),'Assumptions-Land&amp;Infrastructure'!$J$23*'Assumptions-Land&amp;Infrastructure'!$L$19*'Assumptions-Land&amp;Infrastructure'!$J$27,0)</f>
        <v>0</v>
      </c>
      <c r="H19" s="446">
        <f>IF(H$8&gt;=YEAR(PhaseIComplete),'Assumptions-Land&amp;Infrastructure'!$J$23*'Assumptions-Land&amp;Infrastructure'!$L$19*'Assumptions-Land&amp;Infrastructure'!$J$27,0)</f>
        <v>1105650</v>
      </c>
      <c r="I19" s="646">
        <f>H19*1.03</f>
        <v>1138819.5</v>
      </c>
      <c r="J19" s="646">
        <f t="shared" ref="J19:N19" si="4">I19*1.03</f>
        <v>1172984.085</v>
      </c>
      <c r="K19" s="646">
        <f t="shared" si="4"/>
        <v>1208173.6075500001</v>
      </c>
      <c r="L19" s="646">
        <f t="shared" si="4"/>
        <v>1244418.8157765002</v>
      </c>
      <c r="M19" s="646">
        <f t="shared" si="4"/>
        <v>1281751.3802497953</v>
      </c>
      <c r="N19" s="647">
        <f t="shared" si="4"/>
        <v>1320203.9216572891</v>
      </c>
      <c r="O19" s="365"/>
    </row>
    <row r="20" spans="1:15" x14ac:dyDescent="0.65">
      <c r="A20" s="365"/>
      <c r="B20" s="464" t="str">
        <f>'Assumptions-Land&amp;Infrastructure'!$I$28</f>
        <v>Other Departments (including photos)</v>
      </c>
      <c r="C20" s="366"/>
      <c r="D20" s="446">
        <f>IF(D$8&gt;=YEAR(PhaseIComplete),(D24*'Assumptions-Land&amp;Infrastructure'!$J$23*'Assumptions-Land&amp;Infrastructure'!$L$19*'Assumptions-Land&amp;Infrastructure'!$J$28),0)</f>
        <v>0</v>
      </c>
      <c r="E20" s="446">
        <f>IF(E$8&gt;=YEAR(PhaseIComplete),'Assumptions-Land&amp;Infrastructure'!$J$23*'Assumptions-Land&amp;Infrastructure'!$L$19*'Assumptions-Land&amp;Infrastructure'!$J$28,0)</f>
        <v>0</v>
      </c>
      <c r="F20" s="446">
        <f>IF(F$8&gt;=YEAR(PhaseIComplete),'Assumptions-Land&amp;Infrastructure'!$J$23*'Assumptions-Land&amp;Infrastructure'!$L$19*'Assumptions-Land&amp;Infrastructure'!$J$28,0)</f>
        <v>0</v>
      </c>
      <c r="G20" s="446">
        <f>IF(G$8&gt;=YEAR(PhaseIComplete),'Assumptions-Land&amp;Infrastructure'!$J$23*'Assumptions-Land&amp;Infrastructure'!$L$19*'Assumptions-Land&amp;Infrastructure'!$J$28,0)</f>
        <v>0</v>
      </c>
      <c r="H20" s="446">
        <f>IF(H$8&gt;=YEAR(PhaseIComplete),'Assumptions-Land&amp;Infrastructure'!$J$23*'Assumptions-Land&amp;Infrastructure'!$L$19*'Assumptions-Land&amp;Infrastructure'!$J$28,0)</f>
        <v>368550</v>
      </c>
      <c r="I20" s="646">
        <f>H20*1.03</f>
        <v>379606.5</v>
      </c>
      <c r="J20" s="646">
        <f t="shared" ref="J20:N20" si="5">I20*1.03</f>
        <v>390994.69500000001</v>
      </c>
      <c r="K20" s="646">
        <f t="shared" si="5"/>
        <v>402724.53585000004</v>
      </c>
      <c r="L20" s="646">
        <f t="shared" si="5"/>
        <v>414806.27192550007</v>
      </c>
      <c r="M20" s="646">
        <f t="shared" si="5"/>
        <v>427250.46008326509</v>
      </c>
      <c r="N20" s="647">
        <f t="shared" si="5"/>
        <v>440067.97388576303</v>
      </c>
      <c r="O20" s="365"/>
    </row>
    <row r="21" spans="1:15" x14ac:dyDescent="0.65">
      <c r="A21" s="365"/>
      <c r="B21" s="391" t="s">
        <v>245</v>
      </c>
      <c r="C21" s="366"/>
      <c r="D21" s="446">
        <f t="shared" ref="D21:N21" si="6">SUM(D19:D20)</f>
        <v>0</v>
      </c>
      <c r="E21" s="446">
        <f t="shared" si="6"/>
        <v>0</v>
      </c>
      <c r="F21" s="446">
        <f t="shared" si="6"/>
        <v>0</v>
      </c>
      <c r="G21" s="446">
        <f t="shared" si="6"/>
        <v>0</v>
      </c>
      <c r="H21" s="446">
        <f t="shared" si="6"/>
        <v>1474200</v>
      </c>
      <c r="I21" s="446">
        <f t="shared" si="6"/>
        <v>1518426</v>
      </c>
      <c r="J21" s="446">
        <f t="shared" si="6"/>
        <v>1563978.78</v>
      </c>
      <c r="K21" s="446">
        <f t="shared" si="6"/>
        <v>1610898.1434000002</v>
      </c>
      <c r="L21" s="446">
        <f t="shared" si="6"/>
        <v>1659225.0877020003</v>
      </c>
      <c r="M21" s="446">
        <f t="shared" si="6"/>
        <v>1709001.8403330604</v>
      </c>
      <c r="N21" s="450">
        <f t="shared" si="6"/>
        <v>1760271.8955430521</v>
      </c>
      <c r="O21" s="365"/>
    </row>
    <row r="22" spans="1:15" x14ac:dyDescent="0.65">
      <c r="A22" s="365"/>
      <c r="B22" s="391"/>
      <c r="C22" s="366"/>
      <c r="D22" s="446"/>
      <c r="E22" s="446"/>
      <c r="F22" s="446"/>
      <c r="G22" s="446"/>
      <c r="H22" s="446"/>
      <c r="I22" s="446"/>
      <c r="J22" s="446"/>
      <c r="K22" s="446"/>
      <c r="L22" s="446"/>
      <c r="M22" s="446"/>
      <c r="N22" s="450"/>
      <c r="O22" s="365"/>
    </row>
    <row r="23" spans="1:15" x14ac:dyDescent="0.65">
      <c r="A23" s="365"/>
      <c r="B23" s="391" t="s">
        <v>128</v>
      </c>
      <c r="C23" s="36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50"/>
      <c r="O23" s="365"/>
    </row>
    <row r="24" spans="1:15" x14ac:dyDescent="0.65">
      <c r="A24" s="365"/>
      <c r="B24" s="464" t="s">
        <v>563</v>
      </c>
      <c r="C24" s="366"/>
      <c r="D24" s="446">
        <f>IF(D$8&gt;=YEAR(PhaseIComplete),'Assumptions-Land&amp;Infrastructure'!$J$31*'Assumptions-Land&amp;Infrastructure'!$D$26,0)</f>
        <v>0</v>
      </c>
      <c r="E24" s="446">
        <f>IF(E$8&gt;=YEAR(PhaseIComplete),'Assumptions-Land&amp;Infrastructure'!$J$31*'Assumptions-Land&amp;Infrastructure'!$D$26,0)</f>
        <v>0</v>
      </c>
      <c r="F24" s="446">
        <f>IF(F$8&gt;=YEAR(PhaseIComplete),'Assumptions-Land&amp;Infrastructure'!$J$31*'Assumptions-Land&amp;Infrastructure'!$D$26,0)</f>
        <v>0</v>
      </c>
      <c r="G24" s="446">
        <f>IF(G$8&gt;=YEAR(PhaseIComplete),'Assumptions-Land&amp;Infrastructure'!$J$31*'Assumptions-Land&amp;Infrastructure'!$D$26,0)</f>
        <v>0</v>
      </c>
      <c r="H24" s="446">
        <f>IF(H$8&gt;=YEAR(PhaseIComplete),'Assumptions-Land&amp;Infrastructure'!$J$31*'Assumptions-Land&amp;Infrastructure'!$D$26,0)</f>
        <v>14560</v>
      </c>
      <c r="I24" s="446">
        <f>H24*1.03</f>
        <v>14996.800000000001</v>
      </c>
      <c r="J24" s="446">
        <f t="shared" ref="J24:N24" si="7">I24*1.03</f>
        <v>15446.704000000002</v>
      </c>
      <c r="K24" s="446">
        <f t="shared" si="7"/>
        <v>15910.105120000002</v>
      </c>
      <c r="L24" s="446">
        <f t="shared" si="7"/>
        <v>16387.408273600002</v>
      </c>
      <c r="M24" s="446">
        <f t="shared" si="7"/>
        <v>16879.030521808003</v>
      </c>
      <c r="N24" s="450">
        <f t="shared" si="7"/>
        <v>17385.401437462242</v>
      </c>
      <c r="O24" s="365"/>
    </row>
    <row r="25" spans="1:15" x14ac:dyDescent="0.65">
      <c r="A25" s="365"/>
      <c r="B25" s="391"/>
      <c r="C25" s="36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50"/>
      <c r="O25" s="365"/>
    </row>
    <row r="26" spans="1:15" x14ac:dyDescent="0.65">
      <c r="A26" s="365"/>
      <c r="B26" s="391" t="s">
        <v>189</v>
      </c>
      <c r="C26" s="366"/>
      <c r="D26" s="446">
        <f>IF(D$8&gt;=YEAR(PhaseIComplete),'Assumptions-Land&amp;Infrastructure'!$J$34*'Assumptions-Land&amp;Infrastructure'!$L$19,0)</f>
        <v>0</v>
      </c>
      <c r="E26" s="446">
        <f>IF(E$8&gt;=YEAR(PhaseIComplete),'Assumptions-Land&amp;Infrastructure'!$J$34*'Assumptions-Land&amp;Infrastructure'!$L$19,0)</f>
        <v>0</v>
      </c>
      <c r="F26" s="446">
        <f>IF(F$8&gt;=YEAR(PhaseIComplete),'Assumptions-Land&amp;Infrastructure'!$J$34*'Assumptions-Land&amp;Infrastructure'!$L$19,0)</f>
        <v>0</v>
      </c>
      <c r="G26" s="446">
        <f>IF(G$8&gt;=YEAR(PhaseIComplete),'Assumptions-Land&amp;Infrastructure'!$J$34*'Assumptions-Land&amp;Infrastructure'!$L$19,0)</f>
        <v>0</v>
      </c>
      <c r="H26" s="446">
        <f>IF(H$8&gt;=YEAR(PhaseIComplete),'Assumptions-Land&amp;Infrastructure'!$J$34*'Assumptions-Land&amp;Infrastructure'!$L$19,0)</f>
        <v>368550</v>
      </c>
      <c r="I26" s="446">
        <f>H26*1.03</f>
        <v>379606.5</v>
      </c>
      <c r="J26" s="446">
        <f t="shared" ref="J26:N26" si="8">I26*1.03</f>
        <v>390994.69500000001</v>
      </c>
      <c r="K26" s="446">
        <f t="shared" si="8"/>
        <v>402724.53585000004</v>
      </c>
      <c r="L26" s="446">
        <f t="shared" si="8"/>
        <v>414806.27192550007</v>
      </c>
      <c r="M26" s="446">
        <f t="shared" si="8"/>
        <v>427250.46008326509</v>
      </c>
      <c r="N26" s="450">
        <f t="shared" si="8"/>
        <v>440067.97388576303</v>
      </c>
      <c r="O26" s="365"/>
    </row>
    <row r="27" spans="1:15" x14ac:dyDescent="0.65">
      <c r="A27" s="365"/>
      <c r="B27" s="391"/>
      <c r="C27" s="36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50"/>
      <c r="O27" s="365"/>
    </row>
    <row r="28" spans="1:15" x14ac:dyDescent="0.65">
      <c r="A28" s="365"/>
      <c r="B28" s="391" t="s">
        <v>209</v>
      </c>
      <c r="C28" s="366"/>
      <c r="D28" s="649">
        <f>D$16+D$21-D$24-D$26</f>
        <v>0</v>
      </c>
      <c r="E28" s="649">
        <f t="shared" ref="E28:N28" si="9">E$16+E$21-E$24-E$26</f>
        <v>0</v>
      </c>
      <c r="F28" s="649">
        <f t="shared" si="9"/>
        <v>0</v>
      </c>
      <c r="G28" s="649">
        <f t="shared" si="9"/>
        <v>0</v>
      </c>
      <c r="H28" s="649">
        <f t="shared" si="9"/>
        <v>13376090</v>
      </c>
      <c r="I28" s="649">
        <f t="shared" si="9"/>
        <v>13777372.699999999</v>
      </c>
      <c r="J28" s="649">
        <f t="shared" si="9"/>
        <v>14190693.880999999</v>
      </c>
      <c r="K28" s="649">
        <f t="shared" si="9"/>
        <v>14616414.697430002</v>
      </c>
      <c r="L28" s="649">
        <f t="shared" si="9"/>
        <v>15054907.138352901</v>
      </c>
      <c r="M28" s="649">
        <f t="shared" si="9"/>
        <v>15506554.352503488</v>
      </c>
      <c r="N28" s="655">
        <f t="shared" si="9"/>
        <v>15971750.983078592</v>
      </c>
      <c r="O28" s="365"/>
    </row>
    <row r="29" spans="1:15" x14ac:dyDescent="0.65">
      <c r="A29" s="365"/>
      <c r="B29" s="391"/>
      <c r="C29" s="36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650"/>
      <c r="O29" s="365"/>
    </row>
    <row r="30" spans="1:15" x14ac:dyDescent="0.65">
      <c r="A30" s="365"/>
      <c r="B30" s="391"/>
      <c r="C30" s="36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50"/>
      <c r="O30" s="365"/>
    </row>
    <row r="31" spans="1:15" x14ac:dyDescent="0.65">
      <c r="A31" s="365"/>
      <c r="B31" s="409" t="s">
        <v>130</v>
      </c>
      <c r="C31" s="36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50"/>
      <c r="O31" s="365"/>
    </row>
    <row r="32" spans="1:15" hidden="1" x14ac:dyDescent="0.65">
      <c r="A32" s="365"/>
      <c r="B32" s="391"/>
      <c r="C32" s="36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50"/>
      <c r="O32" s="365"/>
    </row>
    <row r="33" spans="1:15" x14ac:dyDescent="0.65">
      <c r="A33" s="365"/>
      <c r="B33" s="391" t="s">
        <v>212</v>
      </c>
      <c r="C33" s="366"/>
      <c r="D33" s="446">
        <f>IF(D$8&lt;=YEAR(PhaseIComplete),'Assumptions-Land&amp;Infrastructure'!$G$26/4,0)</f>
        <v>3328416</v>
      </c>
      <c r="E33" s="446">
        <f>IF(E$8&lt;=YEAR(PhaseIComplete),'Assumptions-Land&amp;Infrastructure'!$G$26/4,0)</f>
        <v>3328416</v>
      </c>
      <c r="F33" s="446">
        <f>IF(F$8&lt;=YEAR(PhaseIComplete),'Assumptions-Land&amp;Infrastructure'!$G$26/4,0)</f>
        <v>3328416</v>
      </c>
      <c r="G33" s="446">
        <f>IF(G$8&lt;=YEAR(PhaseIComplete),'Assumptions-Land&amp;Infrastructure'!$G$26/4,0)</f>
        <v>3328416</v>
      </c>
      <c r="H33" s="446">
        <f>IF(H$8&lt;=YEAR(PhaseIComplete),'Assumptions-Land&amp;Infrastructure'!$G$26/4,0)</f>
        <v>3328416</v>
      </c>
      <c r="I33" s="446">
        <f>IF(I$8&lt;=YEAR(PhaseIComplete),'Assumptions-Land&amp;Infrastructure'!$G$26/4,0)</f>
        <v>0</v>
      </c>
      <c r="J33" s="446">
        <f>IF(J$8&lt;=YEAR(PhaseIComplete),'Assumptions-Land&amp;Infrastructure'!$G$26/4,0)</f>
        <v>0</v>
      </c>
      <c r="K33" s="446">
        <f>IF(K$8&lt;=YEAR(PhaseIComplete),'Assumptions-Land&amp;Infrastructure'!$G$26/4,0)</f>
        <v>0</v>
      </c>
      <c r="L33" s="446">
        <f>IF(L$8&lt;=YEAR(PhaseIComplete),'Assumptions-Land&amp;Infrastructure'!$G$26/4,0)</f>
        <v>0</v>
      </c>
      <c r="M33" s="446">
        <f>IF(M$8&lt;=YEAR(PhaseIComplete),'Assumptions-Land&amp;Infrastructure'!$G$26/4,0)</f>
        <v>0</v>
      </c>
      <c r="N33" s="450"/>
      <c r="O33" s="365"/>
    </row>
    <row r="34" spans="1:15" x14ac:dyDescent="0.65">
      <c r="A34" s="365"/>
      <c r="B34" s="391"/>
      <c r="C34" s="36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50"/>
      <c r="O34" s="365"/>
    </row>
    <row r="35" spans="1:15" x14ac:dyDescent="0.65">
      <c r="A35" s="365"/>
      <c r="B35" s="409" t="s">
        <v>213</v>
      </c>
      <c r="C35" s="36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50"/>
      <c r="O35" s="365"/>
    </row>
    <row r="36" spans="1:15" x14ac:dyDescent="0.65">
      <c r="A36" s="365"/>
      <c r="B36" s="391" t="s">
        <v>215</v>
      </c>
      <c r="C36" s="366"/>
      <c r="D36" s="446">
        <f>(D$8=YEAR('Assumptions-Overall'!$C$30))*E28/'Assumptions-Overall'!$V$22</f>
        <v>0</v>
      </c>
      <c r="E36" s="446">
        <f>(E$8=YEAR('Assumptions-Overall'!$C$30))*F28/'Assumptions-Overall'!$V$22</f>
        <v>0</v>
      </c>
      <c r="F36" s="446">
        <f>(F$8=YEAR('Assumptions-Overall'!$C$30))*G28/'Assumptions-Overall'!$V$22</f>
        <v>0</v>
      </c>
      <c r="G36" s="446">
        <f>(G$8=YEAR('Assumptions-Overall'!$C$30))*H28/'Assumptions-Overall'!$V$22</f>
        <v>0</v>
      </c>
      <c r="H36" s="446">
        <f>(H$8=YEAR('Assumptions-Overall'!$C$30))*I28/'Assumptions-Overall'!$V$22</f>
        <v>0</v>
      </c>
      <c r="I36" s="446">
        <f>(I$8=YEAR('Assumptions-Overall'!$C$30))*J28/'Assumptions-Overall'!$V$22</f>
        <v>0</v>
      </c>
      <c r="J36" s="446">
        <f>(J$8=YEAR('Assumptions-Overall'!$C$30))*K28/'Assumptions-Overall'!$V$22</f>
        <v>0</v>
      </c>
      <c r="K36" s="446">
        <f>(K$8=YEAR('Assumptions-Overall'!$C$30))*L28/'Assumptions-Overall'!$V$22</f>
        <v>0</v>
      </c>
      <c r="L36" s="446">
        <f>(L$8=YEAR('Assumptions-Overall'!$C$30))*M28/'Assumptions-Overall'!$V$22</f>
        <v>0</v>
      </c>
      <c r="M36" s="446">
        <f>(M$8=YEAR('Assumptions-Overall'!$C$30))*N28/'Assumptions-Overall'!$V$22</f>
        <v>179963391.35863203</v>
      </c>
      <c r="N36" s="450"/>
      <c r="O36" s="365"/>
    </row>
    <row r="37" spans="1:15" x14ac:dyDescent="0.65">
      <c r="A37" s="365"/>
      <c r="B37" s="391" t="s">
        <v>216</v>
      </c>
      <c r="C37" s="366"/>
      <c r="D37" s="465">
        <f>-D36*'Assumptions-Overall'!$R$27</f>
        <v>0</v>
      </c>
      <c r="E37" s="465">
        <f>-E36*'Assumptions-Overall'!$R$27</f>
        <v>0</v>
      </c>
      <c r="F37" s="465">
        <f>-F36*'Assumptions-Overall'!$R$27</f>
        <v>0</v>
      </c>
      <c r="G37" s="465">
        <f>-G36*'Assumptions-Overall'!$R$27</f>
        <v>0</v>
      </c>
      <c r="H37" s="465">
        <f>-H36*'Assumptions-Overall'!$R$27</f>
        <v>0</v>
      </c>
      <c r="I37" s="465">
        <f>-I36*'Assumptions-Overall'!$R$27</f>
        <v>0</v>
      </c>
      <c r="J37" s="465">
        <f>-J36*'Assumptions-Overall'!$R$27</f>
        <v>0</v>
      </c>
      <c r="K37" s="465">
        <f>-K36*'Assumptions-Overall'!$R$27</f>
        <v>0</v>
      </c>
      <c r="L37" s="465">
        <f>-L36*'Assumptions-Overall'!$R$27</f>
        <v>0</v>
      </c>
      <c r="M37" s="465">
        <f>-M36*'Assumptions-Overall'!$R$27</f>
        <v>-3599267.8271726407</v>
      </c>
      <c r="N37" s="450"/>
      <c r="O37" s="365"/>
    </row>
    <row r="38" spans="1:15" x14ac:dyDescent="0.65">
      <c r="A38" s="365"/>
      <c r="B38" s="391" t="s">
        <v>217</v>
      </c>
      <c r="C38" s="366"/>
      <c r="D38" s="446">
        <f>SUM(D36:D37)</f>
        <v>0</v>
      </c>
      <c r="E38" s="446">
        <f t="shared" ref="E38:M38" si="10">SUM(E36:E37)</f>
        <v>0</v>
      </c>
      <c r="F38" s="446">
        <f t="shared" si="10"/>
        <v>0</v>
      </c>
      <c r="G38" s="446">
        <f t="shared" si="10"/>
        <v>0</v>
      </c>
      <c r="H38" s="446">
        <f t="shared" si="10"/>
        <v>0</v>
      </c>
      <c r="I38" s="446">
        <f t="shared" si="10"/>
        <v>0</v>
      </c>
      <c r="J38" s="446">
        <f t="shared" si="10"/>
        <v>0</v>
      </c>
      <c r="K38" s="446">
        <f t="shared" si="10"/>
        <v>0</v>
      </c>
      <c r="L38" s="446">
        <f t="shared" si="10"/>
        <v>0</v>
      </c>
      <c r="M38" s="446">
        <f t="shared" si="10"/>
        <v>176364123.53145939</v>
      </c>
      <c r="N38" s="450"/>
      <c r="O38" s="365"/>
    </row>
    <row r="39" spans="1:15" x14ac:dyDescent="0.65">
      <c r="A39" s="365"/>
      <c r="B39" s="391"/>
      <c r="C39" s="36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50"/>
      <c r="O39" s="365"/>
    </row>
    <row r="40" spans="1:15" x14ac:dyDescent="0.65">
      <c r="A40" s="365"/>
      <c r="B40" s="391" t="s">
        <v>214</v>
      </c>
      <c r="C40" s="366"/>
      <c r="D40" s="446">
        <f t="shared" ref="D40:M40" si="11">D28-D33+D38</f>
        <v>-3328416</v>
      </c>
      <c r="E40" s="446">
        <f t="shared" si="11"/>
        <v>-3328416</v>
      </c>
      <c r="F40" s="446">
        <f t="shared" si="11"/>
        <v>-3328416</v>
      </c>
      <c r="G40" s="446">
        <f t="shared" si="11"/>
        <v>-3328416</v>
      </c>
      <c r="H40" s="446">
        <f t="shared" si="11"/>
        <v>10047674</v>
      </c>
      <c r="I40" s="446">
        <f t="shared" si="11"/>
        <v>13777372.699999999</v>
      </c>
      <c r="J40" s="446">
        <f t="shared" si="11"/>
        <v>14190693.880999999</v>
      </c>
      <c r="K40" s="446">
        <f t="shared" si="11"/>
        <v>14616414.697430002</v>
      </c>
      <c r="L40" s="446">
        <f t="shared" si="11"/>
        <v>15054907.138352901</v>
      </c>
      <c r="M40" s="446">
        <f t="shared" si="11"/>
        <v>191870677.88396287</v>
      </c>
      <c r="N40" s="450"/>
      <c r="O40" s="365"/>
    </row>
    <row r="41" spans="1:15" x14ac:dyDescent="0.65">
      <c r="A41" s="365"/>
      <c r="B41" s="391" t="s">
        <v>218</v>
      </c>
      <c r="C41" s="469">
        <f>IFERROR(IRR(D40:M40),"n/a")</f>
        <v>0.59474395522349144</v>
      </c>
      <c r="D41" s="446"/>
      <c r="E41" s="446"/>
      <c r="F41" s="446"/>
      <c r="G41" s="446"/>
      <c r="H41" s="446"/>
      <c r="I41" s="446"/>
      <c r="J41" s="446"/>
      <c r="K41" s="446"/>
      <c r="L41" s="446"/>
      <c r="M41" s="446"/>
      <c r="N41" s="450"/>
      <c r="O41" s="365"/>
    </row>
    <row r="42" spans="1:15" ht="13" thickBot="1" x14ac:dyDescent="0.8">
      <c r="A42" s="365"/>
      <c r="B42" s="392"/>
      <c r="C42" s="571"/>
      <c r="D42" s="571"/>
      <c r="E42" s="571"/>
      <c r="F42" s="571"/>
      <c r="G42" s="571"/>
      <c r="H42" s="571"/>
      <c r="I42" s="571"/>
      <c r="J42" s="571"/>
      <c r="K42" s="571"/>
      <c r="L42" s="571"/>
      <c r="M42" s="571"/>
      <c r="N42" s="651"/>
      <c r="O42" s="365"/>
    </row>
    <row r="43" spans="1:15" x14ac:dyDescent="0.65">
      <c r="A43" s="365"/>
      <c r="B43" s="652"/>
      <c r="C43" s="574"/>
      <c r="D43" s="574"/>
      <c r="E43" s="574"/>
      <c r="F43" s="574"/>
      <c r="G43" s="574"/>
      <c r="H43" s="574"/>
      <c r="I43" s="574"/>
      <c r="J43" s="574"/>
      <c r="K43" s="574"/>
      <c r="L43" s="574"/>
      <c r="M43" s="574"/>
      <c r="N43" s="653"/>
      <c r="O43" s="365"/>
    </row>
    <row r="44" spans="1:15" x14ac:dyDescent="0.65">
      <c r="A44" s="365"/>
      <c r="B44" s="645" t="s">
        <v>197</v>
      </c>
      <c r="C44" s="366"/>
      <c r="D44" s="366"/>
      <c r="E44" s="366"/>
      <c r="F44" s="366"/>
      <c r="G44" s="366"/>
      <c r="H44" s="366"/>
      <c r="I44" s="366"/>
      <c r="J44" s="366"/>
      <c r="K44" s="366"/>
      <c r="L44" s="366"/>
      <c r="M44" s="366"/>
      <c r="N44" s="393"/>
      <c r="O44" s="365"/>
    </row>
    <row r="45" spans="1:15" x14ac:dyDescent="0.65">
      <c r="A45" s="365"/>
      <c r="B45" s="391" t="s">
        <v>543</v>
      </c>
      <c r="C45" s="366"/>
      <c r="D45" s="646" t="str">
        <f t="shared" ref="D45:N45" si="12">IF(D$8&gt;=YEAR(PhaseIIComplete),"yes","no")</f>
        <v>no</v>
      </c>
      <c r="E45" s="646" t="str">
        <f t="shared" si="12"/>
        <v>no</v>
      </c>
      <c r="F45" s="646" t="str">
        <f t="shared" si="12"/>
        <v>no</v>
      </c>
      <c r="G45" s="646" t="str">
        <f t="shared" si="12"/>
        <v>yes</v>
      </c>
      <c r="H45" s="646" t="str">
        <f t="shared" si="12"/>
        <v>yes</v>
      </c>
      <c r="I45" s="646" t="str">
        <f t="shared" si="12"/>
        <v>yes</v>
      </c>
      <c r="J45" s="646" t="str">
        <f t="shared" si="12"/>
        <v>yes</v>
      </c>
      <c r="K45" s="646" t="str">
        <f t="shared" si="12"/>
        <v>yes</v>
      </c>
      <c r="L45" s="646" t="str">
        <f t="shared" si="12"/>
        <v>yes</v>
      </c>
      <c r="M45" s="646" t="str">
        <f t="shared" si="12"/>
        <v>yes</v>
      </c>
      <c r="N45" s="647" t="str">
        <f t="shared" si="12"/>
        <v>yes</v>
      </c>
      <c r="O45" s="365"/>
    </row>
    <row r="46" spans="1:15" x14ac:dyDescent="0.65">
      <c r="A46" s="365"/>
      <c r="B46" s="391"/>
      <c r="C46" s="366"/>
      <c r="D46" s="646"/>
      <c r="E46" s="646"/>
      <c r="F46" s="646"/>
      <c r="G46" s="646"/>
      <c r="H46" s="646"/>
      <c r="I46" s="646"/>
      <c r="J46" s="646"/>
      <c r="K46" s="646"/>
      <c r="L46" s="646"/>
      <c r="M46" s="646"/>
      <c r="N46" s="647"/>
      <c r="O46" s="365"/>
    </row>
    <row r="47" spans="1:15" x14ac:dyDescent="0.65">
      <c r="A47" s="365"/>
      <c r="B47" s="409" t="s">
        <v>206</v>
      </c>
      <c r="C47" s="366"/>
      <c r="D47" s="366"/>
      <c r="E47" s="366"/>
      <c r="F47" s="366"/>
      <c r="G47" s="366"/>
      <c r="H47" s="366"/>
      <c r="I47" s="366"/>
      <c r="J47" s="366"/>
      <c r="K47" s="366"/>
      <c r="L47" s="366"/>
      <c r="M47" s="366"/>
      <c r="N47" s="393"/>
      <c r="O47" s="365"/>
    </row>
    <row r="48" spans="1:15" x14ac:dyDescent="0.65">
      <c r="A48" s="365"/>
      <c r="B48" s="391" t="s">
        <v>517</v>
      </c>
      <c r="C48" s="366"/>
      <c r="D48" s="366"/>
      <c r="E48" s="366"/>
      <c r="F48" s="366"/>
      <c r="G48" s="366"/>
      <c r="H48" s="366"/>
      <c r="I48" s="366"/>
      <c r="J48" s="366"/>
      <c r="K48" s="366"/>
      <c r="L48" s="366"/>
      <c r="M48" s="366"/>
      <c r="N48" s="393"/>
      <c r="O48" s="365"/>
    </row>
    <row r="49" spans="1:15" x14ac:dyDescent="0.65">
      <c r="A49" s="365"/>
      <c r="B49" s="648" t="str">
        <f>'Assumptions-Land&amp;Infrastructure'!$I$19</f>
        <v>Partnership Gross Income</v>
      </c>
      <c r="C49" s="366"/>
      <c r="D49" s="646">
        <f>IF(D$8&gt;=YEAR(PhaseIIComplete),'Assumptions-Land&amp;Infrastructure'!$L$19,0)</f>
        <v>0</v>
      </c>
      <c r="E49" s="646">
        <f>IF(E$8&gt;=YEAR(PhaseIIComplete),'Assumptions-Land&amp;Infrastructure'!$L$19,0)</f>
        <v>0</v>
      </c>
      <c r="F49" s="646">
        <f>IF(F$8&gt;=YEAR(PhaseIIComplete),'Assumptions-Land&amp;Infrastructure'!$L$19,0)</f>
        <v>0</v>
      </c>
      <c r="G49" s="646">
        <f>0</f>
        <v>0</v>
      </c>
      <c r="H49" s="646">
        <f>0</f>
        <v>0</v>
      </c>
      <c r="I49" s="646">
        <f>0</f>
        <v>0</v>
      </c>
      <c r="J49" s="646">
        <f>0</f>
        <v>0</v>
      </c>
      <c r="K49" s="646">
        <f>0</f>
        <v>0</v>
      </c>
      <c r="L49" s="646">
        <f>0</f>
        <v>0</v>
      </c>
      <c r="M49" s="646">
        <f>0</f>
        <v>0</v>
      </c>
      <c r="N49" s="647">
        <f>0</f>
        <v>0</v>
      </c>
      <c r="O49" s="365"/>
    </row>
    <row r="50" spans="1:15" x14ac:dyDescent="0.65">
      <c r="A50" s="365"/>
      <c r="B50" s="391"/>
      <c r="C50" s="366"/>
      <c r="D50" s="446"/>
      <c r="E50" s="446"/>
      <c r="F50" s="446"/>
      <c r="G50" s="446"/>
      <c r="H50" s="446"/>
      <c r="I50" s="446"/>
      <c r="J50" s="446"/>
      <c r="K50" s="446"/>
      <c r="L50" s="446"/>
      <c r="M50" s="446"/>
      <c r="N50" s="450"/>
      <c r="O50" s="365"/>
    </row>
    <row r="51" spans="1:15" x14ac:dyDescent="0.65">
      <c r="A51" s="365"/>
      <c r="B51" s="409" t="s">
        <v>541</v>
      </c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93"/>
      <c r="O51" s="365"/>
    </row>
    <row r="52" spans="1:15" x14ac:dyDescent="0.65">
      <c r="A52" s="365"/>
      <c r="B52" s="464" t="str">
        <f>'Assumptions-Land&amp;Infrastructure'!$I$27</f>
        <v>Food &amp; Beverage</v>
      </c>
      <c r="C52" s="366"/>
      <c r="D52" s="646">
        <f>0</f>
        <v>0</v>
      </c>
      <c r="E52" s="646">
        <f>0</f>
        <v>0</v>
      </c>
      <c r="F52" s="646">
        <f>0</f>
        <v>0</v>
      </c>
      <c r="G52" s="646">
        <f>0</f>
        <v>0</v>
      </c>
      <c r="H52" s="646">
        <f>0</f>
        <v>0</v>
      </c>
      <c r="I52" s="646">
        <f>0</f>
        <v>0</v>
      </c>
      <c r="J52" s="646">
        <f>0</f>
        <v>0</v>
      </c>
      <c r="K52" s="646">
        <f>0</f>
        <v>0</v>
      </c>
      <c r="L52" s="646">
        <f>0</f>
        <v>0</v>
      </c>
      <c r="M52" s="646">
        <f>0</f>
        <v>0</v>
      </c>
      <c r="N52" s="647">
        <f>0</f>
        <v>0</v>
      </c>
      <c r="O52" s="365"/>
    </row>
    <row r="53" spans="1:15" x14ac:dyDescent="0.65">
      <c r="A53" s="365"/>
      <c r="B53" s="464" t="str">
        <f>'Assumptions-Land&amp;Infrastructure'!$I$28</f>
        <v>Other Departments (including photos)</v>
      </c>
      <c r="C53" s="366"/>
      <c r="D53" s="646">
        <f>0</f>
        <v>0</v>
      </c>
      <c r="E53" s="646">
        <f>0</f>
        <v>0</v>
      </c>
      <c r="F53" s="646">
        <f>0</f>
        <v>0</v>
      </c>
      <c r="G53" s="646">
        <f>0</f>
        <v>0</v>
      </c>
      <c r="H53" s="646">
        <f>0</f>
        <v>0</v>
      </c>
      <c r="I53" s="646">
        <f>0</f>
        <v>0</v>
      </c>
      <c r="J53" s="646">
        <f>0</f>
        <v>0</v>
      </c>
      <c r="K53" s="646">
        <f>0</f>
        <v>0</v>
      </c>
      <c r="L53" s="646">
        <f>0</f>
        <v>0</v>
      </c>
      <c r="M53" s="646">
        <f>0</f>
        <v>0</v>
      </c>
      <c r="N53" s="647">
        <f>0</f>
        <v>0</v>
      </c>
      <c r="O53" s="365"/>
    </row>
    <row r="54" spans="1:15" x14ac:dyDescent="0.65">
      <c r="A54" s="365"/>
      <c r="B54" s="391" t="s">
        <v>245</v>
      </c>
      <c r="C54" s="366"/>
      <c r="D54" s="646">
        <f>0</f>
        <v>0</v>
      </c>
      <c r="E54" s="646">
        <f>0</f>
        <v>0</v>
      </c>
      <c r="F54" s="646">
        <f>0</f>
        <v>0</v>
      </c>
      <c r="G54" s="646">
        <f>0</f>
        <v>0</v>
      </c>
      <c r="H54" s="646">
        <f>0</f>
        <v>0</v>
      </c>
      <c r="I54" s="646">
        <f>0</f>
        <v>0</v>
      </c>
      <c r="J54" s="646">
        <f>0</f>
        <v>0</v>
      </c>
      <c r="K54" s="646">
        <f>0</f>
        <v>0</v>
      </c>
      <c r="L54" s="646">
        <f>0</f>
        <v>0</v>
      </c>
      <c r="M54" s="646">
        <f>0</f>
        <v>0</v>
      </c>
      <c r="N54" s="647">
        <f>0</f>
        <v>0</v>
      </c>
      <c r="O54" s="365"/>
    </row>
    <row r="55" spans="1:15" x14ac:dyDescent="0.65">
      <c r="A55" s="365"/>
      <c r="B55" s="391"/>
      <c r="C55" s="366"/>
      <c r="D55" s="446"/>
      <c r="E55" s="446"/>
      <c r="F55" s="446"/>
      <c r="G55" s="446"/>
      <c r="H55" s="446"/>
      <c r="I55" s="446"/>
      <c r="J55" s="446"/>
      <c r="K55" s="446"/>
      <c r="L55" s="446"/>
      <c r="M55" s="446"/>
      <c r="N55" s="450"/>
      <c r="O55" s="365"/>
    </row>
    <row r="56" spans="1:15" x14ac:dyDescent="0.65">
      <c r="A56" s="365"/>
      <c r="B56" s="391" t="s">
        <v>128</v>
      </c>
      <c r="C56" s="366"/>
      <c r="D56" s="446"/>
      <c r="E56" s="446"/>
      <c r="F56" s="446"/>
      <c r="G56" s="446"/>
      <c r="H56" s="446"/>
      <c r="I56" s="446"/>
      <c r="J56" s="446"/>
      <c r="K56" s="446"/>
      <c r="L56" s="446"/>
      <c r="M56" s="446"/>
      <c r="N56" s="450"/>
      <c r="O56" s="365"/>
    </row>
    <row r="57" spans="1:15" x14ac:dyDescent="0.65">
      <c r="A57" s="365"/>
      <c r="B57" s="464" t="s">
        <v>563</v>
      </c>
      <c r="C57" s="366"/>
      <c r="D57" s="646">
        <f>0</f>
        <v>0</v>
      </c>
      <c r="E57" s="646">
        <f>0</f>
        <v>0</v>
      </c>
      <c r="F57" s="646">
        <f>0</f>
        <v>0</v>
      </c>
      <c r="G57" s="646">
        <f>0</f>
        <v>0</v>
      </c>
      <c r="H57" s="646">
        <f>0</f>
        <v>0</v>
      </c>
      <c r="I57" s="646">
        <f>0</f>
        <v>0</v>
      </c>
      <c r="J57" s="646">
        <f>0</f>
        <v>0</v>
      </c>
      <c r="K57" s="646">
        <f>0</f>
        <v>0</v>
      </c>
      <c r="L57" s="646">
        <f>0</f>
        <v>0</v>
      </c>
      <c r="M57" s="646">
        <f>0</f>
        <v>0</v>
      </c>
      <c r="N57" s="647">
        <f>0</f>
        <v>0</v>
      </c>
      <c r="O57" s="365"/>
    </row>
    <row r="58" spans="1:15" x14ac:dyDescent="0.65">
      <c r="A58" s="365"/>
      <c r="B58" s="391"/>
      <c r="C58" s="366"/>
      <c r="D58" s="446"/>
      <c r="E58" s="446"/>
      <c r="F58" s="446"/>
      <c r="G58" s="446"/>
      <c r="H58" s="446"/>
      <c r="I58" s="446"/>
      <c r="J58" s="446"/>
      <c r="K58" s="446"/>
      <c r="L58" s="446"/>
      <c r="M58" s="446"/>
      <c r="N58" s="450"/>
      <c r="O58" s="365"/>
    </row>
    <row r="59" spans="1:15" x14ac:dyDescent="0.65">
      <c r="A59" s="365"/>
      <c r="B59" s="391" t="s">
        <v>189</v>
      </c>
      <c r="C59" s="366"/>
      <c r="D59" s="646">
        <f>0</f>
        <v>0</v>
      </c>
      <c r="E59" s="646">
        <f>0</f>
        <v>0</v>
      </c>
      <c r="F59" s="646">
        <f>0</f>
        <v>0</v>
      </c>
      <c r="G59" s="646">
        <f>0</f>
        <v>0</v>
      </c>
      <c r="H59" s="646">
        <f>0</f>
        <v>0</v>
      </c>
      <c r="I59" s="646">
        <f>0</f>
        <v>0</v>
      </c>
      <c r="J59" s="646">
        <f>0</f>
        <v>0</v>
      </c>
      <c r="K59" s="646">
        <f>0</f>
        <v>0</v>
      </c>
      <c r="L59" s="646">
        <f>0</f>
        <v>0</v>
      </c>
      <c r="M59" s="646">
        <f>0</f>
        <v>0</v>
      </c>
      <c r="N59" s="647">
        <f>0</f>
        <v>0</v>
      </c>
      <c r="O59" s="365"/>
    </row>
    <row r="60" spans="1:15" x14ac:dyDescent="0.65">
      <c r="A60" s="365"/>
      <c r="B60" s="391"/>
      <c r="C60" s="366"/>
      <c r="D60" s="446"/>
      <c r="E60" s="446"/>
      <c r="F60" s="446"/>
      <c r="G60" s="446"/>
      <c r="H60" s="446"/>
      <c r="I60" s="446"/>
      <c r="J60" s="446"/>
      <c r="K60" s="446"/>
      <c r="L60" s="446"/>
      <c r="M60" s="446"/>
      <c r="N60" s="450"/>
      <c r="O60" s="365"/>
    </row>
    <row r="61" spans="1:15" x14ac:dyDescent="0.65">
      <c r="A61" s="365"/>
      <c r="B61" s="391" t="s">
        <v>209</v>
      </c>
      <c r="C61" s="366"/>
      <c r="D61" s="646">
        <f>0</f>
        <v>0</v>
      </c>
      <c r="E61" s="646">
        <f>0</f>
        <v>0</v>
      </c>
      <c r="F61" s="646">
        <f>0</f>
        <v>0</v>
      </c>
      <c r="G61" s="646">
        <f>0</f>
        <v>0</v>
      </c>
      <c r="H61" s="646">
        <f>0</f>
        <v>0</v>
      </c>
      <c r="I61" s="646">
        <f>0</f>
        <v>0</v>
      </c>
      <c r="J61" s="646">
        <f>0</f>
        <v>0</v>
      </c>
      <c r="K61" s="646">
        <f>0</f>
        <v>0</v>
      </c>
      <c r="L61" s="646">
        <f>0</f>
        <v>0</v>
      </c>
      <c r="M61" s="646">
        <f>0</f>
        <v>0</v>
      </c>
      <c r="N61" s="647">
        <f>0</f>
        <v>0</v>
      </c>
      <c r="O61" s="365"/>
    </row>
    <row r="62" spans="1:15" x14ac:dyDescent="0.65">
      <c r="A62" s="365"/>
      <c r="B62" s="391"/>
      <c r="C62" s="366"/>
      <c r="D62" s="446"/>
      <c r="E62" s="446"/>
      <c r="F62" s="446"/>
      <c r="G62" s="446"/>
      <c r="H62" s="446"/>
      <c r="I62" s="446"/>
      <c r="J62" s="446"/>
      <c r="K62" s="446"/>
      <c r="L62" s="446"/>
      <c r="M62" s="446"/>
      <c r="N62" s="450"/>
      <c r="O62" s="365"/>
    </row>
    <row r="63" spans="1:15" x14ac:dyDescent="0.65">
      <c r="A63" s="365"/>
      <c r="B63" s="391"/>
      <c r="C63" s="366"/>
      <c r="D63" s="446"/>
      <c r="E63" s="446"/>
      <c r="F63" s="446"/>
      <c r="G63" s="446"/>
      <c r="H63" s="446"/>
      <c r="I63" s="446"/>
      <c r="J63" s="446"/>
      <c r="K63" s="446"/>
      <c r="L63" s="446"/>
      <c r="M63" s="446"/>
      <c r="N63" s="450"/>
      <c r="O63" s="365"/>
    </row>
    <row r="64" spans="1:15" x14ac:dyDescent="0.65">
      <c r="A64" s="365"/>
      <c r="B64" s="409" t="s">
        <v>130</v>
      </c>
      <c r="C64" s="366"/>
      <c r="D64" s="446"/>
      <c r="E64" s="446"/>
      <c r="F64" s="446"/>
      <c r="G64" s="446"/>
      <c r="H64" s="446"/>
      <c r="I64" s="446"/>
      <c r="J64" s="446"/>
      <c r="K64" s="446"/>
      <c r="L64" s="446"/>
      <c r="M64" s="446"/>
      <c r="N64" s="450"/>
      <c r="O64" s="365"/>
    </row>
    <row r="65" spans="1:15" x14ac:dyDescent="0.65">
      <c r="A65" s="365"/>
      <c r="B65" s="391" t="s">
        <v>212</v>
      </c>
      <c r="C65" s="366"/>
      <c r="D65" s="646">
        <f>0</f>
        <v>0</v>
      </c>
      <c r="E65" s="646">
        <f>0</f>
        <v>0</v>
      </c>
      <c r="F65" s="646">
        <f>0</f>
        <v>0</v>
      </c>
      <c r="G65" s="646">
        <f>0</f>
        <v>0</v>
      </c>
      <c r="H65" s="646">
        <f>0</f>
        <v>0</v>
      </c>
      <c r="I65" s="646">
        <f>0</f>
        <v>0</v>
      </c>
      <c r="J65" s="646">
        <f>0</f>
        <v>0</v>
      </c>
      <c r="K65" s="646">
        <f>0</f>
        <v>0</v>
      </c>
      <c r="L65" s="646">
        <f>0</f>
        <v>0</v>
      </c>
      <c r="M65" s="646">
        <f>0</f>
        <v>0</v>
      </c>
      <c r="N65" s="450"/>
      <c r="O65" s="365"/>
    </row>
    <row r="66" spans="1:15" x14ac:dyDescent="0.65">
      <c r="A66" s="365"/>
      <c r="B66" s="391"/>
      <c r="C66" s="366"/>
      <c r="D66" s="646">
        <f>0</f>
        <v>0</v>
      </c>
      <c r="E66" s="646">
        <f>0</f>
        <v>0</v>
      </c>
      <c r="F66" s="646">
        <f>0</f>
        <v>0</v>
      </c>
      <c r="G66" s="646">
        <f>0</f>
        <v>0</v>
      </c>
      <c r="H66" s="646">
        <f>0</f>
        <v>0</v>
      </c>
      <c r="I66" s="646">
        <f>0</f>
        <v>0</v>
      </c>
      <c r="J66" s="646">
        <f>0</f>
        <v>0</v>
      </c>
      <c r="K66" s="646">
        <f>0</f>
        <v>0</v>
      </c>
      <c r="L66" s="646">
        <f>0</f>
        <v>0</v>
      </c>
      <c r="M66" s="646">
        <f>0</f>
        <v>0</v>
      </c>
      <c r="N66" s="450"/>
      <c r="O66" s="365"/>
    </row>
    <row r="67" spans="1:15" x14ac:dyDescent="0.65">
      <c r="A67" s="365"/>
      <c r="B67" s="391"/>
      <c r="C67" s="366"/>
      <c r="D67" s="446"/>
      <c r="E67" s="446"/>
      <c r="F67" s="446"/>
      <c r="G67" s="446"/>
      <c r="H67" s="446"/>
      <c r="I67" s="446"/>
      <c r="J67" s="446"/>
      <c r="K67" s="446"/>
      <c r="L67" s="446"/>
      <c r="M67" s="446"/>
      <c r="N67" s="450"/>
      <c r="O67" s="365"/>
    </row>
    <row r="68" spans="1:15" x14ac:dyDescent="0.65">
      <c r="A68" s="365"/>
      <c r="B68" s="409" t="s">
        <v>213</v>
      </c>
      <c r="C68" s="366"/>
      <c r="D68" s="446"/>
      <c r="E68" s="446"/>
      <c r="F68" s="446"/>
      <c r="G68" s="446"/>
      <c r="H68" s="446"/>
      <c r="I68" s="446"/>
      <c r="J68" s="446"/>
      <c r="K68" s="446"/>
      <c r="L68" s="446"/>
      <c r="M68" s="446"/>
      <c r="N68" s="450"/>
      <c r="O68" s="365"/>
    </row>
    <row r="69" spans="1:15" x14ac:dyDescent="0.65">
      <c r="A69" s="365"/>
      <c r="B69" s="391" t="s">
        <v>215</v>
      </c>
      <c r="C69" s="366"/>
      <c r="D69" s="646">
        <f>0</f>
        <v>0</v>
      </c>
      <c r="E69" s="646">
        <f>0</f>
        <v>0</v>
      </c>
      <c r="F69" s="646">
        <f>0</f>
        <v>0</v>
      </c>
      <c r="G69" s="646">
        <f>0</f>
        <v>0</v>
      </c>
      <c r="H69" s="646">
        <f>0</f>
        <v>0</v>
      </c>
      <c r="I69" s="646">
        <f>0</f>
        <v>0</v>
      </c>
      <c r="J69" s="646">
        <f>0</f>
        <v>0</v>
      </c>
      <c r="K69" s="646">
        <f>0</f>
        <v>0</v>
      </c>
      <c r="L69" s="646">
        <f>0</f>
        <v>0</v>
      </c>
      <c r="M69" s="646">
        <f>0</f>
        <v>0</v>
      </c>
      <c r="N69" s="450"/>
      <c r="O69" s="365"/>
    </row>
    <row r="70" spans="1:15" x14ac:dyDescent="0.65">
      <c r="A70" s="365"/>
      <c r="B70" s="391" t="s">
        <v>216</v>
      </c>
      <c r="C70" s="366"/>
      <c r="D70" s="646">
        <f>0</f>
        <v>0</v>
      </c>
      <c r="E70" s="646">
        <f>0</f>
        <v>0</v>
      </c>
      <c r="F70" s="646">
        <f>0</f>
        <v>0</v>
      </c>
      <c r="G70" s="646">
        <f>0</f>
        <v>0</v>
      </c>
      <c r="H70" s="646">
        <f>0</f>
        <v>0</v>
      </c>
      <c r="I70" s="646">
        <f>0</f>
        <v>0</v>
      </c>
      <c r="J70" s="646">
        <f>0</f>
        <v>0</v>
      </c>
      <c r="K70" s="646">
        <f>0</f>
        <v>0</v>
      </c>
      <c r="L70" s="646">
        <f>0</f>
        <v>0</v>
      </c>
      <c r="M70" s="646">
        <f>0</f>
        <v>0</v>
      </c>
      <c r="N70" s="450"/>
      <c r="O70" s="365"/>
    </row>
    <row r="71" spans="1:15" x14ac:dyDescent="0.65">
      <c r="A71" s="365"/>
      <c r="B71" s="391" t="s">
        <v>217</v>
      </c>
      <c r="C71" s="366"/>
      <c r="D71" s="646">
        <f>0</f>
        <v>0</v>
      </c>
      <c r="E71" s="646">
        <f>0</f>
        <v>0</v>
      </c>
      <c r="F71" s="646">
        <f>0</f>
        <v>0</v>
      </c>
      <c r="G71" s="646">
        <f>0</f>
        <v>0</v>
      </c>
      <c r="H71" s="646">
        <f>0</f>
        <v>0</v>
      </c>
      <c r="I71" s="646">
        <f>0</f>
        <v>0</v>
      </c>
      <c r="J71" s="646">
        <f>0</f>
        <v>0</v>
      </c>
      <c r="K71" s="646">
        <f>0</f>
        <v>0</v>
      </c>
      <c r="L71" s="646">
        <f>0</f>
        <v>0</v>
      </c>
      <c r="M71" s="646">
        <f>0</f>
        <v>0</v>
      </c>
      <c r="N71" s="450"/>
      <c r="O71" s="365"/>
    </row>
    <row r="72" spans="1:15" x14ac:dyDescent="0.65">
      <c r="A72" s="365"/>
      <c r="B72" s="391"/>
      <c r="C72" s="366"/>
      <c r="D72" s="446"/>
      <c r="E72" s="446"/>
      <c r="F72" s="446"/>
      <c r="G72" s="446"/>
      <c r="H72" s="446"/>
      <c r="I72" s="446"/>
      <c r="J72" s="446"/>
      <c r="K72" s="446"/>
      <c r="L72" s="446"/>
      <c r="M72" s="446"/>
      <c r="N72" s="450"/>
      <c r="O72" s="365"/>
    </row>
    <row r="73" spans="1:15" x14ac:dyDescent="0.65">
      <c r="A73" s="365"/>
      <c r="B73" s="391" t="s">
        <v>214</v>
      </c>
      <c r="C73" s="366"/>
      <c r="D73" s="646">
        <f>0</f>
        <v>0</v>
      </c>
      <c r="E73" s="646">
        <f>0</f>
        <v>0</v>
      </c>
      <c r="F73" s="646">
        <f>0</f>
        <v>0</v>
      </c>
      <c r="G73" s="646">
        <f>0</f>
        <v>0</v>
      </c>
      <c r="H73" s="646">
        <f>0</f>
        <v>0</v>
      </c>
      <c r="I73" s="646">
        <f>0</f>
        <v>0</v>
      </c>
      <c r="J73" s="646">
        <f>0</f>
        <v>0</v>
      </c>
      <c r="K73" s="646">
        <f>0</f>
        <v>0</v>
      </c>
      <c r="L73" s="646">
        <f>0</f>
        <v>0</v>
      </c>
      <c r="M73" s="646">
        <f>0</f>
        <v>0</v>
      </c>
      <c r="N73" s="450"/>
      <c r="O73" s="365"/>
    </row>
    <row r="74" spans="1:15" x14ac:dyDescent="0.65">
      <c r="A74" s="365"/>
      <c r="B74" s="391" t="s">
        <v>218</v>
      </c>
      <c r="C74" s="469" t="str">
        <f>IFERROR(IRR(D73:M73),"n/a")</f>
        <v>n/a</v>
      </c>
      <c r="D74" s="446"/>
      <c r="E74" s="446"/>
      <c r="F74" s="446"/>
      <c r="G74" s="446"/>
      <c r="H74" s="446"/>
      <c r="I74" s="446"/>
      <c r="J74" s="446"/>
      <c r="K74" s="446"/>
      <c r="L74" s="446"/>
      <c r="M74" s="446"/>
      <c r="N74" s="450"/>
      <c r="O74" s="365"/>
    </row>
    <row r="75" spans="1:15" ht="13" thickBot="1" x14ac:dyDescent="0.8">
      <c r="A75" s="365"/>
      <c r="B75" s="392"/>
      <c r="C75" s="571"/>
      <c r="D75" s="571"/>
      <c r="E75" s="571"/>
      <c r="F75" s="571"/>
      <c r="G75" s="571"/>
      <c r="H75" s="571"/>
      <c r="I75" s="571"/>
      <c r="J75" s="571"/>
      <c r="K75" s="571"/>
      <c r="L75" s="571"/>
      <c r="M75" s="571"/>
      <c r="N75" s="651"/>
      <c r="O75" s="365"/>
    </row>
    <row r="76" spans="1:15" x14ac:dyDescent="0.65">
      <c r="A76" s="365"/>
      <c r="B76" s="652"/>
      <c r="C76" s="574"/>
      <c r="D76" s="574"/>
      <c r="E76" s="574"/>
      <c r="F76" s="574"/>
      <c r="G76" s="574"/>
      <c r="H76" s="574"/>
      <c r="I76" s="574"/>
      <c r="J76" s="574"/>
      <c r="K76" s="574"/>
      <c r="L76" s="574"/>
      <c r="M76" s="574"/>
      <c r="N76" s="653"/>
      <c r="O76" s="365"/>
    </row>
    <row r="77" spans="1:15" x14ac:dyDescent="0.65">
      <c r="A77" s="365"/>
      <c r="B77" s="645" t="s">
        <v>198</v>
      </c>
      <c r="C77" s="366"/>
      <c r="D77" s="366"/>
      <c r="E77" s="366"/>
      <c r="F77" s="366"/>
      <c r="G77" s="366"/>
      <c r="H77" s="366"/>
      <c r="I77" s="366"/>
      <c r="J77" s="366"/>
      <c r="K77" s="366"/>
      <c r="L77" s="366"/>
      <c r="M77" s="366"/>
      <c r="N77" s="393"/>
      <c r="O77" s="365"/>
    </row>
    <row r="78" spans="1:15" x14ac:dyDescent="0.65">
      <c r="A78" s="365"/>
      <c r="B78" s="391" t="s">
        <v>544</v>
      </c>
      <c r="C78" s="366"/>
      <c r="D78" s="646" t="str">
        <f t="shared" ref="D78:N78" si="13">IF(D$8&gt;=YEAR(PhaseIIIComplete),"yes","no")</f>
        <v>no</v>
      </c>
      <c r="E78" s="646" t="str">
        <f t="shared" si="13"/>
        <v>no</v>
      </c>
      <c r="F78" s="646" t="str">
        <f t="shared" si="13"/>
        <v>no</v>
      </c>
      <c r="G78" s="646" t="str">
        <f t="shared" si="13"/>
        <v>no</v>
      </c>
      <c r="H78" s="646" t="str">
        <f t="shared" si="13"/>
        <v>no</v>
      </c>
      <c r="I78" s="646" t="str">
        <f t="shared" si="13"/>
        <v>no</v>
      </c>
      <c r="J78" s="646" t="str">
        <f t="shared" si="13"/>
        <v>no</v>
      </c>
      <c r="K78" s="646" t="str">
        <f t="shared" si="13"/>
        <v>no</v>
      </c>
      <c r="L78" s="646" t="str">
        <f t="shared" si="13"/>
        <v>no</v>
      </c>
      <c r="M78" s="646" t="str">
        <f t="shared" si="13"/>
        <v>yes</v>
      </c>
      <c r="N78" s="647" t="str">
        <f t="shared" si="13"/>
        <v>yes</v>
      </c>
      <c r="O78" s="365"/>
    </row>
    <row r="79" spans="1:15" x14ac:dyDescent="0.65">
      <c r="A79" s="365"/>
      <c r="B79" s="391"/>
      <c r="C79" s="366"/>
      <c r="D79" s="646"/>
      <c r="E79" s="646"/>
      <c r="F79" s="646"/>
      <c r="G79" s="646"/>
      <c r="H79" s="646"/>
      <c r="I79" s="646"/>
      <c r="J79" s="646"/>
      <c r="K79" s="646"/>
      <c r="L79" s="646"/>
      <c r="M79" s="646"/>
      <c r="N79" s="647"/>
      <c r="O79" s="365"/>
    </row>
    <row r="80" spans="1:15" x14ac:dyDescent="0.65">
      <c r="A80" s="365"/>
      <c r="B80" s="409" t="s">
        <v>206</v>
      </c>
      <c r="C80" s="366"/>
      <c r="D80" s="366"/>
      <c r="E80" s="366"/>
      <c r="F80" s="366"/>
      <c r="G80" s="366"/>
      <c r="H80" s="366"/>
      <c r="I80" s="366"/>
      <c r="J80" s="366"/>
      <c r="K80" s="366"/>
      <c r="L80" s="366"/>
      <c r="M80" s="366"/>
      <c r="N80" s="393"/>
      <c r="O80" s="365"/>
    </row>
    <row r="81" spans="1:15" x14ac:dyDescent="0.65">
      <c r="A81" s="365"/>
      <c r="B81" s="391" t="s">
        <v>517</v>
      </c>
      <c r="C81" s="366"/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93"/>
      <c r="O81" s="365"/>
    </row>
    <row r="82" spans="1:15" x14ac:dyDescent="0.65">
      <c r="A82" s="365"/>
      <c r="B82" s="648" t="str">
        <f>'Assumptions-Land&amp;Infrastructure'!$I$19</f>
        <v>Partnership Gross Income</v>
      </c>
      <c r="C82" s="366"/>
      <c r="D82" s="646">
        <f>IF(D$8&gt;YEAR(PhaseIIIComplete),'Assumptions-Land&amp;Infrastructure'!$L$19,0)</f>
        <v>0</v>
      </c>
      <c r="E82" s="646">
        <f>IF(E$8&gt;YEAR(PhaseIIIComplete),'Assumptions-Land&amp;Infrastructure'!$L$19,0)</f>
        <v>0</v>
      </c>
      <c r="F82" s="646">
        <f>IF(F$8&gt;YEAR(PhaseIIIComplete),'Assumptions-Land&amp;Infrastructure'!$L$19,0)</f>
        <v>0</v>
      </c>
      <c r="G82" s="646">
        <f>IF(G$8&gt;YEAR(PhaseIIIComplete),'Assumptions-Land&amp;Infrastructure'!$L$19,0)</f>
        <v>0</v>
      </c>
      <c r="H82" s="646">
        <f>IF(H$8&gt;YEAR(PhaseIIIComplete),'Assumptions-Land&amp;Infrastructure'!$L$19,0)</f>
        <v>0</v>
      </c>
      <c r="I82" s="646">
        <f>IF(I$8&gt;YEAR(PhaseIIIComplete),'Assumptions-Land&amp;Infrastructure'!$L$19,0)</f>
        <v>0</v>
      </c>
      <c r="J82" s="646">
        <f>IF(J$8&gt;YEAR(PhaseIIIComplete),'Assumptions-Land&amp;Infrastructure'!$L$19,0)</f>
        <v>0</v>
      </c>
      <c r="K82" s="646">
        <f>IF(K$8&gt;YEAR(PhaseIIIComplete),'Assumptions-Land&amp;Infrastructure'!$L$19,0)</f>
        <v>0</v>
      </c>
      <c r="L82" s="646">
        <f>IF(L$8&gt;YEAR(PhaseIIIComplete),'Assumptions-Land&amp;Infrastructure'!$L$19,0)</f>
        <v>0</v>
      </c>
      <c r="M82" s="646">
        <f>IF(M$8&gt;YEAR(PhaseIIIComplete),'Assumptions-Land&amp;Infrastructure'!$L$19,0)</f>
        <v>0</v>
      </c>
      <c r="N82" s="647">
        <f>N16</f>
        <v>14668932.462858764</v>
      </c>
      <c r="O82" s="365"/>
    </row>
    <row r="83" spans="1:15" x14ac:dyDescent="0.65">
      <c r="A83" s="365"/>
      <c r="B83" s="391"/>
      <c r="C83" s="366"/>
      <c r="D83" s="446"/>
      <c r="E83" s="446"/>
      <c r="F83" s="446"/>
      <c r="G83" s="446"/>
      <c r="H83" s="446"/>
      <c r="I83" s="446"/>
      <c r="J83" s="446"/>
      <c r="K83" s="446"/>
      <c r="L83" s="446"/>
      <c r="M83" s="446"/>
      <c r="N83" s="450"/>
      <c r="O83" s="365"/>
    </row>
    <row r="84" spans="1:15" x14ac:dyDescent="0.65">
      <c r="A84" s="365"/>
      <c r="B84" s="409" t="s">
        <v>541</v>
      </c>
      <c r="C84" s="366"/>
      <c r="D84" s="366"/>
      <c r="E84" s="366"/>
      <c r="F84" s="366"/>
      <c r="G84" s="366"/>
      <c r="H84" s="366"/>
      <c r="I84" s="366"/>
      <c r="J84" s="366"/>
      <c r="K84" s="366"/>
      <c r="L84" s="366"/>
      <c r="M84" s="366"/>
      <c r="N84" s="393"/>
      <c r="O84" s="365"/>
    </row>
    <row r="85" spans="1:15" x14ac:dyDescent="0.65">
      <c r="A85" s="365"/>
      <c r="B85" s="464" t="str">
        <f>'Assumptions-Land&amp;Infrastructure'!$I$27</f>
        <v>Food &amp; Beverage</v>
      </c>
      <c r="C85" s="366"/>
      <c r="D85" s="446">
        <f>IF(D$8&gt;=YEAR(PhaseIIIComplete),'Assumptions-Land&amp;Infrastructure'!$J$23*'Assumptions-Land&amp;Infrastructure'!$L$19*'Assumptions-Land&amp;Infrastructure'!$J$27,0)</f>
        <v>0</v>
      </c>
      <c r="E85" s="446">
        <f>IF(E$8&gt;=YEAR(PhaseIIIComplete),'Assumptions-Land&amp;Infrastructure'!$J$23*'Assumptions-Land&amp;Infrastructure'!$L$19*'Assumptions-Land&amp;Infrastructure'!$J$27,0)</f>
        <v>0</v>
      </c>
      <c r="F85" s="446">
        <f>IF(F$8&gt;=YEAR(PhaseIIIComplete),'Assumptions-Land&amp;Infrastructure'!$J$23*'Assumptions-Land&amp;Infrastructure'!$L$19*'Assumptions-Land&amp;Infrastructure'!$J$27,0)</f>
        <v>0</v>
      </c>
      <c r="G85" s="446">
        <f>IF(G$8&gt;=YEAR(PhaseIIIComplete),'Assumptions-Land&amp;Infrastructure'!$J$23*'Assumptions-Land&amp;Infrastructure'!$L$19*'Assumptions-Land&amp;Infrastructure'!$J$27,0)</f>
        <v>0</v>
      </c>
      <c r="H85" s="446">
        <f>IF(H$8&gt;=YEAR(PhaseIIIComplete),'Assumptions-Land&amp;Infrastructure'!$J$23*'Assumptions-Land&amp;Infrastructure'!$L$19*'Assumptions-Land&amp;Infrastructure'!$J$27,0)</f>
        <v>0</v>
      </c>
      <c r="I85" s="446">
        <f>IF(I$8&gt;=YEAR(PhaseIIIComplete),'Assumptions-Land&amp;Infrastructure'!$J$23*'Assumptions-Land&amp;Infrastructure'!$L$19*'Assumptions-Land&amp;Infrastructure'!$J$27,0)</f>
        <v>0</v>
      </c>
      <c r="J85" s="446">
        <f>IF(J$8&gt;=YEAR(PhaseIIIComplete),'Assumptions-Land&amp;Infrastructure'!$J$23*'Assumptions-Land&amp;Infrastructure'!$L$19*'Assumptions-Land&amp;Infrastructure'!$J$27,0)</f>
        <v>0</v>
      </c>
      <c r="K85" s="446">
        <f>IF(K$8&gt;=YEAR(PhaseIIIComplete),'Assumptions-Land&amp;Infrastructure'!$J$23*'Assumptions-Land&amp;Infrastructure'!$L$19*'Assumptions-Land&amp;Infrastructure'!$J$27,0)</f>
        <v>0</v>
      </c>
      <c r="L85" s="446">
        <f>IF(L$8&gt;=YEAR(PhaseIIIComplete),'Assumptions-Land&amp;Infrastructure'!$J$23*'Assumptions-Land&amp;Infrastructure'!$L$19*'Assumptions-Land&amp;Infrastructure'!$J$27,0)</f>
        <v>0</v>
      </c>
      <c r="M85" s="446">
        <f>IF(M$8&gt;=YEAR(PhaseIIIComplete),'Assumptions-Land&amp;Infrastructure'!$J$23*'Assumptions-Land&amp;Infrastructure'!$L$19*'Assumptions-Land&amp;Infrastructure'!$J$27,0)</f>
        <v>1105650</v>
      </c>
      <c r="N85" s="450">
        <f>IF(N$8&gt;=YEAR(PhaseIIIComplete),'Assumptions-Land&amp;Infrastructure'!$J$23*'Assumptions-Land&amp;Infrastructure'!$L$19*'Assumptions-Land&amp;Infrastructure'!$J$27,0)</f>
        <v>1105650</v>
      </c>
      <c r="O85" s="365"/>
    </row>
    <row r="86" spans="1:15" x14ac:dyDescent="0.65">
      <c r="A86" s="365"/>
      <c r="B86" s="464" t="str">
        <f>'Assumptions-Land&amp;Infrastructure'!$I$28</f>
        <v>Other Departments (including photos)</v>
      </c>
      <c r="C86" s="366"/>
      <c r="D86" s="446">
        <f>IF(D$8&gt;=YEAR(PhaseIIIComplete),'Assumptions-Land&amp;Infrastructure'!$J$23*'Assumptions-Land&amp;Infrastructure'!$L$19*'Assumptions-Land&amp;Infrastructure'!$J$27,0)</f>
        <v>0</v>
      </c>
      <c r="E86" s="446">
        <f>IF(E$8&gt;=YEAR(PhaseIIIComplete),'Assumptions-Land&amp;Infrastructure'!$J$23*'Assumptions-Land&amp;Infrastructure'!$L$19*'Assumptions-Land&amp;Infrastructure'!$J$27,0)</f>
        <v>0</v>
      </c>
      <c r="F86" s="446">
        <f>IF(F$8&gt;=YEAR(PhaseIIIComplete),'Assumptions-Land&amp;Infrastructure'!$J$23*'Assumptions-Land&amp;Infrastructure'!$L$19*'Assumptions-Land&amp;Infrastructure'!$J$27,0)</f>
        <v>0</v>
      </c>
      <c r="G86" s="446">
        <f>IF(G$8&gt;=YEAR(PhaseIIIComplete),'Assumptions-Land&amp;Infrastructure'!$J$23*'Assumptions-Land&amp;Infrastructure'!$L$19*'Assumptions-Land&amp;Infrastructure'!$J$27,0)</f>
        <v>0</v>
      </c>
      <c r="H86" s="446">
        <f>IF(H$8&gt;=YEAR(PhaseIIIComplete),'Assumptions-Land&amp;Infrastructure'!$J$23*'Assumptions-Land&amp;Infrastructure'!$L$19*'Assumptions-Land&amp;Infrastructure'!$J$27,0)</f>
        <v>0</v>
      </c>
      <c r="I86" s="446">
        <f>IF(I$8&gt;=YEAR(PhaseIIIComplete),'Assumptions-Land&amp;Infrastructure'!$J$23*'Assumptions-Land&amp;Infrastructure'!$L$19*'Assumptions-Land&amp;Infrastructure'!$J$27,0)</f>
        <v>0</v>
      </c>
      <c r="J86" s="446">
        <f>IF(J$8&gt;=YEAR(PhaseIIIComplete),'Assumptions-Land&amp;Infrastructure'!$J$23*'Assumptions-Land&amp;Infrastructure'!$L$19*'Assumptions-Land&amp;Infrastructure'!$J$27,0)</f>
        <v>0</v>
      </c>
      <c r="K86" s="446">
        <f>IF(K$8&gt;=YEAR(PhaseIIIComplete),'Assumptions-Land&amp;Infrastructure'!$J$23*'Assumptions-Land&amp;Infrastructure'!$L$19*'Assumptions-Land&amp;Infrastructure'!$J$27,0)</f>
        <v>0</v>
      </c>
      <c r="L86" s="446">
        <f>IF(L$8&gt;=YEAR(PhaseIIIComplete),'Assumptions-Land&amp;Infrastructure'!$J$23*'Assumptions-Land&amp;Infrastructure'!$L$19*'Assumptions-Land&amp;Infrastructure'!$J$27,0)</f>
        <v>0</v>
      </c>
      <c r="M86" s="446">
        <f>IF(M$8&gt;=YEAR(PhaseIIIComplete),'Assumptions-Land&amp;Infrastructure'!$J$23*'Assumptions-Land&amp;Infrastructure'!$L$19*'Assumptions-Land&amp;Infrastructure'!$J$27,0)</f>
        <v>1105650</v>
      </c>
      <c r="N86" s="450">
        <f>IF(N$8&gt;=YEAR(PhaseIIIComplete),'Assumptions-Land&amp;Infrastructure'!$J$23*'Assumptions-Land&amp;Infrastructure'!$L$19*'Assumptions-Land&amp;Infrastructure'!$J$27,0)</f>
        <v>1105650</v>
      </c>
      <c r="O86" s="365"/>
    </row>
    <row r="87" spans="1:15" x14ac:dyDescent="0.65">
      <c r="A87" s="365"/>
      <c r="B87" s="391" t="s">
        <v>245</v>
      </c>
      <c r="C87" s="366"/>
      <c r="D87" s="446">
        <f t="shared" ref="D87:N87" si="14">SUM(D85:D86)</f>
        <v>0</v>
      </c>
      <c r="E87" s="446">
        <f t="shared" si="14"/>
        <v>0</v>
      </c>
      <c r="F87" s="446">
        <f t="shared" si="14"/>
        <v>0</v>
      </c>
      <c r="G87" s="446">
        <f t="shared" si="14"/>
        <v>0</v>
      </c>
      <c r="H87" s="446">
        <f t="shared" si="14"/>
        <v>0</v>
      </c>
      <c r="I87" s="446">
        <f t="shared" si="14"/>
        <v>0</v>
      </c>
      <c r="J87" s="446">
        <f t="shared" si="14"/>
        <v>0</v>
      </c>
      <c r="K87" s="446">
        <f t="shared" si="14"/>
        <v>0</v>
      </c>
      <c r="L87" s="446">
        <f t="shared" si="14"/>
        <v>0</v>
      </c>
      <c r="M87" s="446">
        <f t="shared" si="14"/>
        <v>2211300</v>
      </c>
      <c r="N87" s="450">
        <f t="shared" si="14"/>
        <v>2211300</v>
      </c>
      <c r="O87" s="365"/>
    </row>
    <row r="88" spans="1:15" x14ac:dyDescent="0.65">
      <c r="A88" s="365"/>
      <c r="B88" s="391"/>
      <c r="C88" s="366"/>
      <c r="D88" s="446"/>
      <c r="E88" s="446"/>
      <c r="F88" s="446"/>
      <c r="G88" s="446"/>
      <c r="H88" s="446"/>
      <c r="I88" s="446"/>
      <c r="J88" s="446"/>
      <c r="K88" s="446"/>
      <c r="L88" s="446"/>
      <c r="M88" s="446"/>
      <c r="N88" s="450"/>
      <c r="O88" s="365"/>
    </row>
    <row r="89" spans="1:15" x14ac:dyDescent="0.65">
      <c r="A89" s="365"/>
      <c r="B89" s="391" t="s">
        <v>128</v>
      </c>
      <c r="C89" s="366"/>
      <c r="D89" s="446"/>
      <c r="E89" s="446"/>
      <c r="F89" s="446"/>
      <c r="G89" s="446"/>
      <c r="H89" s="446"/>
      <c r="I89" s="446"/>
      <c r="J89" s="446"/>
      <c r="K89" s="446"/>
      <c r="L89" s="446"/>
      <c r="M89" s="446"/>
      <c r="N89" s="450"/>
      <c r="O89" s="365"/>
    </row>
    <row r="90" spans="1:15" x14ac:dyDescent="0.65">
      <c r="A90" s="365"/>
      <c r="B90" s="464" t="s">
        <v>563</v>
      </c>
      <c r="C90" s="366"/>
      <c r="D90" s="446">
        <f>IF(D$8&gt;=YEAR(PhaseIIIComplete),'Assumptions-Land&amp;Infrastructure'!$J$31*'Assumptions-Land&amp;Infrastructure'!$D$26,0)</f>
        <v>0</v>
      </c>
      <c r="E90" s="446">
        <f>IF(E$8&gt;=YEAR(PhaseIIIComplete),'Assumptions-Land&amp;Infrastructure'!$J$31*'Assumptions-Land&amp;Infrastructure'!$D$26,0)</f>
        <v>0</v>
      </c>
      <c r="F90" s="446">
        <f>IF(F$8&gt;=YEAR(PhaseIIIComplete),'Assumptions-Land&amp;Infrastructure'!$J$31*'Assumptions-Land&amp;Infrastructure'!$D$26,0)</f>
        <v>0</v>
      </c>
      <c r="G90" s="446">
        <f>IF(G$8&gt;=YEAR(PhaseIIIComplete),'Assumptions-Land&amp;Infrastructure'!$J$31*'Assumptions-Land&amp;Infrastructure'!$D$26,0)</f>
        <v>0</v>
      </c>
      <c r="H90" s="446">
        <f>IF(H$8&gt;=YEAR(PhaseIIIComplete),'Assumptions-Land&amp;Infrastructure'!$J$31*'Assumptions-Land&amp;Infrastructure'!$D$26,0)</f>
        <v>0</v>
      </c>
      <c r="I90" s="446">
        <f>IF(I$8&gt;=YEAR(PhaseIIIComplete),'Assumptions-Land&amp;Infrastructure'!$J$31*'Assumptions-Land&amp;Infrastructure'!$D$26,0)</f>
        <v>0</v>
      </c>
      <c r="J90" s="446">
        <f>IF(J$8&gt;=YEAR(PhaseIIIComplete),'Assumptions-Land&amp;Infrastructure'!$J$31*'Assumptions-Land&amp;Infrastructure'!$D$26,0)</f>
        <v>0</v>
      </c>
      <c r="K90" s="446">
        <f>IF(K$8&gt;=YEAR(PhaseIIIComplete),'Assumptions-Land&amp;Infrastructure'!$J$31*'Assumptions-Land&amp;Infrastructure'!$D$26,0)</f>
        <v>0</v>
      </c>
      <c r="L90" s="446">
        <f>IF(L$8&gt;=YEAR(PhaseIIIComplete),'Assumptions-Land&amp;Infrastructure'!$J$31*'Assumptions-Land&amp;Infrastructure'!$D$26,0)</f>
        <v>0</v>
      </c>
      <c r="M90" s="446">
        <f>IF(M$8&gt;=YEAR(PhaseIIIComplete),'Assumptions-Land&amp;Infrastructure'!$J$31*'Assumptions-Land&amp;Infrastructure'!$D$26,0)</f>
        <v>14560</v>
      </c>
      <c r="N90" s="450">
        <f>IF(N$8&gt;=YEAR(PhaseIIIComplete),'Assumptions-Land&amp;Infrastructure'!$J$31*'Assumptions-Land&amp;Infrastructure'!$D$26,0)</f>
        <v>14560</v>
      </c>
      <c r="O90" s="365"/>
    </row>
    <row r="91" spans="1:15" x14ac:dyDescent="0.65">
      <c r="A91" s="365"/>
      <c r="B91" s="391"/>
      <c r="C91" s="366"/>
      <c r="D91" s="446"/>
      <c r="E91" s="446"/>
      <c r="F91" s="446"/>
      <c r="G91" s="446"/>
      <c r="H91" s="446"/>
      <c r="I91" s="446"/>
      <c r="J91" s="446"/>
      <c r="K91" s="446"/>
      <c r="L91" s="446"/>
      <c r="M91" s="446"/>
      <c r="N91" s="450"/>
      <c r="O91" s="365"/>
    </row>
    <row r="92" spans="1:15" x14ac:dyDescent="0.65">
      <c r="A92" s="365"/>
      <c r="B92" s="391" t="s">
        <v>189</v>
      </c>
      <c r="C92" s="366"/>
      <c r="D92" s="446">
        <f>IF(D$8&gt;=YEAR(PhaseIIIComplete),'Assumptions-Land&amp;Infrastructure'!$J$34*'Assumptions-Land&amp;Infrastructure'!$L$19,0)</f>
        <v>0</v>
      </c>
      <c r="E92" s="446">
        <f>IF(E$8&gt;=YEAR(PhaseIIIComplete),'Assumptions-Land&amp;Infrastructure'!$J$34*'Assumptions-Land&amp;Infrastructure'!$L$19,0)</f>
        <v>0</v>
      </c>
      <c r="F92" s="446">
        <f>IF(F$8&gt;=YEAR(PhaseIIIComplete),'Assumptions-Land&amp;Infrastructure'!$J$34*'Assumptions-Land&amp;Infrastructure'!$L$19,0)</f>
        <v>0</v>
      </c>
      <c r="G92" s="446">
        <f>IF(G$8&gt;=YEAR(PhaseIIIComplete),'Assumptions-Land&amp;Infrastructure'!$J$34*'Assumptions-Land&amp;Infrastructure'!$L$19,0)</f>
        <v>0</v>
      </c>
      <c r="H92" s="446">
        <f>IF(H$8&gt;=YEAR(PhaseIIIComplete),'Assumptions-Land&amp;Infrastructure'!$J$34*'Assumptions-Land&amp;Infrastructure'!$L$19,0)</f>
        <v>0</v>
      </c>
      <c r="I92" s="446">
        <f>IF(I$8&gt;=YEAR(PhaseIIIComplete),'Assumptions-Land&amp;Infrastructure'!$J$34*'Assumptions-Land&amp;Infrastructure'!$L$19,0)</f>
        <v>0</v>
      </c>
      <c r="J92" s="446">
        <f>IF(J$8&gt;=YEAR(PhaseIIIComplete),'Assumptions-Land&amp;Infrastructure'!$J$34*'Assumptions-Land&amp;Infrastructure'!$L$19,0)</f>
        <v>0</v>
      </c>
      <c r="K92" s="446">
        <f>IF(K$8&gt;=YEAR(PhaseIIIComplete),'Assumptions-Land&amp;Infrastructure'!$J$34*'Assumptions-Land&amp;Infrastructure'!$L$19,0)</f>
        <v>0</v>
      </c>
      <c r="L92" s="446">
        <f>IF(L$8&gt;=YEAR(PhaseIIIComplete),'Assumptions-Land&amp;Infrastructure'!$J$34*'Assumptions-Land&amp;Infrastructure'!$L$19,0)</f>
        <v>0</v>
      </c>
      <c r="M92" s="446">
        <f>IF(M$8&gt;=YEAR(PhaseIIIComplete),'Assumptions-Land&amp;Infrastructure'!$J$34*'Assumptions-Land&amp;Infrastructure'!$L$19,0)</f>
        <v>368550</v>
      </c>
      <c r="N92" s="450">
        <f>IF(N$8&gt;=YEAR(PhaseIIIComplete),'Assumptions-Land&amp;Infrastructure'!$J$34*'Assumptions-Land&amp;Infrastructure'!$L$19,0)</f>
        <v>368550</v>
      </c>
      <c r="O92" s="365"/>
    </row>
    <row r="93" spans="1:15" x14ac:dyDescent="0.65">
      <c r="A93" s="365"/>
      <c r="B93" s="391"/>
      <c r="C93" s="366"/>
      <c r="D93" s="446"/>
      <c r="E93" s="446"/>
      <c r="F93" s="446"/>
      <c r="G93" s="446"/>
      <c r="H93" s="446"/>
      <c r="I93" s="446"/>
      <c r="J93" s="446"/>
      <c r="K93" s="446"/>
      <c r="L93" s="446"/>
      <c r="M93" s="446"/>
      <c r="N93" s="450"/>
      <c r="O93" s="365"/>
    </row>
    <row r="94" spans="1:15" x14ac:dyDescent="0.65">
      <c r="A94" s="365"/>
      <c r="B94" s="391" t="s">
        <v>209</v>
      </c>
      <c r="C94" s="366"/>
      <c r="D94" s="649">
        <f>D$16+D$21-D$24-D$26</f>
        <v>0</v>
      </c>
      <c r="E94" s="649">
        <f t="shared" ref="E94:F94" si="15">E$16+E$21-E$24-E$26</f>
        <v>0</v>
      </c>
      <c r="F94" s="649">
        <f t="shared" si="15"/>
        <v>0</v>
      </c>
      <c r="G94" s="649">
        <f>0</f>
        <v>0</v>
      </c>
      <c r="H94" s="649">
        <f t="shared" ref="H94:N94" si="16">H$87+H$82-H$90-H$92</f>
        <v>0</v>
      </c>
      <c r="I94" s="649">
        <f t="shared" si="16"/>
        <v>0</v>
      </c>
      <c r="J94" s="649">
        <f t="shared" si="16"/>
        <v>0</v>
      </c>
      <c r="K94" s="649">
        <f t="shared" si="16"/>
        <v>0</v>
      </c>
      <c r="L94" s="649">
        <f t="shared" si="16"/>
        <v>0</v>
      </c>
      <c r="M94" s="649">
        <f t="shared" si="16"/>
        <v>1828190</v>
      </c>
      <c r="N94" s="655">
        <f t="shared" si="16"/>
        <v>16497122.462858766</v>
      </c>
      <c r="O94" s="365"/>
    </row>
    <row r="95" spans="1:15" x14ac:dyDescent="0.65">
      <c r="A95" s="365"/>
      <c r="B95" s="391"/>
      <c r="C95" s="366"/>
      <c r="D95" s="446"/>
      <c r="E95" s="446"/>
      <c r="F95" s="446"/>
      <c r="G95" s="446"/>
      <c r="H95" s="446"/>
      <c r="I95" s="446"/>
      <c r="J95" s="446"/>
      <c r="K95" s="446"/>
      <c r="L95" s="446"/>
      <c r="M95" s="446"/>
      <c r="N95" s="650"/>
      <c r="O95" s="365"/>
    </row>
    <row r="96" spans="1:15" x14ac:dyDescent="0.65">
      <c r="A96" s="365"/>
      <c r="B96" s="391"/>
      <c r="C96" s="366"/>
      <c r="D96" s="446"/>
      <c r="E96" s="446"/>
      <c r="F96" s="446"/>
      <c r="G96" s="446"/>
      <c r="H96" s="446"/>
      <c r="I96" s="446"/>
      <c r="J96" s="446"/>
      <c r="K96" s="446"/>
      <c r="L96" s="446"/>
      <c r="M96" s="446"/>
      <c r="N96" s="450"/>
      <c r="O96" s="365"/>
    </row>
    <row r="97" spans="1:15" x14ac:dyDescent="0.65">
      <c r="A97" s="365"/>
      <c r="B97" s="409" t="s">
        <v>130</v>
      </c>
      <c r="C97" s="366"/>
      <c r="D97" s="446"/>
      <c r="E97" s="446"/>
      <c r="F97" s="446"/>
      <c r="G97" s="446"/>
      <c r="H97" s="446"/>
      <c r="I97" s="446"/>
      <c r="J97" s="446"/>
      <c r="K97" s="446"/>
      <c r="L97" s="446"/>
      <c r="M97" s="446"/>
      <c r="N97" s="450"/>
      <c r="O97" s="365"/>
    </row>
    <row r="98" spans="1:15" hidden="1" x14ac:dyDescent="0.65">
      <c r="A98" s="365"/>
      <c r="B98" s="391"/>
      <c r="C98" s="366"/>
      <c r="D98" s="446"/>
      <c r="E98" s="446"/>
      <c r="F98" s="446"/>
      <c r="G98" s="446"/>
      <c r="H98" s="446"/>
      <c r="I98" s="446"/>
      <c r="J98" s="446"/>
      <c r="K98" s="446"/>
      <c r="L98" s="446"/>
      <c r="M98" s="446"/>
      <c r="N98" s="450"/>
      <c r="O98" s="365"/>
    </row>
    <row r="99" spans="1:15" x14ac:dyDescent="0.65">
      <c r="A99" s="365"/>
      <c r="B99" s="391" t="s">
        <v>212</v>
      </c>
      <c r="C99" s="366"/>
      <c r="D99" s="446">
        <f>IF(D$8&gt;=YEAR(PhaseIIIConBegin)*AND(D$8&lt;=YEAR(PhaseIIIConEnd)),'Assumptions-Land&amp;Infrastructure'!$G$27/4,0)</f>
        <v>0</v>
      </c>
      <c r="E99" s="446">
        <f>IF(E$8&gt;=YEAR(PhaseIIIConBegin)*AND(E$8&lt;=YEAR(PhaseIIIConEnd)),'Assumptions-Land&amp;Infrastructure'!$G$27/4,0)</f>
        <v>0</v>
      </c>
      <c r="F99" s="446">
        <f>IF(F$8&gt;=YEAR(PhaseIIIConBegin)*AND(F$8&lt;=YEAR(PhaseIIIConEnd)),'Assumptions-Land&amp;Infrastructure'!$G$27/4,0)</f>
        <v>0</v>
      </c>
      <c r="G99" s="446">
        <f>IF(G$8&gt;=YEAR(PhaseIIIConBegin)*AND(G$8&lt;=YEAR(PhaseIIIConEnd)),'Assumptions-Land&amp;Infrastructure'!$G$27/4,0)</f>
        <v>0</v>
      </c>
      <c r="H99" s="446">
        <f>IF(H$8&gt;=YEAR(PhaseIIIConBegin)*AND(H$8&lt;=YEAR(PhaseIIIConEnd)),'Assumptions-Land&amp;Infrastructure'!$G$27/4,0)</f>
        <v>0</v>
      </c>
      <c r="I99" s="446">
        <f>IF(I$8&gt;=YEAR(PhaseIIIConBegin)*AND(I$8&lt;=YEAR(PhaseIIIConEnd)),'Assumptions-Land&amp;Infrastructure'!$G$27/4,0)</f>
        <v>0</v>
      </c>
      <c r="J99" s="446">
        <f>IF(J$8&gt;=YEAR(PhaseIIIConBegin)*AND(J$8&lt;=YEAR(PhaseIIIConEnd)),'Assumptions-Land&amp;Infrastructure'!$G$27/4,0)</f>
        <v>0</v>
      </c>
      <c r="K99" s="446">
        <f>IF(K$8&gt;=YEAR(PhaseIIIConBegin)*AND(K$8&lt;=YEAR(PhaseIIIConEnd)),'Assumptions-Land&amp;Infrastructure'!$G$27/4,0)</f>
        <v>2162556</v>
      </c>
      <c r="L99" s="446">
        <f>IF(L$8&gt;=YEAR(PhaseIIIConBegin)*AND(L$8&lt;=YEAR(PhaseIIIConEnd)),'Assumptions-Land&amp;Infrastructure'!$G$27/4,0)</f>
        <v>2162556</v>
      </c>
      <c r="M99" s="446">
        <f>IF(M$8&gt;=YEAR(PhaseIIIConBegin)*AND(M$8&lt;=YEAR(PhaseIIIConEnd)),'Assumptions-Land&amp;Infrastructure'!$G$27/4,0)</f>
        <v>2162556</v>
      </c>
      <c r="N99" s="450"/>
      <c r="O99" s="365"/>
    </row>
    <row r="100" spans="1:15" x14ac:dyDescent="0.65">
      <c r="A100" s="365"/>
      <c r="B100" s="391"/>
      <c r="C100" s="366"/>
      <c r="D100" s="446"/>
      <c r="E100" s="446"/>
      <c r="F100" s="446"/>
      <c r="G100" s="446"/>
      <c r="H100" s="446"/>
      <c r="I100" s="446"/>
      <c r="J100" s="446"/>
      <c r="K100" s="446"/>
      <c r="L100" s="446"/>
      <c r="M100" s="446"/>
      <c r="N100" s="450"/>
      <c r="O100" s="365"/>
    </row>
    <row r="101" spans="1:15" x14ac:dyDescent="0.65">
      <c r="A101" s="365"/>
      <c r="B101" s="409" t="s">
        <v>213</v>
      </c>
      <c r="C101" s="366"/>
      <c r="D101" s="446"/>
      <c r="E101" s="446"/>
      <c r="F101" s="446"/>
      <c r="G101" s="446"/>
      <c r="H101" s="446"/>
      <c r="I101" s="446"/>
      <c r="J101" s="446"/>
      <c r="K101" s="446"/>
      <c r="L101" s="446"/>
      <c r="M101" s="446"/>
      <c r="N101" s="450"/>
      <c r="O101" s="365"/>
    </row>
    <row r="102" spans="1:15" x14ac:dyDescent="0.65">
      <c r="A102" s="365"/>
      <c r="B102" s="391" t="s">
        <v>215</v>
      </c>
      <c r="C102" s="366"/>
      <c r="D102" s="446">
        <f>(D$8=YEAR('Assumptions-Overall'!$C$30))*E94/'Assumptions-Overall'!$V$22</f>
        <v>0</v>
      </c>
      <c r="E102" s="446">
        <f>(E$8=YEAR('Assumptions-Overall'!$C$30))*F94/'Assumptions-Overall'!$V$22</f>
        <v>0</v>
      </c>
      <c r="F102" s="446">
        <f>(F$8=YEAR('Assumptions-Overall'!$C$30))*G94/'Assumptions-Overall'!$V$22</f>
        <v>0</v>
      </c>
      <c r="G102" s="446">
        <f>(G$8=YEAR('Assumptions-Overall'!$C$30))*H94/'Assumptions-Overall'!$V$22</f>
        <v>0</v>
      </c>
      <c r="H102" s="446">
        <f>(H$8=YEAR('Assumptions-Overall'!$C$30))*I94/'Assumptions-Overall'!$V$22</f>
        <v>0</v>
      </c>
      <c r="I102" s="446">
        <f>(I$8=YEAR('Assumptions-Overall'!$C$30))*J94/'Assumptions-Overall'!$V$22</f>
        <v>0</v>
      </c>
      <c r="J102" s="446">
        <f>(J$8=YEAR('Assumptions-Overall'!$C$30))*K94/'Assumptions-Overall'!$V$22</f>
        <v>0</v>
      </c>
      <c r="K102" s="446">
        <f>(K$8=YEAR('Assumptions-Overall'!$C$30))*L94/'Assumptions-Overall'!$V$22</f>
        <v>0</v>
      </c>
      <c r="L102" s="446">
        <f>(L$8=YEAR('Assumptions-Overall'!$C$30))*M94/'Assumptions-Overall'!$V$22</f>
        <v>0</v>
      </c>
      <c r="M102" s="446">
        <f>(M$8=YEAR('Assumptions-Overall'!$C$30))*N94/'Assumptions-Overall'!$V$22</f>
        <v>185883070.00404245</v>
      </c>
      <c r="N102" s="450"/>
      <c r="O102" s="365"/>
    </row>
    <row r="103" spans="1:15" x14ac:dyDescent="0.65">
      <c r="A103" s="365"/>
      <c r="B103" s="391" t="s">
        <v>216</v>
      </c>
      <c r="C103" s="366"/>
      <c r="D103" s="465">
        <f>-D102*'Assumptions-Overall'!$R$27</f>
        <v>0</v>
      </c>
      <c r="E103" s="465">
        <f>-E102*'Assumptions-Overall'!$R$27</f>
        <v>0</v>
      </c>
      <c r="F103" s="465">
        <f>-F102*'Assumptions-Overall'!$R$27</f>
        <v>0</v>
      </c>
      <c r="G103" s="465">
        <f>-G102*'Assumptions-Overall'!$R$27</f>
        <v>0</v>
      </c>
      <c r="H103" s="465">
        <f>-H102*'Assumptions-Overall'!$R$27</f>
        <v>0</v>
      </c>
      <c r="I103" s="465">
        <f>-I102*'Assumptions-Overall'!$R$27</f>
        <v>0</v>
      </c>
      <c r="J103" s="465">
        <f>-J102*'Assumptions-Overall'!$R$27</f>
        <v>0</v>
      </c>
      <c r="K103" s="465">
        <f>-K102*'Assumptions-Overall'!$R$27</f>
        <v>0</v>
      </c>
      <c r="L103" s="465">
        <f>-L102*'Assumptions-Overall'!$R$27</f>
        <v>0</v>
      </c>
      <c r="M103" s="465">
        <f>-M102*'Assumptions-Overall'!$R$27</f>
        <v>-3717661.400080849</v>
      </c>
      <c r="N103" s="450"/>
      <c r="O103" s="365"/>
    </row>
    <row r="104" spans="1:15" x14ac:dyDescent="0.65">
      <c r="A104" s="365"/>
      <c r="B104" s="391" t="s">
        <v>217</v>
      </c>
      <c r="C104" s="366"/>
      <c r="D104" s="446">
        <f>SUM(D102:D103)</f>
        <v>0</v>
      </c>
      <c r="E104" s="446">
        <f t="shared" ref="E104:M104" si="17">SUM(E102:E103)</f>
        <v>0</v>
      </c>
      <c r="F104" s="446">
        <f t="shared" si="17"/>
        <v>0</v>
      </c>
      <c r="G104" s="446">
        <f t="shared" si="17"/>
        <v>0</v>
      </c>
      <c r="H104" s="446">
        <f t="shared" si="17"/>
        <v>0</v>
      </c>
      <c r="I104" s="446">
        <f t="shared" si="17"/>
        <v>0</v>
      </c>
      <c r="J104" s="446">
        <f t="shared" si="17"/>
        <v>0</v>
      </c>
      <c r="K104" s="446">
        <f t="shared" si="17"/>
        <v>0</v>
      </c>
      <c r="L104" s="446">
        <f t="shared" si="17"/>
        <v>0</v>
      </c>
      <c r="M104" s="446">
        <f t="shared" si="17"/>
        <v>182165408.60396159</v>
      </c>
      <c r="N104" s="450"/>
      <c r="O104" s="365"/>
    </row>
    <row r="105" spans="1:15" x14ac:dyDescent="0.65">
      <c r="A105" s="365"/>
      <c r="B105" s="391"/>
      <c r="C105" s="366"/>
      <c r="D105" s="446"/>
      <c r="E105" s="446"/>
      <c r="F105" s="446"/>
      <c r="G105" s="446"/>
      <c r="H105" s="446"/>
      <c r="I105" s="446"/>
      <c r="J105" s="446"/>
      <c r="K105" s="446"/>
      <c r="L105" s="446"/>
      <c r="M105" s="446"/>
      <c r="N105" s="450"/>
      <c r="O105" s="365"/>
    </row>
    <row r="106" spans="1:15" x14ac:dyDescent="0.65">
      <c r="A106" s="365"/>
      <c r="B106" s="391" t="s">
        <v>214</v>
      </c>
      <c r="C106" s="366"/>
      <c r="D106" s="446">
        <f>D94-D99+D104</f>
        <v>0</v>
      </c>
      <c r="E106" s="446">
        <f t="shared" ref="E106:M106" si="18">E94-E99+E104</f>
        <v>0</v>
      </c>
      <c r="F106" s="446">
        <f t="shared" si="18"/>
        <v>0</v>
      </c>
      <c r="G106" s="446">
        <f t="shared" si="18"/>
        <v>0</v>
      </c>
      <c r="H106" s="446">
        <f t="shared" si="18"/>
        <v>0</v>
      </c>
      <c r="I106" s="446">
        <f t="shared" si="18"/>
        <v>0</v>
      </c>
      <c r="J106" s="446">
        <f t="shared" si="18"/>
        <v>0</v>
      </c>
      <c r="K106" s="446">
        <f t="shared" si="18"/>
        <v>-2162556</v>
      </c>
      <c r="L106" s="446">
        <f t="shared" si="18"/>
        <v>-2162556</v>
      </c>
      <c r="M106" s="446">
        <f t="shared" si="18"/>
        <v>181831042.60396159</v>
      </c>
      <c r="N106" s="450"/>
      <c r="O106" s="365"/>
    </row>
    <row r="107" spans="1:15" x14ac:dyDescent="0.65">
      <c r="A107" s="365"/>
      <c r="B107" s="391" t="s">
        <v>218</v>
      </c>
      <c r="C107" s="469">
        <f>IFERROR(IRR(D106:M106),"n/a")</f>
        <v>7.68322066333495</v>
      </c>
      <c r="D107" s="446"/>
      <c r="E107" s="446"/>
      <c r="F107" s="446"/>
      <c r="G107" s="446"/>
      <c r="H107" s="446"/>
      <c r="I107" s="446"/>
      <c r="J107" s="446"/>
      <c r="K107" s="446"/>
      <c r="L107" s="446"/>
      <c r="M107" s="446"/>
      <c r="N107" s="450"/>
      <c r="O107" s="365"/>
    </row>
    <row r="108" spans="1:15" ht="13" thickBot="1" x14ac:dyDescent="0.8">
      <c r="A108" s="365"/>
      <c r="B108" s="392"/>
      <c r="C108" s="571"/>
      <c r="D108" s="571"/>
      <c r="E108" s="571"/>
      <c r="F108" s="571"/>
      <c r="G108" s="571"/>
      <c r="H108" s="571"/>
      <c r="I108" s="571"/>
      <c r="J108" s="571"/>
      <c r="K108" s="571"/>
      <c r="L108" s="571"/>
      <c r="M108" s="571"/>
      <c r="N108" s="651"/>
      <c r="O108" s="365"/>
    </row>
    <row r="109" spans="1:15" x14ac:dyDescent="0.65">
      <c r="A109" s="365"/>
      <c r="B109" s="365"/>
      <c r="C109" s="365"/>
      <c r="D109" s="365"/>
      <c r="E109" s="365"/>
      <c r="F109" s="365"/>
      <c r="G109" s="365"/>
      <c r="H109" s="365"/>
      <c r="I109" s="365"/>
      <c r="J109" s="365"/>
      <c r="K109" s="365"/>
      <c r="L109" s="365"/>
      <c r="M109" s="365"/>
      <c r="N109" s="365"/>
      <c r="O109" s="365"/>
    </row>
    <row r="110" spans="1:15" x14ac:dyDescent="0.65">
      <c r="A110" s="365"/>
      <c r="B110" s="365" t="s">
        <v>278</v>
      </c>
      <c r="C110" s="365"/>
      <c r="D110" s="654">
        <f>D106+D73+D40</f>
        <v>-3328416</v>
      </c>
      <c r="E110" s="654">
        <f t="shared" ref="E110:M110" si="19">E106+E73+E40</f>
        <v>-3328416</v>
      </c>
      <c r="F110" s="654">
        <f t="shared" si="19"/>
        <v>-3328416</v>
      </c>
      <c r="G110" s="654">
        <f t="shared" si="19"/>
        <v>-3328416</v>
      </c>
      <c r="H110" s="654">
        <f t="shared" si="19"/>
        <v>10047674</v>
      </c>
      <c r="I110" s="654">
        <f t="shared" si="19"/>
        <v>13777372.699999999</v>
      </c>
      <c r="J110" s="654">
        <f t="shared" si="19"/>
        <v>14190693.880999999</v>
      </c>
      <c r="K110" s="654">
        <f t="shared" si="19"/>
        <v>12453858.697430002</v>
      </c>
      <c r="L110" s="654">
        <f t="shared" si="19"/>
        <v>12892351.138352901</v>
      </c>
      <c r="M110" s="654">
        <f t="shared" si="19"/>
        <v>373701720.48792446</v>
      </c>
      <c r="N110" s="365"/>
      <c r="O110" s="365"/>
    </row>
    <row r="111" spans="1:15" x14ac:dyDescent="0.65">
      <c r="A111" s="365"/>
      <c r="B111" s="365" t="s">
        <v>279</v>
      </c>
      <c r="C111" s="468">
        <f>IRR(D110:M110)</f>
        <v>0.67121938689929572</v>
      </c>
      <c r="D111" s="365"/>
      <c r="E111" s="365"/>
      <c r="F111" s="365"/>
      <c r="G111" s="365"/>
      <c r="H111" s="365"/>
      <c r="I111" s="365"/>
      <c r="J111" s="365"/>
      <c r="K111" s="365"/>
      <c r="L111" s="365"/>
      <c r="M111" s="365"/>
      <c r="N111" s="365"/>
      <c r="O111" s="365"/>
    </row>
    <row r="112" spans="1:15" x14ac:dyDescent="0.65">
      <c r="A112" s="365"/>
      <c r="B112" s="365"/>
      <c r="C112" s="365"/>
      <c r="D112" s="365"/>
      <c r="E112" s="365"/>
      <c r="F112" s="365"/>
      <c r="G112" s="365"/>
      <c r="H112" s="365"/>
      <c r="I112" s="365"/>
      <c r="J112" s="365"/>
      <c r="K112" s="365"/>
      <c r="L112" s="365"/>
      <c r="M112" s="365"/>
      <c r="N112" s="365"/>
      <c r="O112" s="365"/>
    </row>
  </sheetData>
  <mergeCells count="2">
    <mergeCell ref="B2:C2"/>
    <mergeCell ref="B6:N6"/>
  </mergeCell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6C548-3AFA-4AFC-9C24-CE7D79B9F95B}">
  <sheetPr>
    <tabColor rgb="FFFFD300"/>
    <pageSetUpPr fitToPage="1"/>
  </sheetPr>
  <dimension ref="A1:K133"/>
  <sheetViews>
    <sheetView showGridLines="0" zoomScaleNormal="100" workbookViewId="0">
      <selection activeCell="H106" sqref="H106:K106"/>
    </sheetView>
  </sheetViews>
  <sheetFormatPr defaultColWidth="9.08984375" defaultRowHeight="12.25" x14ac:dyDescent="0.65"/>
  <cols>
    <col min="1" max="1" width="29.76953125" style="1" customWidth="1"/>
    <col min="2" max="2" width="14.453125" style="1" customWidth="1"/>
    <col min="3" max="3" width="15.08984375" style="1" customWidth="1"/>
    <col min="4" max="4" width="19.453125" style="1" customWidth="1"/>
    <col min="5" max="5" width="18.76953125" style="1" customWidth="1"/>
    <col min="6" max="6" width="9.76953125" style="1" customWidth="1"/>
    <col min="7" max="7" width="2.76953125" style="1" customWidth="1"/>
    <col min="8" max="8" width="31.453125" style="1" customWidth="1"/>
    <col min="9" max="9" width="12.453125" style="1" customWidth="1"/>
    <col min="10" max="11" width="10.453125" style="1" customWidth="1"/>
    <col min="12" max="16384" width="9.08984375" style="1"/>
  </cols>
  <sheetData>
    <row r="1" spans="1:11" ht="13.95" customHeight="1" x14ac:dyDescent="0.9">
      <c r="A1" s="745" t="s">
        <v>55</v>
      </c>
      <c r="B1" s="746"/>
      <c r="C1" s="746"/>
      <c r="D1" s="747" t="s">
        <v>600</v>
      </c>
      <c r="H1" s="961" t="s">
        <v>387</v>
      </c>
      <c r="I1" s="962"/>
      <c r="J1" s="962"/>
      <c r="K1" s="963"/>
    </row>
    <row r="2" spans="1:11" ht="12" customHeight="1" x14ac:dyDescent="0.65">
      <c r="A2" s="33" t="s">
        <v>40</v>
      </c>
      <c r="B2" s="34"/>
      <c r="C2" s="7"/>
      <c r="D2" s="9"/>
      <c r="H2" s="910" t="s">
        <v>348</v>
      </c>
      <c r="I2" s="911"/>
      <c r="J2" s="913"/>
      <c r="K2" s="912"/>
    </row>
    <row r="3" spans="1:11" ht="12" customHeight="1" x14ac:dyDescent="0.65">
      <c r="A3" s="36" t="s">
        <v>56</v>
      </c>
      <c r="B3" s="37" t="s">
        <v>57</v>
      </c>
      <c r="C3" s="37" t="s">
        <v>58</v>
      </c>
      <c r="D3" s="39" t="s">
        <v>59</v>
      </c>
      <c r="H3" s="3"/>
      <c r="I3" s="148"/>
      <c r="J3" s="8"/>
      <c r="K3" s="149"/>
    </row>
    <row r="4" spans="1:11" ht="12" customHeight="1" x14ac:dyDescent="0.65">
      <c r="A4" s="289" t="str">
        <f>'Assumptions-Overall'!B9</f>
        <v>Preconstruction</v>
      </c>
      <c r="B4" s="290">
        <f>'Assumptions-Overall'!C9</f>
        <v>43466</v>
      </c>
      <c r="C4" s="291">
        <f>'Assumptions-Overall'!D9</f>
        <v>24</v>
      </c>
      <c r="D4" s="292">
        <f>'Assumptions-Overall'!E9</f>
        <v>44196</v>
      </c>
      <c r="H4" s="36" t="s">
        <v>339</v>
      </c>
      <c r="I4" s="108" t="s">
        <v>315</v>
      </c>
      <c r="J4" s="175" t="s">
        <v>65</v>
      </c>
      <c r="K4" s="109" t="s">
        <v>344</v>
      </c>
    </row>
    <row r="5" spans="1:11" ht="12" customHeight="1" x14ac:dyDescent="0.65">
      <c r="A5" s="289" t="str">
        <f>'Assumptions-Overall'!B10</f>
        <v>Construction</v>
      </c>
      <c r="B5" s="290">
        <f>'Assumptions-Overall'!C10</f>
        <v>44197</v>
      </c>
      <c r="C5" s="291">
        <f>'Assumptions-Overall'!D10</f>
        <v>24</v>
      </c>
      <c r="D5" s="292">
        <f>'Assumptions-Overall'!E10</f>
        <v>44926</v>
      </c>
      <c r="H5" s="3" t="str">
        <f>'CashFlow-Combined'!O14</f>
        <v>Equity</v>
      </c>
      <c r="I5" s="180">
        <f>'CashFlow-Combined'!P14</f>
        <v>62846683.061524697</v>
      </c>
      <c r="J5" s="176">
        <f>'CashFlow-Combined'!Q14</f>
        <v>0.14999999999999991</v>
      </c>
      <c r="K5" s="163">
        <f>'CashFlow-Combined'!R14</f>
        <v>0.14117010896948842</v>
      </c>
    </row>
    <row r="6" spans="1:11" ht="12" customHeight="1" x14ac:dyDescent="0.65">
      <c r="A6" s="289" t="str">
        <f>'Assumptions-Overall'!B11</f>
        <v>Lease-Up</v>
      </c>
      <c r="B6" s="290">
        <f>'Assumptions-Overall'!C11</f>
        <v>44927</v>
      </c>
      <c r="C6" s="291">
        <f>'Assumptions-Overall'!D11</f>
        <v>6</v>
      </c>
      <c r="D6" s="292">
        <f>'Assumptions-Overall'!E11</f>
        <v>45107</v>
      </c>
      <c r="H6" s="56" t="str">
        <f>'CashFlow-Combined'!O15</f>
        <v>Mezzanine Debt</v>
      </c>
      <c r="I6" s="180">
        <f>'CashFlow-Combined'!P15</f>
        <v>88027677.284829259</v>
      </c>
      <c r="J6" s="176">
        <f>'CashFlow-Combined'!Q15</f>
        <v>0.2</v>
      </c>
      <c r="K6" s="163">
        <f>'CashFlow-Combined'!R15</f>
        <v>0.19773321660372803</v>
      </c>
    </row>
    <row r="7" spans="1:11" ht="12" customHeight="1" x14ac:dyDescent="0.65">
      <c r="A7" s="289" t="str">
        <f>'Assumptions-Overall'!B12</f>
        <v>Refinance</v>
      </c>
      <c r="B7" s="290">
        <f>'Assumptions-Overall'!C12</f>
        <v>45108</v>
      </c>
      <c r="C7" s="291"/>
      <c r="D7" s="292"/>
      <c r="H7" s="56" t="str">
        <f>'CashFlow-Combined'!O16</f>
        <v>Senior Debt</v>
      </c>
      <c r="I7" s="180">
        <f>'CashFlow-Combined'!P16</f>
        <v>272335626.59994054</v>
      </c>
      <c r="J7" s="176">
        <f>'CashFlow-Combined'!Q16</f>
        <v>0.65</v>
      </c>
      <c r="K7" s="163">
        <f>'CashFlow-Combined'!R16</f>
        <v>0.61173713886778358</v>
      </c>
    </row>
    <row r="8" spans="1:11" ht="12" customHeight="1" x14ac:dyDescent="0.65">
      <c r="A8" s="289"/>
      <c r="B8" s="293"/>
      <c r="C8" s="293"/>
      <c r="D8" s="294"/>
      <c r="H8" s="56" t="str">
        <f>'CashFlow-Combined'!O17</f>
        <v>Condo &amp; Parking Pre-Sales</v>
      </c>
      <c r="I8" s="144">
        <f>'CashFlow-Combined'!P17</f>
        <v>21974078.71953252</v>
      </c>
      <c r="J8" s="176" t="str">
        <f>'CashFlow-Combined'!Q17</f>
        <v>n/a</v>
      </c>
      <c r="K8" s="177">
        <f>'CashFlow-Combined'!R17</f>
        <v>4.9359535558999863E-2</v>
      </c>
    </row>
    <row r="9" spans="1:11" ht="12" customHeight="1" x14ac:dyDescent="0.65">
      <c r="A9" s="295" t="s">
        <v>39</v>
      </c>
      <c r="B9" s="293"/>
      <c r="C9" s="293"/>
      <c r="D9" s="294"/>
      <c r="H9" s="3" t="str">
        <f>'CashFlow-Combined'!O18</f>
        <v>Total Sources</v>
      </c>
      <c r="I9" s="146">
        <f>'CashFlow-Combined'!P18</f>
        <v>445184065.66582704</v>
      </c>
      <c r="J9" s="8"/>
      <c r="K9" s="163">
        <f>'CashFlow-Combined'!R18</f>
        <v>1</v>
      </c>
    </row>
    <row r="10" spans="1:11" ht="12" customHeight="1" x14ac:dyDescent="0.65">
      <c r="A10" s="296" t="s">
        <v>56</v>
      </c>
      <c r="B10" s="297" t="s">
        <v>57</v>
      </c>
      <c r="C10" s="297" t="s">
        <v>58</v>
      </c>
      <c r="D10" s="298" t="s">
        <v>59</v>
      </c>
      <c r="H10" s="3"/>
      <c r="I10" s="146"/>
      <c r="J10" s="8"/>
      <c r="K10" s="151"/>
    </row>
    <row r="11" spans="1:11" ht="12" customHeight="1" x14ac:dyDescent="0.65">
      <c r="A11" s="289" t="str">
        <f>'Assumptions-Overall'!B16</f>
        <v>Preconstruction</v>
      </c>
      <c r="B11" s="290">
        <f>'Assumptions-Overall'!C16</f>
        <v>43831</v>
      </c>
      <c r="C11" s="291">
        <f>'Assumptions-Overall'!D16</f>
        <v>12</v>
      </c>
      <c r="D11" s="292">
        <f>'Assumptions-Overall'!E16</f>
        <v>44196</v>
      </c>
      <c r="H11" s="36" t="s">
        <v>340</v>
      </c>
      <c r="I11" s="108" t="s">
        <v>315</v>
      </c>
      <c r="J11" s="175"/>
      <c r="K11" s="109" t="s">
        <v>344</v>
      </c>
    </row>
    <row r="12" spans="1:11" ht="12" customHeight="1" x14ac:dyDescent="0.65">
      <c r="A12" s="289" t="str">
        <f>'Assumptions-Overall'!B17</f>
        <v>Construction</v>
      </c>
      <c r="B12" s="290">
        <f>'Assumptions-Overall'!C17</f>
        <v>44197</v>
      </c>
      <c r="C12" s="291">
        <f>'Assumptions-Overall'!D17</f>
        <v>18</v>
      </c>
      <c r="D12" s="292">
        <f>'Assumptions-Overall'!E17</f>
        <v>44742</v>
      </c>
      <c r="H12" s="3" t="str">
        <f>'CashFlow-Combined'!O21</f>
        <v>Land Acquisition</v>
      </c>
      <c r="I12" s="146">
        <f>'CashFlow-Combined'!P21</f>
        <v>8703090</v>
      </c>
      <c r="J12" s="8"/>
      <c r="K12" s="163">
        <f>'CashFlow-Combined'!R21</f>
        <v>1.9365324764484017E-2</v>
      </c>
    </row>
    <row r="13" spans="1:11" ht="12" customHeight="1" x14ac:dyDescent="0.65">
      <c r="A13" s="289" t="str">
        <f>'Assumptions-Overall'!B18</f>
        <v>Lease-Up</v>
      </c>
      <c r="B13" s="290">
        <f>'Assumptions-Overall'!C18</f>
        <v>44743</v>
      </c>
      <c r="C13" s="291">
        <f>'Assumptions-Overall'!D18</f>
        <v>12</v>
      </c>
      <c r="D13" s="292">
        <f>'Assumptions-Overall'!E18</f>
        <v>45107</v>
      </c>
      <c r="H13" s="3" t="str">
        <f>'CashFlow-Combined'!O22</f>
        <v>Residential Apartments Construction Costs</v>
      </c>
      <c r="I13" s="146">
        <f>'CashFlow-Combined'!P22</f>
        <v>202836050.70088398</v>
      </c>
      <c r="J13" s="8"/>
      <c r="K13" s="163">
        <f>'CashFlow-Combined'!R22</f>
        <v>0.45133234239424896</v>
      </c>
    </row>
    <row r="14" spans="1:11" ht="12" customHeight="1" x14ac:dyDescent="0.65">
      <c r="A14" s="289" t="str">
        <f>'Assumptions-Overall'!B19</f>
        <v>Refinance</v>
      </c>
      <c r="B14" s="290">
        <f>'Assumptions-Overall'!C19</f>
        <v>45108</v>
      </c>
      <c r="C14" s="291"/>
      <c r="D14" s="292"/>
      <c r="H14" s="3" t="str">
        <f>'CashFlow-Combined'!O23</f>
        <v>Residential Condos Construction Costs</v>
      </c>
      <c r="I14" s="146">
        <f>'CashFlow-Combined'!P23</f>
        <v>88746189.342636064</v>
      </c>
      <c r="J14" s="8"/>
      <c r="K14" s="163">
        <f>'CashFlow-Combined'!R23</f>
        <v>0.19746995357172425</v>
      </c>
    </row>
    <row r="15" spans="1:11" ht="12" customHeight="1" x14ac:dyDescent="0.65">
      <c r="A15" s="289"/>
      <c r="B15" s="293"/>
      <c r="C15" s="293"/>
      <c r="D15" s="294"/>
      <c r="H15" s="3" t="str">
        <f>'CashFlow-Combined'!O24</f>
        <v>Retail Construction Costs</v>
      </c>
      <c r="I15" s="146">
        <f>'CashFlow-Combined'!P24</f>
        <v>13835525.0459181</v>
      </c>
      <c r="J15" s="8"/>
      <c r="K15" s="163">
        <f>'CashFlow-Combined'!R24</f>
        <v>3.0785552694658637E-2</v>
      </c>
    </row>
    <row r="16" spans="1:11" ht="12" customHeight="1" x14ac:dyDescent="0.65">
      <c r="A16" s="295" t="s">
        <v>38</v>
      </c>
      <c r="B16" s="293"/>
      <c r="C16" s="293"/>
      <c r="D16" s="294"/>
      <c r="H16" s="3" t="str">
        <f>'CashFlow-Combined'!O25</f>
        <v>Office Construction Costs</v>
      </c>
      <c r="I16" s="146">
        <f>'CashFlow-Combined'!P25</f>
        <v>0</v>
      </c>
      <c r="J16" s="8"/>
      <c r="K16" s="163">
        <f>'CashFlow-Combined'!R25</f>
        <v>0</v>
      </c>
    </row>
    <row r="17" spans="1:11" ht="12" customHeight="1" x14ac:dyDescent="0.65">
      <c r="A17" s="296" t="s">
        <v>56</v>
      </c>
      <c r="B17" s="297" t="s">
        <v>57</v>
      </c>
      <c r="C17" s="297" t="s">
        <v>58</v>
      </c>
      <c r="D17" s="298" t="s">
        <v>59</v>
      </c>
      <c r="H17" s="3" t="str">
        <f>'CashFlow-Combined'!O26</f>
        <v>Hotel Construction Costs</v>
      </c>
      <c r="I17" s="146">
        <f>'CashFlow-Combined'!P26</f>
        <v>81972427.6875</v>
      </c>
      <c r="J17" s="8"/>
      <c r="K17" s="163">
        <f>'CashFlow-Combined'!R26</f>
        <v>0.18239759486591764</v>
      </c>
    </row>
    <row r="18" spans="1:11" ht="12" customHeight="1" x14ac:dyDescent="0.65">
      <c r="A18" s="289" t="str">
        <f>'Assumptions-Overall'!B23</f>
        <v>Preconstruction</v>
      </c>
      <c r="B18" s="290">
        <f>'Assumptions-Overall'!C23</f>
        <v>45292</v>
      </c>
      <c r="C18" s="291">
        <f>'Assumptions-Overall'!D23</f>
        <v>24</v>
      </c>
      <c r="D18" s="292">
        <f>'Assumptions-Overall'!E23</f>
        <v>46022</v>
      </c>
      <c r="H18" s="3" t="str">
        <f>'CashFlow-Combined'!O27</f>
        <v>Parking Construction Costs</v>
      </c>
      <c r="I18" s="146">
        <f>'CashFlow-Combined'!P27</f>
        <v>0</v>
      </c>
      <c r="J18" s="8"/>
      <c r="K18" s="163">
        <f>'CashFlow-Combined'!R27</f>
        <v>0</v>
      </c>
    </row>
    <row r="19" spans="1:11" ht="12" customHeight="1" x14ac:dyDescent="0.65">
      <c r="A19" s="289" t="str">
        <f>'Assumptions-Overall'!B24</f>
        <v>Construction</v>
      </c>
      <c r="B19" s="290">
        <f>'Assumptions-Overall'!C24</f>
        <v>46023</v>
      </c>
      <c r="C19" s="291">
        <f>'Assumptions-Overall'!D24</f>
        <v>24</v>
      </c>
      <c r="D19" s="292">
        <f>'Assumptions-Overall'!E24</f>
        <v>46752</v>
      </c>
      <c r="H19" s="3" t="str">
        <f>'CashFlow-Combined'!O28</f>
        <v>Infrastructure Construction Costs</v>
      </c>
      <c r="I19" s="146">
        <f>'CashFlow-Combined'!P28</f>
        <v>49090782.888888888</v>
      </c>
      <c r="J19" s="8"/>
      <c r="K19" s="163">
        <f>'CashFlow-Combined'!R28</f>
        <v>0.10923234777373418</v>
      </c>
    </row>
    <row r="20" spans="1:11" ht="12" customHeight="1" x14ac:dyDescent="0.65">
      <c r="A20" s="289" t="str">
        <f>'Assumptions-Overall'!B25</f>
        <v>Lease-Up</v>
      </c>
      <c r="B20" s="290">
        <f>'Assumptions-Overall'!C25</f>
        <v>46753</v>
      </c>
      <c r="C20" s="291">
        <f>'Assumptions-Overall'!D25</f>
        <v>12</v>
      </c>
      <c r="D20" s="292">
        <f>'Assumptions-Overall'!E25</f>
        <v>47118</v>
      </c>
      <c r="H20" s="3" t="str">
        <f>'CashFlow-Combined'!O29</f>
        <v>Financing Costs</v>
      </c>
      <c r="I20" s="144">
        <f>'CashFlow-Combined'!P29</f>
        <v>4232099.8694629446</v>
      </c>
      <c r="J20" s="8"/>
      <c r="K20" s="177">
        <f>'CashFlow-Combined'!R29</f>
        <v>9.416883935232238E-3</v>
      </c>
    </row>
    <row r="21" spans="1:11" ht="12" customHeight="1" thickBot="1" x14ac:dyDescent="0.8">
      <c r="A21" s="289" t="str">
        <f>'Assumptions-Overall'!B26</f>
        <v>Refinance</v>
      </c>
      <c r="B21" s="290">
        <f>'Assumptions-Overall'!C26</f>
        <v>47119</v>
      </c>
      <c r="C21" s="291"/>
      <c r="D21" s="292"/>
      <c r="H21" s="5" t="str">
        <f>'CashFlow-Combined'!O30</f>
        <v>Total Uses</v>
      </c>
      <c r="I21" s="178">
        <f>'CashFlow-Combined'!P30</f>
        <v>449416165.53529</v>
      </c>
      <c r="J21" s="10"/>
      <c r="K21" s="179">
        <f>'CashFlow-Combined'!R30</f>
        <v>1</v>
      </c>
    </row>
    <row r="22" spans="1:11" ht="12" customHeight="1" x14ac:dyDescent="0.65">
      <c r="A22" s="289"/>
      <c r="B22" s="299"/>
      <c r="C22" s="299"/>
      <c r="D22" s="300"/>
      <c r="H22" s="910" t="s">
        <v>347</v>
      </c>
      <c r="I22" s="911"/>
      <c r="J22" s="911"/>
      <c r="K22" s="912"/>
    </row>
    <row r="23" spans="1:11" ht="12" customHeight="1" x14ac:dyDescent="0.65">
      <c r="A23" s="295" t="s">
        <v>72</v>
      </c>
      <c r="B23" s="299"/>
      <c r="C23" s="299"/>
      <c r="D23" s="300"/>
      <c r="H23" s="3"/>
      <c r="I23" s="184" t="s">
        <v>362</v>
      </c>
      <c r="J23" s="106"/>
      <c r="K23" s="185" t="s">
        <v>364</v>
      </c>
    </row>
    <row r="24" spans="1:11" ht="12" customHeight="1" x14ac:dyDescent="0.65">
      <c r="A24" s="289" t="str">
        <f>'Assumptions-Overall'!B29</f>
        <v>Projected Hold (Years)</v>
      </c>
      <c r="B24" s="291">
        <f>'Assumptions-Overall'!C29</f>
        <v>10</v>
      </c>
      <c r="C24" s="299"/>
      <c r="D24" s="300"/>
      <c r="H24" s="36" t="s">
        <v>117</v>
      </c>
      <c r="I24" s="108" t="s">
        <v>363</v>
      </c>
      <c r="J24" s="108" t="s">
        <v>360</v>
      </c>
      <c r="K24" s="109" t="s">
        <v>361</v>
      </c>
    </row>
    <row r="25" spans="1:11" ht="12" customHeight="1" thickBot="1" x14ac:dyDescent="0.8">
      <c r="A25" s="5" t="str">
        <f>'Assumptions-Overall'!B30</f>
        <v>Projected Resale Date</v>
      </c>
      <c r="B25" s="64">
        <f>'Assumptions-Overall'!C30</f>
        <v>47118</v>
      </c>
      <c r="C25" s="10"/>
      <c r="D25" s="11"/>
      <c r="H25" s="3" t="str">
        <f>'CashFlow-Combined'!O34</f>
        <v>Residential Apartments</v>
      </c>
      <c r="I25" s="146">
        <f>'CashFlow-Combined'!P34</f>
        <v>11630824.916564872</v>
      </c>
      <c r="J25" s="183">
        <f>'CashFlow-Combined'!Q34</f>
        <v>7.7499999999999999E-2</v>
      </c>
      <c r="K25" s="186">
        <f>'CashFlow-Combined'!R34</f>
        <v>150075160.21374029</v>
      </c>
    </row>
    <row r="26" spans="1:11" ht="12" customHeight="1" thickBot="1" x14ac:dyDescent="0.8">
      <c r="H26" s="3" t="str">
        <f>'CashFlow-Combined'!O35</f>
        <v>Retail</v>
      </c>
      <c r="I26" s="146">
        <f>'CashFlow-Combined'!P35</f>
        <v>3282556.7990460512</v>
      </c>
      <c r="J26" s="183">
        <f>'CashFlow-Combined'!Q35</f>
        <v>8.2666666666666666E-2</v>
      </c>
      <c r="K26" s="186">
        <f>'CashFlow-Combined'!R35</f>
        <v>39708348.375557072</v>
      </c>
    </row>
    <row r="27" spans="1:11" ht="12" customHeight="1" x14ac:dyDescent="0.9">
      <c r="A27" s="961" t="s">
        <v>102</v>
      </c>
      <c r="B27" s="962"/>
      <c r="C27" s="962"/>
      <c r="D27" s="962"/>
      <c r="E27" s="963"/>
      <c r="H27" s="3" t="str">
        <f>'CashFlow-Combined'!O36</f>
        <v>Office</v>
      </c>
      <c r="I27" s="146">
        <f>'CashFlow-Combined'!P36</f>
        <v>0</v>
      </c>
      <c r="J27" s="183">
        <f>'CashFlow-Combined'!Q36</f>
        <v>9.849999999999999E-2</v>
      </c>
      <c r="K27" s="186">
        <f>'CashFlow-Combined'!R36</f>
        <v>0</v>
      </c>
    </row>
    <row r="28" spans="1:11" ht="12" customHeight="1" x14ac:dyDescent="0.65">
      <c r="A28" s="829" t="s">
        <v>42</v>
      </c>
      <c r="B28" s="21"/>
      <c r="C28" s="47" t="s">
        <v>104</v>
      </c>
      <c r="D28" s="21" t="s">
        <v>104</v>
      </c>
      <c r="E28" s="4" t="s">
        <v>104</v>
      </c>
      <c r="H28" s="3" t="str">
        <f>'CashFlow-Combined'!O37</f>
        <v>Hotel</v>
      </c>
      <c r="I28" s="146">
        <f>'CashFlow-Combined'!P37</f>
        <v>26148807.604457784</v>
      </c>
      <c r="J28" s="183">
        <f>'CashFlow-Combined'!Q37</f>
        <v>8.8749999999999996E-2</v>
      </c>
      <c r="K28" s="186">
        <f>'CashFlow-Combined'!R37</f>
        <v>294634451.8812145</v>
      </c>
    </row>
    <row r="29" spans="1:11" ht="12" customHeight="1" x14ac:dyDescent="0.65">
      <c r="A29" s="830" t="s">
        <v>41</v>
      </c>
      <c r="B29" s="37" t="s">
        <v>103</v>
      </c>
      <c r="C29" s="38" t="s">
        <v>25</v>
      </c>
      <c r="D29" s="37" t="s">
        <v>24</v>
      </c>
      <c r="E29" s="39" t="s">
        <v>23</v>
      </c>
      <c r="H29" s="3" t="str">
        <f>'CashFlow-Combined'!O38</f>
        <v>Parking</v>
      </c>
      <c r="I29" s="144">
        <f>'CashFlow-Combined'!P38</f>
        <v>0</v>
      </c>
      <c r="J29" s="183">
        <f>'CashFlow-Combined'!Q38</f>
        <v>0.05</v>
      </c>
      <c r="K29" s="187">
        <f>'CashFlow-Combined'!R38</f>
        <v>0</v>
      </c>
    </row>
    <row r="30" spans="1:11" ht="12" customHeight="1" x14ac:dyDescent="0.65">
      <c r="A30" s="831" t="str">
        <f>'Assumptions-ResRental'!B9</f>
        <v>Studio/Efficiency</v>
      </c>
      <c r="B30" s="40">
        <f>'Assumptions-ResRental'!C9</f>
        <v>368</v>
      </c>
      <c r="C30" s="41">
        <f>'Assumptions-ResRental'!D9</f>
        <v>257</v>
      </c>
      <c r="D30" s="40">
        <f>'Assumptions-ResRental'!E9</f>
        <v>35</v>
      </c>
      <c r="E30" s="42">
        <f>'Assumptions-ResRental'!F9</f>
        <v>76</v>
      </c>
      <c r="H30" s="3" t="str">
        <f>'CashFlow-Combined'!O39</f>
        <v>Total Cash Flow from Operations</v>
      </c>
      <c r="I30" s="146">
        <f>'CashFlow-Combined'!P39</f>
        <v>41062189.32006871</v>
      </c>
      <c r="J30" s="8"/>
      <c r="K30" s="186">
        <f>'CashFlow-Combined'!R39</f>
        <v>484417960.47051185</v>
      </c>
    </row>
    <row r="31" spans="1:11" ht="12" customHeight="1" x14ac:dyDescent="0.65">
      <c r="A31" s="831" t="str">
        <f>'Assumptions-ResRental'!B10</f>
        <v>1 Bedroom</v>
      </c>
      <c r="B31" s="40">
        <f>'Assumptions-ResRental'!C10</f>
        <v>509</v>
      </c>
      <c r="C31" s="41">
        <f>'Assumptions-ResRental'!D10</f>
        <v>387</v>
      </c>
      <c r="D31" s="40">
        <f>'Assumptions-ResRental'!E10</f>
        <v>28</v>
      </c>
      <c r="E31" s="42">
        <f>'Assumptions-ResRental'!F10</f>
        <v>94</v>
      </c>
      <c r="H31" s="3"/>
      <c r="I31" s="146"/>
      <c r="J31" s="8"/>
      <c r="K31" s="151"/>
    </row>
    <row r="32" spans="1:11" ht="12" customHeight="1" x14ac:dyDescent="0.65">
      <c r="A32" s="831" t="str">
        <f>'Assumptions-ResRental'!B11</f>
        <v>2 Bedroom</v>
      </c>
      <c r="B32" s="40">
        <f>'Assumptions-ResRental'!C11</f>
        <v>254</v>
      </c>
      <c r="C32" s="41">
        <f>'Assumptions-ResRental'!D11</f>
        <v>244</v>
      </c>
      <c r="D32" s="40">
        <f>'Assumptions-ResRental'!E11</f>
        <v>10</v>
      </c>
      <c r="E32" s="42">
        <f>'Assumptions-ResRental'!F11</f>
        <v>0</v>
      </c>
      <c r="H32" s="3" t="s">
        <v>365</v>
      </c>
      <c r="I32" s="21"/>
      <c r="J32" s="8"/>
      <c r="K32" s="188">
        <f>'CashFlow-Combined'!R41</f>
        <v>0.65</v>
      </c>
    </row>
    <row r="33" spans="1:11" ht="12" customHeight="1" x14ac:dyDescent="0.65">
      <c r="A33" s="831" t="str">
        <f>'Assumptions-ResRental'!B12</f>
        <v>3 Bedroom</v>
      </c>
      <c r="B33" s="43">
        <f>'Assumptions-ResRental'!C12</f>
        <v>75</v>
      </c>
      <c r="C33" s="44">
        <f>'Assumptions-ResRental'!D12</f>
        <v>74</v>
      </c>
      <c r="D33" s="45">
        <f>'Assumptions-ResRental'!E12</f>
        <v>1</v>
      </c>
      <c r="E33" s="46">
        <f>'Assumptions-ResRental'!F12</f>
        <v>0</v>
      </c>
      <c r="H33" s="3" t="s">
        <v>366</v>
      </c>
      <c r="I33" s="21"/>
      <c r="J33" s="8"/>
      <c r="K33" s="186">
        <f>'CashFlow-Combined'!R42</f>
        <v>314871674.30583274</v>
      </c>
    </row>
    <row r="34" spans="1:11" ht="12" customHeight="1" x14ac:dyDescent="0.65">
      <c r="A34" s="831" t="str">
        <f>'Assumptions-ResRental'!B13</f>
        <v>Total</v>
      </c>
      <c r="B34" s="40">
        <f>'Assumptions-ResRental'!C13</f>
        <v>1206</v>
      </c>
      <c r="C34" s="41">
        <f>'Assumptions-ResRental'!D13</f>
        <v>962</v>
      </c>
      <c r="D34" s="40">
        <f>'Assumptions-ResRental'!E13</f>
        <v>74</v>
      </c>
      <c r="E34" s="42">
        <f>'Assumptions-ResRental'!F13</f>
        <v>170</v>
      </c>
      <c r="H34" s="3"/>
      <c r="I34" s="146"/>
      <c r="J34" s="8"/>
      <c r="K34" s="186"/>
    </row>
    <row r="35" spans="1:11" ht="12" customHeight="1" x14ac:dyDescent="0.65">
      <c r="A35" s="831"/>
      <c r="B35" s="21"/>
      <c r="C35" s="47"/>
      <c r="D35" s="21"/>
      <c r="E35" s="4"/>
      <c r="H35" s="3" t="s">
        <v>369</v>
      </c>
      <c r="I35" s="146"/>
      <c r="J35" s="8"/>
      <c r="K35" s="189">
        <f>'CashFlow-Combined'!R44</f>
        <v>1.2</v>
      </c>
    </row>
    <row r="36" spans="1:11" ht="12" customHeight="1" x14ac:dyDescent="0.65">
      <c r="A36" s="832" t="s">
        <v>430</v>
      </c>
      <c r="B36" s="21"/>
      <c r="C36" s="47" t="s">
        <v>104</v>
      </c>
      <c r="D36" s="21" t="s">
        <v>104</v>
      </c>
      <c r="E36" s="4" t="s">
        <v>104</v>
      </c>
      <c r="H36" s="3" t="s">
        <v>370</v>
      </c>
      <c r="I36" s="146"/>
      <c r="J36" s="8"/>
      <c r="K36" s="186">
        <f>'CashFlow-Combined'!R45</f>
        <v>562783421.92013776</v>
      </c>
    </row>
    <row r="37" spans="1:11" ht="12" customHeight="1" x14ac:dyDescent="0.65">
      <c r="A37" s="830" t="s">
        <v>41</v>
      </c>
      <c r="B37" s="37" t="s">
        <v>103</v>
      </c>
      <c r="C37" s="38" t="s">
        <v>25</v>
      </c>
      <c r="D37" s="37" t="s">
        <v>24</v>
      </c>
      <c r="E37" s="39" t="s">
        <v>23</v>
      </c>
      <c r="H37" s="3"/>
      <c r="I37" s="146"/>
      <c r="J37" s="8"/>
      <c r="K37" s="186"/>
    </row>
    <row r="38" spans="1:11" ht="12" customHeight="1" x14ac:dyDescent="0.65">
      <c r="A38" s="831" t="str">
        <f>'Assumptions-ResRental'!B17</f>
        <v>Studio/Efficiency</v>
      </c>
      <c r="B38" s="40">
        <f>'Assumptions-ResRental'!C17</f>
        <v>16</v>
      </c>
      <c r="C38" s="41">
        <f>'Assumptions-ResRental'!D17</f>
        <v>11</v>
      </c>
      <c r="D38" s="40">
        <f>'Assumptions-ResRental'!E17</f>
        <v>1</v>
      </c>
      <c r="E38" s="42">
        <f>'Assumptions-ResRental'!F17</f>
        <v>4</v>
      </c>
      <c r="H38" s="3" t="s">
        <v>371</v>
      </c>
      <c r="I38" s="146"/>
      <c r="J38" s="8"/>
      <c r="K38" s="186">
        <f>'CashFlow-Combined'!R47</f>
        <v>314871674.30583274</v>
      </c>
    </row>
    <row r="39" spans="1:11" ht="12" customHeight="1" x14ac:dyDescent="0.65">
      <c r="A39" s="831" t="str">
        <f>'Assumptions-ResRental'!B18</f>
        <v>1 Bedroom</v>
      </c>
      <c r="B39" s="40">
        <f>'Assumptions-ResRental'!C18</f>
        <v>41</v>
      </c>
      <c r="C39" s="41">
        <f>'Assumptions-ResRental'!D18</f>
        <v>33</v>
      </c>
      <c r="D39" s="40">
        <f>'Assumptions-ResRental'!E18</f>
        <v>2</v>
      </c>
      <c r="E39" s="42">
        <f>'Assumptions-ResRental'!F18</f>
        <v>6</v>
      </c>
      <c r="H39" s="3" t="s">
        <v>372</v>
      </c>
      <c r="I39" s="146"/>
      <c r="J39" s="8"/>
      <c r="K39" s="186">
        <f>'CashFlow-Combined'!R48</f>
        <v>19144902.222125359</v>
      </c>
    </row>
    <row r="40" spans="1:11" ht="12" customHeight="1" x14ac:dyDescent="0.65">
      <c r="A40" s="831" t="str">
        <f>'Assumptions-ResRental'!B19</f>
        <v>2 Bedroom</v>
      </c>
      <c r="B40" s="40">
        <f>'Assumptions-ResRental'!C19</f>
        <v>48</v>
      </c>
      <c r="C40" s="41">
        <f>'Assumptions-ResRental'!D19</f>
        <v>44</v>
      </c>
      <c r="D40" s="40">
        <f>'Assumptions-ResRental'!E19</f>
        <v>4</v>
      </c>
      <c r="E40" s="42">
        <f>'Assumptions-ResRental'!F19</f>
        <v>0</v>
      </c>
      <c r="H40" s="3" t="s">
        <v>373</v>
      </c>
      <c r="I40" s="8"/>
      <c r="J40" s="8"/>
      <c r="K40" s="151">
        <f>'CashFlow-Combined'!R49</f>
        <v>3148716.7430583276</v>
      </c>
    </row>
    <row r="41" spans="1:11" ht="12" customHeight="1" thickBot="1" x14ac:dyDescent="0.8">
      <c r="A41" s="831" t="str">
        <f>'Assumptions-ResRental'!B20</f>
        <v>3 Bedroom</v>
      </c>
      <c r="B41" s="43">
        <f>'Assumptions-ResRental'!C20</f>
        <v>7</v>
      </c>
      <c r="C41" s="44">
        <f>'Assumptions-ResRental'!D20</f>
        <v>6</v>
      </c>
      <c r="D41" s="45">
        <f>'Assumptions-ResRental'!E20</f>
        <v>1</v>
      </c>
      <c r="E41" s="46">
        <f>'Assumptions-ResRental'!F20</f>
        <v>0</v>
      </c>
      <c r="H41" s="5" t="s">
        <v>375</v>
      </c>
      <c r="I41" s="10"/>
      <c r="J41" s="10"/>
      <c r="K41" s="190">
        <f>'CashFlow-Combined'!R50</f>
        <v>312360395.43537527</v>
      </c>
    </row>
    <row r="42" spans="1:11" ht="12" customHeight="1" thickBot="1" x14ac:dyDescent="0.8">
      <c r="A42" s="833" t="str">
        <f>'Assumptions-ResRental'!B21</f>
        <v>Total</v>
      </c>
      <c r="B42" s="48">
        <f>'Assumptions-ResRental'!C21</f>
        <v>112</v>
      </c>
      <c r="C42" s="49">
        <f>'Assumptions-ResRental'!D21</f>
        <v>94</v>
      </c>
      <c r="D42" s="48">
        <f>'Assumptions-ResRental'!E21</f>
        <v>8</v>
      </c>
      <c r="E42" s="50">
        <f>'Assumptions-ResRental'!F21</f>
        <v>10</v>
      </c>
    </row>
    <row r="43" spans="1:11" ht="12" customHeight="1" thickBot="1" x14ac:dyDescent="1.05">
      <c r="H43" s="961" t="s">
        <v>388</v>
      </c>
      <c r="I43" s="962"/>
      <c r="J43" s="962"/>
      <c r="K43" s="963"/>
    </row>
    <row r="44" spans="1:11" ht="12" customHeight="1" x14ac:dyDescent="0.9">
      <c r="A44" s="961" t="s">
        <v>390</v>
      </c>
      <c r="B44" s="962"/>
      <c r="C44" s="962"/>
      <c r="D44" s="962"/>
      <c r="E44" s="963"/>
      <c r="H44" s="906" t="s">
        <v>381</v>
      </c>
      <c r="I44" s="907"/>
      <c r="J44" s="909"/>
      <c r="K44" s="908"/>
    </row>
    <row r="45" spans="1:11" ht="12" customHeight="1" x14ac:dyDescent="0.65">
      <c r="A45" s="36" t="s">
        <v>41</v>
      </c>
      <c r="B45" s="97" t="s">
        <v>106</v>
      </c>
      <c r="C45" s="37" t="s">
        <v>107</v>
      </c>
      <c r="D45" s="37" t="s">
        <v>109</v>
      </c>
      <c r="E45" s="39" t="s">
        <v>108</v>
      </c>
      <c r="H45" s="3"/>
      <c r="I45" s="148"/>
      <c r="J45" s="8"/>
      <c r="K45" s="149"/>
    </row>
    <row r="46" spans="1:11" ht="12" customHeight="1" x14ac:dyDescent="0.65">
      <c r="A46" s="289" t="str">
        <f>'Assumptions-ResRental'!H8</f>
        <v>Studio/Efficiency</v>
      </c>
      <c r="B46" s="291">
        <f>'Assumptions-ResRental'!I8</f>
        <v>556.1131112224449</v>
      </c>
      <c r="C46" s="302">
        <f>'Assumptions-ResRental'!J8</f>
        <v>2.2999999999999998</v>
      </c>
      <c r="D46" s="134">
        <f>'Assumptions-ResRental'!L8</f>
        <v>1279.0601558116232</v>
      </c>
      <c r="E46" s="101">
        <f>'Assumptions-ResRental'!M8</f>
        <v>15348.721869739478</v>
      </c>
      <c r="H46" s="36" t="s">
        <v>339</v>
      </c>
      <c r="I46" s="108" t="s">
        <v>315</v>
      </c>
      <c r="J46" s="175" t="s">
        <v>65</v>
      </c>
      <c r="K46" s="109" t="s">
        <v>344</v>
      </c>
    </row>
    <row r="47" spans="1:11" ht="12" customHeight="1" x14ac:dyDescent="0.65">
      <c r="A47" s="289" t="str">
        <f>'Assumptions-ResRental'!H9</f>
        <v>1 Bedroom</v>
      </c>
      <c r="B47" s="291">
        <f>'Assumptions-ResRental'!I9</f>
        <v>750.94952091503262</v>
      </c>
      <c r="C47" s="302">
        <f>'Assumptions-ResRental'!J9</f>
        <v>2.25</v>
      </c>
      <c r="D47" s="134">
        <f>'Assumptions-ResRental'!L9</f>
        <v>1689.6364220588234</v>
      </c>
      <c r="E47" s="101">
        <f>'Assumptions-ResRental'!M9</f>
        <v>20275.637064705879</v>
      </c>
      <c r="H47" s="3" t="str">
        <f>'CashFlow-Combined'!O88</f>
        <v>Equity</v>
      </c>
      <c r="I47" s="180">
        <f>'CashFlow-Combined'!P88</f>
        <v>25653341.797880497</v>
      </c>
      <c r="J47" s="176">
        <f>'CashFlow-Combined'!Q88</f>
        <v>0.14999999999999991</v>
      </c>
      <c r="K47" s="163">
        <f>'CashFlow-Combined'!R88</f>
        <v>5.762412398905787E-2</v>
      </c>
    </row>
    <row r="48" spans="1:11" ht="12" customHeight="1" x14ac:dyDescent="0.65">
      <c r="A48" s="289" t="str">
        <f>'Assumptions-ResRental'!H10</f>
        <v>2 Bedroom</v>
      </c>
      <c r="B48" s="291">
        <f>'Assumptions-ResRental'!I10</f>
        <v>1027.0415875000001</v>
      </c>
      <c r="C48" s="302">
        <f>'Assumptions-ResRental'!J10</f>
        <v>2.2000000000000002</v>
      </c>
      <c r="D48" s="134">
        <f>'Assumptions-ResRental'!L10</f>
        <v>2259.4914925000003</v>
      </c>
      <c r="E48" s="101">
        <f>'Assumptions-ResRental'!M10</f>
        <v>27113.897910000003</v>
      </c>
      <c r="H48" s="56" t="str">
        <f>'CashFlow-Combined'!O89</f>
        <v>Mezzanine Debt</v>
      </c>
      <c r="I48" s="180">
        <f>'CashFlow-Combined'!P89</f>
        <v>34204455.730507351</v>
      </c>
      <c r="J48" s="176">
        <f>'CashFlow-Combined'!Q89</f>
        <v>0.2</v>
      </c>
      <c r="K48" s="163">
        <f>'CashFlow-Combined'!R89</f>
        <v>7.6832165318743872E-2</v>
      </c>
    </row>
    <row r="49" spans="1:11" ht="12" customHeight="1" thickBot="1" x14ac:dyDescent="0.8">
      <c r="A49" s="301" t="str">
        <f>'Assumptions-ResRental'!H11</f>
        <v>3 Bedroom</v>
      </c>
      <c r="B49" s="303">
        <f>'Assumptions-ResRental'!I11</f>
        <v>1164.5215891472867</v>
      </c>
      <c r="C49" s="304">
        <f>'Assumptions-ResRental'!J11</f>
        <v>2.15</v>
      </c>
      <c r="D49" s="135">
        <f>'Assumptions-ResRental'!L11</f>
        <v>2503.7214166666663</v>
      </c>
      <c r="E49" s="102">
        <f>'Assumptions-ResRental'!M11</f>
        <v>30044.656999999996</v>
      </c>
      <c r="H49" s="56" t="str">
        <f>'CashFlow-Combined'!O90</f>
        <v>Senior Debt</v>
      </c>
      <c r="I49" s="180">
        <f>'CashFlow-Combined'!P90</f>
        <v>111164481.12414889</v>
      </c>
      <c r="J49" s="176">
        <f>'CashFlow-Combined'!Q90</f>
        <v>0.65</v>
      </c>
      <c r="K49" s="163">
        <f>'CashFlow-Combined'!R90</f>
        <v>0.2497045372859176</v>
      </c>
    </row>
    <row r="50" spans="1:11" ht="12" customHeight="1" thickBot="1" x14ac:dyDescent="0.8">
      <c r="H50" s="56" t="str">
        <f>'CashFlow-Combined'!O91</f>
        <v>Condo &amp; Parking Pre-Sales</v>
      </c>
      <c r="I50" s="144">
        <f>'CashFlow-Combined'!P91</f>
        <v>1889936.532271059</v>
      </c>
      <c r="J50" s="176" t="str">
        <f>'CashFlow-Combined'!Q91</f>
        <v>n/a</v>
      </c>
      <c r="K50" s="177">
        <f>'CashFlow-Combined'!R91</f>
        <v>4.2452924038160001E-3</v>
      </c>
    </row>
    <row r="51" spans="1:11" ht="12" customHeight="1" x14ac:dyDescent="0.9">
      <c r="A51" s="961" t="s">
        <v>594</v>
      </c>
      <c r="B51" s="962"/>
      <c r="C51" s="962"/>
      <c r="D51" s="962"/>
      <c r="E51" s="963"/>
      <c r="H51" s="3" t="str">
        <f>'CashFlow-Combined'!O92</f>
        <v>Total Sources</v>
      </c>
      <c r="I51" s="146">
        <f>'CashFlow-Combined'!P92</f>
        <v>172912215.18480781</v>
      </c>
      <c r="J51" s="8"/>
      <c r="K51" s="163">
        <f>'CashFlow-Combined'!R92</f>
        <v>0.38840611899753535</v>
      </c>
    </row>
    <row r="52" spans="1:11" ht="12" customHeight="1" x14ac:dyDescent="0.65">
      <c r="A52" s="36" t="s">
        <v>41</v>
      </c>
      <c r="B52" s="97" t="s">
        <v>106</v>
      </c>
      <c r="C52" s="37" t="s">
        <v>112</v>
      </c>
      <c r="D52" s="37" t="s">
        <v>110</v>
      </c>
      <c r="E52" s="39" t="s">
        <v>111</v>
      </c>
      <c r="H52" s="3"/>
      <c r="I52" s="146"/>
      <c r="J52" s="8"/>
      <c r="K52" s="151"/>
    </row>
    <row r="53" spans="1:11" ht="12" customHeight="1" x14ac:dyDescent="0.65">
      <c r="A53" s="3" t="str">
        <f>'Assumptions-ResRental'!O8</f>
        <v>Studio/Efficiency</v>
      </c>
      <c r="B53" s="40">
        <f>'Assumptions-ResRental'!P8</f>
        <v>556.1131112224449</v>
      </c>
      <c r="C53" s="82">
        <f>'Assumptions-ResRental'!Q8</f>
        <v>1.1499999999999999</v>
      </c>
      <c r="D53" s="134">
        <f>'Assumptions-ResRental'!R8</f>
        <v>639.53007790581159</v>
      </c>
      <c r="E53" s="101">
        <f>'Assumptions-ResRental'!S8</f>
        <v>7674.3609348697391</v>
      </c>
      <c r="H53" s="36" t="s">
        <v>340</v>
      </c>
      <c r="I53" s="108" t="s">
        <v>315</v>
      </c>
      <c r="J53" s="175"/>
      <c r="K53" s="109" t="s">
        <v>344</v>
      </c>
    </row>
    <row r="54" spans="1:11" ht="12" customHeight="1" x14ac:dyDescent="0.65">
      <c r="A54" s="3" t="str">
        <f>'Assumptions-ResRental'!O9</f>
        <v>1 Bedroom</v>
      </c>
      <c r="B54" s="40">
        <f>'Assumptions-ResRental'!P9</f>
        <v>750.94952091503262</v>
      </c>
      <c r="C54" s="82">
        <f>'Assumptions-ResRental'!Q9</f>
        <v>1.125</v>
      </c>
      <c r="D54" s="134">
        <f>'Assumptions-ResRental'!R9</f>
        <v>844.81821102941171</v>
      </c>
      <c r="E54" s="101">
        <f>'Assumptions-ResRental'!S9</f>
        <v>10137.81853235294</v>
      </c>
      <c r="H54" s="3" t="str">
        <f>'CashFlow-Combined'!O95</f>
        <v>Land Acquisition</v>
      </c>
      <c r="I54" s="146">
        <f>'CashFlow-Combined'!P95</f>
        <v>37462800</v>
      </c>
      <c r="J54" s="8"/>
      <c r="K54" s="163">
        <f>'CashFlow-Combined'!R95</f>
        <v>8.3358817223183015E-2</v>
      </c>
    </row>
    <row r="55" spans="1:11" ht="12" customHeight="1" x14ac:dyDescent="0.65">
      <c r="A55" s="3" t="str">
        <f>'Assumptions-ResRental'!O10</f>
        <v>2 Bedroom</v>
      </c>
      <c r="B55" s="40">
        <f>'Assumptions-ResRental'!P10</f>
        <v>1027.0415875000001</v>
      </c>
      <c r="C55" s="82">
        <f>'Assumptions-ResRental'!Q10</f>
        <v>1.1000000000000001</v>
      </c>
      <c r="D55" s="134">
        <f>'Assumptions-ResRental'!R10</f>
        <v>1129.7457462500001</v>
      </c>
      <c r="E55" s="101">
        <f>'Assumptions-ResRental'!S10</f>
        <v>13556.948955000002</v>
      </c>
      <c r="H55" s="3" t="str">
        <f>'CashFlow-Combined'!O96</f>
        <v>Residential Apartments Construction Costs</v>
      </c>
      <c r="I55" s="146">
        <f>'CashFlow-Combined'!P96</f>
        <v>15206085.714679725</v>
      </c>
      <c r="J55" s="8"/>
      <c r="K55" s="163">
        <f>'CashFlow-Combined'!R96</f>
        <v>3.383519971198206E-2</v>
      </c>
    </row>
    <row r="56" spans="1:11" ht="12" customHeight="1" thickBot="1" x14ac:dyDescent="0.8">
      <c r="A56" s="5" t="str">
        <f>'Assumptions-ResRental'!O11</f>
        <v>3 Bedroom</v>
      </c>
      <c r="B56" s="48">
        <f>'Assumptions-ResRental'!P11</f>
        <v>1164.5215891472867</v>
      </c>
      <c r="C56" s="100">
        <f>'Assumptions-ResRental'!Q11</f>
        <v>1.075</v>
      </c>
      <c r="D56" s="135">
        <f>'Assumptions-ResRental'!R11</f>
        <v>1251.8607083333332</v>
      </c>
      <c r="E56" s="102">
        <f>'Assumptions-ResRental'!S11</f>
        <v>15022.328499999998</v>
      </c>
      <c r="H56" s="3" t="str">
        <f>'CashFlow-Combined'!O97</f>
        <v>Residential Condos Construction Costs</v>
      </c>
      <c r="I56" s="146">
        <f>'CashFlow-Combined'!P97</f>
        <v>54828032.91500625</v>
      </c>
      <c r="J56" s="8"/>
      <c r="K56" s="163">
        <f>'CashFlow-Combined'!R97</f>
        <v>0.12199835502067832</v>
      </c>
    </row>
    <row r="57" spans="1:11" ht="12" customHeight="1" thickBot="1" x14ac:dyDescent="0.8">
      <c r="H57" s="3" t="str">
        <f>'CashFlow-Combined'!O98</f>
        <v>Retail Construction Costs</v>
      </c>
      <c r="I57" s="146">
        <f>'CashFlow-Combined'!P98</f>
        <v>37190752.071283996</v>
      </c>
      <c r="J57" s="8"/>
      <c r="K57" s="163">
        <f>'CashFlow-Combined'!R98</f>
        <v>8.275348090113066E-2</v>
      </c>
    </row>
    <row r="58" spans="1:11" ht="12" customHeight="1" x14ac:dyDescent="0.9">
      <c r="A58" s="961" t="s">
        <v>133</v>
      </c>
      <c r="B58" s="962"/>
      <c r="C58" s="962"/>
      <c r="D58" s="962"/>
      <c r="E58" s="963"/>
      <c r="H58" s="3" t="str">
        <f>'CashFlow-Combined'!O99</f>
        <v>Office Construction Costs</v>
      </c>
      <c r="I58" s="146">
        <f>'CashFlow-Combined'!P99</f>
        <v>71647718.435108125</v>
      </c>
      <c r="J58" s="8"/>
      <c r="K58" s="163">
        <f>'CashFlow-Combined'!R99</f>
        <v>0.15942399034482896</v>
      </c>
    </row>
    <row r="59" spans="1:11" ht="12" customHeight="1" x14ac:dyDescent="0.65">
      <c r="A59" s="829" t="s">
        <v>134</v>
      </c>
      <c r="B59" s="21"/>
      <c r="C59" s="47" t="s">
        <v>104</v>
      </c>
      <c r="D59" s="21" t="s">
        <v>104</v>
      </c>
      <c r="E59" s="4" t="s">
        <v>104</v>
      </c>
      <c r="H59" s="3" t="str">
        <f>'CashFlow-Combined'!O100</f>
        <v>Hotel Construction Costs</v>
      </c>
      <c r="I59" s="146">
        <f>'CashFlow-Combined'!P100</f>
        <v>0</v>
      </c>
      <c r="J59" s="8"/>
      <c r="K59" s="163">
        <f>'CashFlow-Combined'!R100</f>
        <v>0</v>
      </c>
    </row>
    <row r="60" spans="1:11" ht="12" customHeight="1" x14ac:dyDescent="0.65">
      <c r="A60" s="830" t="s">
        <v>41</v>
      </c>
      <c r="B60" s="37" t="s">
        <v>103</v>
      </c>
      <c r="C60" s="38" t="s">
        <v>25</v>
      </c>
      <c r="D60" s="37" t="s">
        <v>24</v>
      </c>
      <c r="E60" s="39" t="s">
        <v>23</v>
      </c>
      <c r="H60" s="3" t="str">
        <f>'CashFlow-Combined'!O101</f>
        <v>Parking Construction Costs</v>
      </c>
      <c r="I60" s="146">
        <f>'CashFlow-Combined'!P101</f>
        <v>5616259.7400000002</v>
      </c>
      <c r="J60" s="8"/>
      <c r="K60" s="163">
        <f>'CashFlow-Combined'!R101</f>
        <v>1.2496790660190412E-2</v>
      </c>
    </row>
    <row r="61" spans="1:11" ht="12" customHeight="1" x14ac:dyDescent="0.65">
      <c r="A61" s="831" t="str">
        <f>'Assumptions-ResCondo'!B9</f>
        <v>Studio/Efficiency</v>
      </c>
      <c r="B61" s="40">
        <f>'Assumptions-ResCondo'!C9</f>
        <v>107</v>
      </c>
      <c r="C61" s="41">
        <f>'Assumptions-ResCondo'!D9</f>
        <v>0</v>
      </c>
      <c r="D61" s="40">
        <f>'Assumptions-ResCondo'!E9</f>
        <v>107</v>
      </c>
      <c r="E61" s="42">
        <f>'Assumptions-ResCondo'!F9</f>
        <v>0</v>
      </c>
      <c r="H61" s="3" t="str">
        <f>'CashFlow-Combined'!O102</f>
        <v>Infrastructure Construction Costs</v>
      </c>
      <c r="I61" s="146">
        <f>'CashFlow-Combined'!P102</f>
        <v>34623686.171717167</v>
      </c>
      <c r="J61" s="8"/>
      <c r="K61" s="163">
        <f>'CashFlow-Combined'!R102</f>
        <v>7.7041479205532434E-2</v>
      </c>
    </row>
    <row r="62" spans="1:11" ht="12" customHeight="1" x14ac:dyDescent="0.65">
      <c r="A62" s="831" t="str">
        <f>'Assumptions-ResCondo'!B10</f>
        <v>1 Bedroom</v>
      </c>
      <c r="B62" s="40">
        <f>'Assumptions-ResCondo'!C10</f>
        <v>410</v>
      </c>
      <c r="C62" s="41">
        <f>'Assumptions-ResCondo'!D10</f>
        <v>175</v>
      </c>
      <c r="D62" s="40">
        <f>'Assumptions-ResCondo'!E10</f>
        <v>188</v>
      </c>
      <c r="E62" s="42">
        <f>'Assumptions-ResCondo'!F10</f>
        <v>47</v>
      </c>
      <c r="H62" s="3" t="str">
        <f>'CashFlow-Combined'!O103</f>
        <v>Financing Costs</v>
      </c>
      <c r="I62" s="144">
        <f>'CashFlow-Combined'!P103</f>
        <v>1727497.7641670378</v>
      </c>
      <c r="J62" s="8"/>
      <c r="K62" s="177">
        <f>'CashFlow-Combined'!R103</f>
        <v>3.8438709967396302E-3</v>
      </c>
    </row>
    <row r="63" spans="1:11" ht="12" customHeight="1" thickBot="1" x14ac:dyDescent="0.8">
      <c r="A63" s="831" t="str">
        <f>'Assumptions-ResCondo'!B11</f>
        <v>2 Bedroom</v>
      </c>
      <c r="B63" s="40">
        <f>'Assumptions-ResCondo'!C11</f>
        <v>209</v>
      </c>
      <c r="C63" s="41">
        <f>'Assumptions-ResCondo'!D11</f>
        <v>155</v>
      </c>
      <c r="D63" s="40">
        <f>'Assumptions-ResCondo'!E11</f>
        <v>16</v>
      </c>
      <c r="E63" s="42">
        <f>'Assumptions-ResCondo'!F11</f>
        <v>38</v>
      </c>
      <c r="H63" s="5" t="str">
        <f>'CashFlow-Combined'!O104</f>
        <v>Total Uses</v>
      </c>
      <c r="I63" s="178">
        <f>'CashFlow-Combined'!P104</f>
        <v>258302832.81196231</v>
      </c>
      <c r="J63" s="10"/>
      <c r="K63" s="179">
        <f>'CashFlow-Combined'!R104</f>
        <v>0.57475198406426553</v>
      </c>
    </row>
    <row r="64" spans="1:11" ht="12" customHeight="1" x14ac:dyDescent="0.65">
      <c r="A64" s="831" t="str">
        <f>'Assumptions-ResCondo'!B12</f>
        <v>3 Bedroom</v>
      </c>
      <c r="B64" s="43">
        <f>'Assumptions-ResCondo'!C12</f>
        <v>125</v>
      </c>
      <c r="C64" s="44">
        <f>'Assumptions-ResCondo'!D12</f>
        <v>105</v>
      </c>
      <c r="D64" s="45">
        <f>'Assumptions-ResCondo'!E12</f>
        <v>20</v>
      </c>
      <c r="E64" s="46">
        <f>'Assumptions-ResCondo'!F12</f>
        <v>0</v>
      </c>
      <c r="H64" s="906" t="s">
        <v>382</v>
      </c>
      <c r="I64" s="907"/>
      <c r="J64" s="907"/>
      <c r="K64" s="908"/>
    </row>
    <row r="65" spans="1:11" ht="12" customHeight="1" x14ac:dyDescent="0.65">
      <c r="A65" s="831" t="str">
        <f>'Assumptions-ResCondo'!B13</f>
        <v>Total</v>
      </c>
      <c r="B65" s="40">
        <f>'Assumptions-ResCondo'!C13</f>
        <v>851</v>
      </c>
      <c r="C65" s="41">
        <f>'Assumptions-ResCondo'!D13</f>
        <v>435</v>
      </c>
      <c r="D65" s="40">
        <f>'Assumptions-ResCondo'!E13</f>
        <v>331</v>
      </c>
      <c r="E65" s="42">
        <f>'Assumptions-ResCondo'!F13</f>
        <v>85</v>
      </c>
      <c r="H65" s="3"/>
      <c r="I65" s="184" t="s">
        <v>362</v>
      </c>
      <c r="J65" s="106"/>
      <c r="K65" s="185" t="s">
        <v>364</v>
      </c>
    </row>
    <row r="66" spans="1:11" ht="12" customHeight="1" x14ac:dyDescent="0.65">
      <c r="A66" s="831"/>
      <c r="B66" s="21"/>
      <c r="C66" s="47"/>
      <c r="D66" s="21"/>
      <c r="E66" s="4"/>
      <c r="H66" s="36" t="s">
        <v>117</v>
      </c>
      <c r="I66" s="108" t="s">
        <v>363</v>
      </c>
      <c r="J66" s="108" t="s">
        <v>360</v>
      </c>
      <c r="K66" s="109" t="s">
        <v>361</v>
      </c>
    </row>
    <row r="67" spans="1:11" ht="12" customHeight="1" x14ac:dyDescent="0.65">
      <c r="A67" s="832" t="s">
        <v>570</v>
      </c>
      <c r="B67" s="21"/>
      <c r="C67" s="47" t="s">
        <v>104</v>
      </c>
      <c r="D67" s="21" t="s">
        <v>104</v>
      </c>
      <c r="E67" s="4" t="s">
        <v>104</v>
      </c>
      <c r="H67" s="3" t="str">
        <f>'CashFlow-Combined'!O108</f>
        <v>Residential Apartments</v>
      </c>
      <c r="I67" s="146">
        <f>'CashFlow-Combined'!P108</f>
        <v>1041938.9333082146</v>
      </c>
      <c r="J67" s="183">
        <f>'CashFlow-Combined'!Q108</f>
        <v>7.7499999999999999E-2</v>
      </c>
      <c r="K67" s="186">
        <f>'CashFlow-Combined'!R108</f>
        <v>13444373.333009221</v>
      </c>
    </row>
    <row r="68" spans="1:11" ht="12" customHeight="1" x14ac:dyDescent="0.65">
      <c r="A68" s="830" t="s">
        <v>41</v>
      </c>
      <c r="B68" s="37" t="s">
        <v>103</v>
      </c>
      <c r="C68" s="38" t="s">
        <v>25</v>
      </c>
      <c r="D68" s="37" t="s">
        <v>24</v>
      </c>
      <c r="E68" s="39" t="s">
        <v>23</v>
      </c>
      <c r="H68" s="3" t="str">
        <f>'CashFlow-Combined'!O109</f>
        <v>Retail</v>
      </c>
      <c r="I68" s="146">
        <f>'CashFlow-Combined'!P109</f>
        <v>11454494.495867699</v>
      </c>
      <c r="J68" s="183">
        <f>'CashFlow-Combined'!Q109</f>
        <v>8.2666666666666666E-2</v>
      </c>
      <c r="K68" s="186">
        <f>'CashFlow-Combined'!R109</f>
        <v>138562433.41775444</v>
      </c>
    </row>
    <row r="69" spans="1:11" ht="12" customHeight="1" x14ac:dyDescent="0.65">
      <c r="A69" s="831" t="str">
        <f>'Assumptions-ResCondo'!B17</f>
        <v>Studio/Efficiency</v>
      </c>
      <c r="B69" s="40">
        <f>'Assumptions-ResCondo'!C17</f>
        <v>8</v>
      </c>
      <c r="C69" s="41">
        <f>'Assumptions-ResCondo'!D17</f>
        <v>0</v>
      </c>
      <c r="D69" s="40">
        <f>'Assumptions-ResCondo'!E17</f>
        <v>8</v>
      </c>
      <c r="E69" s="42">
        <f>'Assumptions-ResCondo'!F17</f>
        <v>0</v>
      </c>
      <c r="H69" s="3" t="str">
        <f>'CashFlow-Combined'!O110</f>
        <v>Office</v>
      </c>
      <c r="I69" s="146">
        <f>'CashFlow-Combined'!P110</f>
        <v>5583429.5070902873</v>
      </c>
      <c r="J69" s="183">
        <f>'CashFlow-Combined'!Q110</f>
        <v>9.849999999999999E-2</v>
      </c>
      <c r="K69" s="186">
        <f>'CashFlow-Combined'!R110</f>
        <v>56684563.523759268</v>
      </c>
    </row>
    <row r="70" spans="1:11" ht="12" customHeight="1" x14ac:dyDescent="0.65">
      <c r="A70" s="831" t="str">
        <f>'Assumptions-ResCondo'!B18</f>
        <v>1 Bedroom</v>
      </c>
      <c r="B70" s="40">
        <f>'Assumptions-ResCondo'!C18</f>
        <v>30</v>
      </c>
      <c r="C70" s="41">
        <f>'Assumptions-ResCondo'!D18</f>
        <v>15</v>
      </c>
      <c r="D70" s="40">
        <f>'Assumptions-ResCondo'!E18</f>
        <v>12</v>
      </c>
      <c r="E70" s="42">
        <f>'Assumptions-ResCondo'!F18</f>
        <v>3</v>
      </c>
      <c r="H70" s="3" t="str">
        <f>'CashFlow-Combined'!O111</f>
        <v>Hotel</v>
      </c>
      <c r="I70" s="146">
        <f>'CashFlow-Combined'!P111</f>
        <v>0</v>
      </c>
      <c r="J70" s="183">
        <f>'CashFlow-Combined'!Q111</f>
        <v>8.8749999999999996E-2</v>
      </c>
      <c r="K70" s="186">
        <f>'CashFlow-Combined'!R111</f>
        <v>0</v>
      </c>
    </row>
    <row r="71" spans="1:11" ht="12" customHeight="1" x14ac:dyDescent="0.65">
      <c r="A71" s="831" t="str">
        <f>'Assumptions-ResCondo'!B19</f>
        <v>2 Bedroom</v>
      </c>
      <c r="B71" s="40">
        <f>'Assumptions-ResCondo'!C19</f>
        <v>41</v>
      </c>
      <c r="C71" s="41">
        <f>'Assumptions-ResCondo'!D19</f>
        <v>20</v>
      </c>
      <c r="D71" s="40">
        <f>'Assumptions-ResCondo'!E19</f>
        <v>16</v>
      </c>
      <c r="E71" s="42">
        <f>'Assumptions-ResCondo'!F19</f>
        <v>5</v>
      </c>
      <c r="H71" s="3" t="str">
        <f>'CashFlow-Combined'!O112</f>
        <v>Parking</v>
      </c>
      <c r="I71" s="144">
        <f>'CashFlow-Combined'!P112</f>
        <v>144071.25</v>
      </c>
      <c r="J71" s="183">
        <f>'CashFlow-Combined'!Q112</f>
        <v>0.05</v>
      </c>
      <c r="K71" s="187">
        <f>'CashFlow-Combined'!R112</f>
        <v>2881425</v>
      </c>
    </row>
    <row r="72" spans="1:11" ht="12" customHeight="1" x14ac:dyDescent="0.65">
      <c r="A72" s="831" t="str">
        <f>'Assumptions-ResCondo'!B20</f>
        <v>3 Bedroom</v>
      </c>
      <c r="B72" s="43">
        <f>'Assumptions-ResCondo'!C20</f>
        <v>10</v>
      </c>
      <c r="C72" s="44">
        <f>'Assumptions-ResCondo'!D20</f>
        <v>5</v>
      </c>
      <c r="D72" s="45">
        <f>'Assumptions-ResCondo'!E20</f>
        <v>5</v>
      </c>
      <c r="E72" s="46">
        <f>'Assumptions-ResCondo'!F20</f>
        <v>0</v>
      </c>
      <c r="H72" s="3" t="str">
        <f>'CashFlow-Combined'!O113</f>
        <v>Total Cash Flow from Operations</v>
      </c>
      <c r="I72" s="146">
        <f>'CashFlow-Combined'!P113</f>
        <v>18223934.186266199</v>
      </c>
      <c r="J72" s="8"/>
      <c r="K72" s="186">
        <f>'CashFlow-Combined'!R113</f>
        <v>211572795.27452293</v>
      </c>
    </row>
    <row r="73" spans="1:11" ht="12" customHeight="1" thickBot="1" x14ac:dyDescent="0.8">
      <c r="A73" s="833" t="str">
        <f>'Assumptions-ResCondo'!B21</f>
        <v>Total</v>
      </c>
      <c r="B73" s="48">
        <f>'Assumptions-ResCondo'!C21</f>
        <v>89</v>
      </c>
      <c r="C73" s="49">
        <f>'Assumptions-ResCondo'!D21</f>
        <v>40</v>
      </c>
      <c r="D73" s="48">
        <f>'Assumptions-ResCondo'!E21</f>
        <v>41</v>
      </c>
      <c r="E73" s="50">
        <f>'Assumptions-ResCondo'!F21</f>
        <v>8</v>
      </c>
      <c r="H73" s="3"/>
      <c r="I73" s="146"/>
      <c r="J73" s="8"/>
      <c r="K73" s="151"/>
    </row>
    <row r="74" spans="1:11" ht="12" customHeight="1" thickBot="1" x14ac:dyDescent="0.8">
      <c r="H74" s="3" t="s">
        <v>365</v>
      </c>
      <c r="I74" s="21"/>
      <c r="J74" s="8"/>
      <c r="K74" s="188">
        <f>'CashFlow-Combined'!R115</f>
        <v>0.65</v>
      </c>
    </row>
    <row r="75" spans="1:11" ht="12" customHeight="1" x14ac:dyDescent="0.9">
      <c r="A75" s="961" t="s">
        <v>139</v>
      </c>
      <c r="B75" s="962"/>
      <c r="C75" s="962"/>
      <c r="D75" s="963"/>
      <c r="H75" s="3" t="s">
        <v>366</v>
      </c>
      <c r="I75" s="21"/>
      <c r="J75" s="8"/>
      <c r="K75" s="186">
        <f>'CashFlow-Combined'!R116</f>
        <v>137522316.92843992</v>
      </c>
    </row>
    <row r="76" spans="1:11" ht="12" customHeight="1" x14ac:dyDescent="0.65">
      <c r="A76" s="36" t="s">
        <v>41</v>
      </c>
      <c r="B76" s="97" t="s">
        <v>106</v>
      </c>
      <c r="C76" s="37" t="s">
        <v>135</v>
      </c>
      <c r="D76" s="39" t="s">
        <v>136</v>
      </c>
      <c r="H76" s="3"/>
      <c r="I76" s="146"/>
      <c r="J76" s="8"/>
      <c r="K76" s="186"/>
    </row>
    <row r="77" spans="1:11" ht="12" customHeight="1" x14ac:dyDescent="0.65">
      <c r="A77" s="289" t="str">
        <f>'Assumptions-ResCondo'!H8</f>
        <v>Studio/Efficiency</v>
      </c>
      <c r="B77" s="291">
        <f>'Assumptions-ResCondo'!I8</f>
        <v>556.1131112224449</v>
      </c>
      <c r="C77" s="134">
        <f>'Assumptions-ResCondo'!J8</f>
        <v>260</v>
      </c>
      <c r="D77" s="305">
        <f>'Assumptions-ResCondo'!L8</f>
        <v>159048.34980961925</v>
      </c>
      <c r="H77" s="3" t="s">
        <v>369</v>
      </c>
      <c r="I77" s="146"/>
      <c r="J77" s="8"/>
      <c r="K77" s="189">
        <f>'CashFlow-Combined'!R118</f>
        <v>1.2</v>
      </c>
    </row>
    <row r="78" spans="1:11" ht="12" customHeight="1" x14ac:dyDescent="0.65">
      <c r="A78" s="289" t="str">
        <f>'Assumptions-ResCondo'!H9</f>
        <v>1 Bedroom</v>
      </c>
      <c r="B78" s="291">
        <f>'Assumptions-ResCondo'!I9</f>
        <v>750.94952091503262</v>
      </c>
      <c r="C78" s="134">
        <f>'Assumptions-ResCondo'!J9</f>
        <v>260</v>
      </c>
      <c r="D78" s="305">
        <f>'Assumptions-ResCondo'!L9</f>
        <v>214771.56298169936</v>
      </c>
      <c r="H78" s="3" t="s">
        <v>370</v>
      </c>
      <c r="I78" s="146"/>
      <c r="J78" s="8"/>
      <c r="K78" s="186">
        <f>'CashFlow-Combined'!R119</f>
        <v>249770609.21546385</v>
      </c>
    </row>
    <row r="79" spans="1:11" ht="12" customHeight="1" x14ac:dyDescent="0.65">
      <c r="A79" s="289" t="str">
        <f>'Assumptions-ResCondo'!H10</f>
        <v>2 Bedroom</v>
      </c>
      <c r="B79" s="291">
        <f>'Assumptions-ResCondo'!I10</f>
        <v>1027.0415875000001</v>
      </c>
      <c r="C79" s="134">
        <f>'Assumptions-ResCondo'!J10</f>
        <v>260</v>
      </c>
      <c r="D79" s="305">
        <f>'Assumptions-ResCondo'!L10</f>
        <v>293733.89402500005</v>
      </c>
      <c r="H79" s="3"/>
      <c r="I79" s="146"/>
      <c r="J79" s="8"/>
      <c r="K79" s="186"/>
    </row>
    <row r="80" spans="1:11" ht="12" customHeight="1" thickBot="1" x14ac:dyDescent="0.8">
      <c r="A80" s="301" t="str">
        <f>'Assumptions-ResCondo'!H11</f>
        <v>3 Bedroom</v>
      </c>
      <c r="B80" s="303">
        <f>'Assumptions-ResCondo'!I11</f>
        <v>1164.5215891472867</v>
      </c>
      <c r="C80" s="135">
        <f>'Assumptions-ResCondo'!J11</f>
        <v>260</v>
      </c>
      <c r="D80" s="306">
        <f>'Assumptions-ResCondo'!L11</f>
        <v>333053.17449612403</v>
      </c>
      <c r="H80" s="3" t="s">
        <v>371</v>
      </c>
      <c r="I80" s="146"/>
      <c r="J80" s="8"/>
      <c r="K80" s="186">
        <f>'CashFlow-Combined'!R121</f>
        <v>137522316.92843992</v>
      </c>
    </row>
    <row r="81" spans="1:11" ht="12" customHeight="1" thickBot="1" x14ac:dyDescent="0.8">
      <c r="H81" s="3" t="s">
        <v>372</v>
      </c>
      <c r="I81" s="146"/>
      <c r="J81" s="8"/>
      <c r="K81" s="186">
        <f>'CashFlow-Combined'!R122</f>
        <v>8361664.531303145</v>
      </c>
    </row>
    <row r="82" spans="1:11" ht="12" customHeight="1" x14ac:dyDescent="0.9">
      <c r="A82" s="961" t="s">
        <v>583</v>
      </c>
      <c r="B82" s="962"/>
      <c r="C82" s="962"/>
      <c r="D82" s="963"/>
      <c r="H82" s="3" t="s">
        <v>373</v>
      </c>
      <c r="I82" s="8"/>
      <c r="J82" s="8"/>
      <c r="K82" s="151">
        <f>'CashFlow-Combined'!R123</f>
        <v>1375223.1692843991</v>
      </c>
    </row>
    <row r="83" spans="1:11" ht="12" customHeight="1" thickBot="1" x14ac:dyDescent="0.8">
      <c r="A83" s="36" t="s">
        <v>41</v>
      </c>
      <c r="B83" s="97" t="s">
        <v>106</v>
      </c>
      <c r="C83" s="37" t="s">
        <v>135</v>
      </c>
      <c r="D83" s="39" t="s">
        <v>136</v>
      </c>
      <c r="H83" s="5" t="s">
        <v>375</v>
      </c>
      <c r="I83" s="10"/>
      <c r="J83" s="10"/>
      <c r="K83" s="190">
        <f>'CashFlow-Combined'!R124</f>
        <v>136425499.02800441</v>
      </c>
    </row>
    <row r="84" spans="1:11" ht="12" customHeight="1" thickBot="1" x14ac:dyDescent="0.8">
      <c r="A84" s="289" t="str">
        <f>'Assumptions-ResCondo'!N8</f>
        <v>Studio/Efficiency</v>
      </c>
      <c r="B84" s="291">
        <f>'Assumptions-ResCondo'!O8</f>
        <v>556.1131112224449</v>
      </c>
      <c r="C84" s="134">
        <f>'Assumptions-ResCondo'!P8</f>
        <v>156</v>
      </c>
      <c r="D84" s="305">
        <f>'Assumptions-ResCondo'!Q8</f>
        <v>86753.645350701408</v>
      </c>
    </row>
    <row r="85" spans="1:11" ht="12" customHeight="1" x14ac:dyDescent="0.9">
      <c r="A85" s="289" t="str">
        <f>'Assumptions-ResCondo'!N9</f>
        <v>1 Bedroom</v>
      </c>
      <c r="B85" s="291">
        <f>'Assumptions-ResCondo'!O9</f>
        <v>750.94952091503262</v>
      </c>
      <c r="C85" s="134">
        <f>'Assumptions-ResCondo'!P9</f>
        <v>156</v>
      </c>
      <c r="D85" s="305">
        <f>'Assumptions-ResCondo'!Q9</f>
        <v>117148.12526274509</v>
      </c>
      <c r="H85" s="961" t="s">
        <v>389</v>
      </c>
      <c r="I85" s="962"/>
      <c r="J85" s="962"/>
      <c r="K85" s="963"/>
    </row>
    <row r="86" spans="1:11" ht="12" customHeight="1" x14ac:dyDescent="0.65">
      <c r="A86" s="289" t="str">
        <f>'Assumptions-ResCondo'!N10</f>
        <v>2 Bedroom</v>
      </c>
      <c r="B86" s="291">
        <f>'Assumptions-ResCondo'!O10</f>
        <v>1027.0415875000001</v>
      </c>
      <c r="C86" s="134">
        <f>'Assumptions-ResCondo'!P10</f>
        <v>156</v>
      </c>
      <c r="D86" s="305">
        <f>'Assumptions-ResCondo'!Q10</f>
        <v>160218.48765000002</v>
      </c>
      <c r="H86" s="914" t="s">
        <v>383</v>
      </c>
      <c r="I86" s="915"/>
      <c r="J86" s="916"/>
      <c r="K86" s="917"/>
    </row>
    <row r="87" spans="1:11" ht="12" customHeight="1" thickBot="1" x14ac:dyDescent="0.8">
      <c r="A87" s="301" t="str">
        <f>'Assumptions-ResCondo'!N11</f>
        <v>3 Bedroom</v>
      </c>
      <c r="B87" s="303">
        <f>'Assumptions-ResCondo'!O11</f>
        <v>1164.5215891472867</v>
      </c>
      <c r="C87" s="135">
        <f>'Assumptions-ResCondo'!P11</f>
        <v>156</v>
      </c>
      <c r="D87" s="306">
        <f>'Assumptions-ResCondo'!Q11</f>
        <v>181665.36790697672</v>
      </c>
      <c r="H87" s="3"/>
      <c r="I87" s="148"/>
      <c r="J87" s="8"/>
      <c r="K87" s="149"/>
    </row>
    <row r="88" spans="1:11" ht="12" customHeight="1" thickBot="1" x14ac:dyDescent="0.8">
      <c r="H88" s="36" t="s">
        <v>339</v>
      </c>
      <c r="I88" s="108" t="s">
        <v>315</v>
      </c>
      <c r="J88" s="175" t="s">
        <v>65</v>
      </c>
      <c r="K88" s="109" t="s">
        <v>344</v>
      </c>
    </row>
    <row r="89" spans="1:11" ht="12" customHeight="1" x14ac:dyDescent="0.9">
      <c r="A89" s="738" t="s">
        <v>140</v>
      </c>
      <c r="B89" s="634"/>
      <c r="C89" s="634"/>
      <c r="D89" s="634"/>
      <c r="E89" s="635"/>
      <c r="H89" s="3" t="str">
        <f>'CashFlow-Combined'!O162</f>
        <v>Equity</v>
      </c>
      <c r="I89" s="180">
        <f>'CashFlow-Combined'!P162</f>
        <v>43017442.780480072</v>
      </c>
      <c r="J89" s="176">
        <f>'CashFlow-Combined'!Q162</f>
        <v>0.14999999999999991</v>
      </c>
      <c r="K89" s="163">
        <f>'CashFlow-Combined'!R162</f>
        <v>9.6628442251503868E-2</v>
      </c>
    </row>
    <row r="90" spans="1:11" ht="12" customHeight="1" x14ac:dyDescent="0.65">
      <c r="A90" s="829"/>
      <c r="B90" s="21"/>
      <c r="C90" s="47" t="s">
        <v>104</v>
      </c>
      <c r="D90" s="21" t="s">
        <v>104</v>
      </c>
      <c r="E90" s="4" t="s">
        <v>104</v>
      </c>
      <c r="H90" s="56" t="str">
        <f>'CashFlow-Combined'!O163</f>
        <v>Mezzanine Debt</v>
      </c>
      <c r="I90" s="180">
        <f>'CashFlow-Combined'!P163</f>
        <v>57356590.373973466</v>
      </c>
      <c r="J90" s="176">
        <f>'CashFlow-Combined'!Q163</f>
        <v>0.2</v>
      </c>
      <c r="K90" s="163">
        <f>'CashFlow-Combined'!R163</f>
        <v>0.12883792300200522</v>
      </c>
    </row>
    <row r="91" spans="1:11" ht="12" customHeight="1" x14ac:dyDescent="0.65">
      <c r="A91" s="830" t="s">
        <v>141</v>
      </c>
      <c r="B91" s="37" t="s">
        <v>103</v>
      </c>
      <c r="C91" s="38" t="s">
        <v>25</v>
      </c>
      <c r="D91" s="37" t="s">
        <v>24</v>
      </c>
      <c r="E91" s="39" t="s">
        <v>23</v>
      </c>
      <c r="H91" s="56" t="str">
        <f>'CashFlow-Combined'!O164</f>
        <v>Senior Debt</v>
      </c>
      <c r="I91" s="146">
        <f>'CashFlow-Combined'!P164</f>
        <v>186408918.71541378</v>
      </c>
      <c r="J91" s="176">
        <f>'CashFlow-Combined'!Q164</f>
        <v>0.65</v>
      </c>
      <c r="K91" s="163">
        <f>'CashFlow-Combined'!R164</f>
        <v>0.41872324975651704</v>
      </c>
    </row>
    <row r="92" spans="1:11" ht="12" customHeight="1" x14ac:dyDescent="0.65">
      <c r="A92" s="831" t="str">
        <f>'Assumptions-Retail'!B9</f>
        <v>Food Hall</v>
      </c>
      <c r="B92" s="40">
        <f>'Assumptions-Retail'!C9</f>
        <v>48000</v>
      </c>
      <c r="C92" s="41">
        <f>'Assumptions-Retail'!D9</f>
        <v>48000</v>
      </c>
      <c r="D92" s="40">
        <f>'Assumptions-Retail'!E9</f>
        <v>0</v>
      </c>
      <c r="E92" s="42">
        <f>'Assumptions-Retail'!F9</f>
        <v>0</v>
      </c>
      <c r="H92" s="56" t="str">
        <f>'CashFlow-Combined'!O165</f>
        <v>Condo &amp; Parking Pre-Sales</v>
      </c>
      <c r="I92" s="144">
        <f>'CashFlow-Combined'!P165</f>
        <v>0</v>
      </c>
      <c r="J92" s="176" t="str">
        <f>'CashFlow-Combined'!Q165</f>
        <v>n/a</v>
      </c>
      <c r="K92" s="177">
        <f>'CashFlow-Combined'!R165</f>
        <v>0</v>
      </c>
    </row>
    <row r="93" spans="1:11" ht="12" customHeight="1" x14ac:dyDescent="0.65">
      <c r="A93" s="831" t="str">
        <f>'Assumptions-Retail'!B10</f>
        <v>Big Box Retail Space</v>
      </c>
      <c r="B93" s="40">
        <f>'Assumptions-Retail'!C10</f>
        <v>565000</v>
      </c>
      <c r="C93" s="41">
        <f>'Assumptions-Retail'!D10</f>
        <v>0</v>
      </c>
      <c r="D93" s="40">
        <f>'Assumptions-Retail'!E10</f>
        <v>350000</v>
      </c>
      <c r="E93" s="42">
        <f>'Assumptions-Retail'!F10</f>
        <v>215000</v>
      </c>
      <c r="H93" s="3" t="str">
        <f>'CashFlow-Combined'!O166</f>
        <v>Total Sources</v>
      </c>
      <c r="I93" s="146">
        <f>'CashFlow-Combined'!P166</f>
        <v>286782951.86986732</v>
      </c>
      <c r="J93" s="8"/>
      <c r="K93" s="163">
        <f>'CashFlow-Combined'!R166</f>
        <v>0.64418961501002614</v>
      </c>
    </row>
    <row r="94" spans="1:11" ht="12" customHeight="1" x14ac:dyDescent="0.65">
      <c r="A94" s="831" t="str">
        <f>'Assumptions-Retail'!B11</f>
        <v>Neighborhood</v>
      </c>
      <c r="B94" s="40">
        <f>'Assumptions-Retail'!C11</f>
        <v>69411</v>
      </c>
      <c r="C94" s="41">
        <f>'Assumptions-Retail'!D11</f>
        <v>47404</v>
      </c>
      <c r="D94" s="40">
        <f>'Assumptions-Retail'!E11</f>
        <v>4500</v>
      </c>
      <c r="E94" s="42">
        <f>'Assumptions-Retail'!F11</f>
        <v>17507</v>
      </c>
      <c r="H94" s="3"/>
      <c r="I94" s="146"/>
      <c r="J94" s="8"/>
      <c r="K94" s="151"/>
    </row>
    <row r="95" spans="1:11" ht="12" customHeight="1" x14ac:dyDescent="0.65">
      <c r="A95" s="831" t="str">
        <f>'Assumptions-Retail'!B12</f>
        <v xml:space="preserve">Specialty </v>
      </c>
      <c r="B95" s="43">
        <f>'Assumptions-Retail'!C12</f>
        <v>58400</v>
      </c>
      <c r="C95" s="44">
        <f>'Assumptions-Retail'!D12</f>
        <v>30000</v>
      </c>
      <c r="D95" s="45">
        <f>'Assumptions-Retail'!E12</f>
        <v>23400</v>
      </c>
      <c r="E95" s="46">
        <f>'Assumptions-Retail'!F12</f>
        <v>5000</v>
      </c>
      <c r="H95" s="36" t="s">
        <v>340</v>
      </c>
      <c r="I95" s="108" t="s">
        <v>315</v>
      </c>
      <c r="J95" s="175"/>
      <c r="K95" s="109" t="s">
        <v>344</v>
      </c>
    </row>
    <row r="96" spans="1:11" ht="12" customHeight="1" thickBot="1" x14ac:dyDescent="0.8">
      <c r="A96" s="833" t="str">
        <f>'Assumptions-Retail'!B13</f>
        <v>Total</v>
      </c>
      <c r="B96" s="48">
        <f>'Assumptions-Retail'!C13</f>
        <v>740811</v>
      </c>
      <c r="C96" s="49">
        <f>'Assumptions-Retail'!D13</f>
        <v>125404</v>
      </c>
      <c r="D96" s="48">
        <f>'Assumptions-Retail'!E13</f>
        <v>377900</v>
      </c>
      <c r="E96" s="50">
        <f>'Assumptions-Retail'!F13</f>
        <v>237507</v>
      </c>
      <c r="H96" s="3" t="str">
        <f>'CashFlow-Combined'!O169</f>
        <v>Land Acquisition</v>
      </c>
      <c r="I96" s="146">
        <f>'CashFlow-Combined'!P169</f>
        <v>23783400</v>
      </c>
      <c r="J96" s="8"/>
      <c r="K96" s="163">
        <f>'CashFlow-Combined'!R169</f>
        <v>5.2920659789066779E-2</v>
      </c>
    </row>
    <row r="97" spans="1:11" ht="12" customHeight="1" thickBot="1" x14ac:dyDescent="0.8">
      <c r="H97" s="3" t="str">
        <f>'CashFlow-Combined'!O170</f>
        <v>Residential Apartments Construction Costs</v>
      </c>
      <c r="I97" s="146">
        <f>'CashFlow-Combined'!P170</f>
        <v>34831532.028636515</v>
      </c>
      <c r="J97" s="8"/>
      <c r="K97" s="163">
        <f>'CashFlow-Combined'!R170</f>
        <v>7.7503958913336862E-2</v>
      </c>
    </row>
    <row r="98" spans="1:11" ht="12" customHeight="1" x14ac:dyDescent="0.9">
      <c r="A98" s="961" t="s">
        <v>142</v>
      </c>
      <c r="B98" s="962"/>
      <c r="C98" s="962"/>
      <c r="D98" s="963"/>
      <c r="H98" s="3" t="str">
        <f>'CashFlow-Combined'!O171</f>
        <v>Residential Condos Construction Costs</v>
      </c>
      <c r="I98" s="146">
        <f>'CashFlow-Combined'!P171</f>
        <v>18568099.5566618</v>
      </c>
      <c r="J98" s="8"/>
      <c r="K98" s="163">
        <f>'CashFlow-Combined'!R171</f>
        <v>4.1316047308947446E-2</v>
      </c>
    </row>
    <row r="99" spans="1:11" ht="12" customHeight="1" x14ac:dyDescent="0.65">
      <c r="A99" s="3"/>
      <c r="B99" s="964" t="s">
        <v>107</v>
      </c>
      <c r="C99" s="965"/>
      <c r="D99" s="9"/>
      <c r="H99" s="3" t="str">
        <f>'CashFlow-Combined'!O172</f>
        <v>Retail Construction Costs</v>
      </c>
      <c r="I99" s="146">
        <f>'CashFlow-Combined'!P172</f>
        <v>18757479.512240961</v>
      </c>
      <c r="J99" s="8"/>
      <c r="K99" s="163">
        <f>'CashFlow-Combined'!R172</f>
        <v>4.1737438371624497E-2</v>
      </c>
    </row>
    <row r="100" spans="1:11" ht="12" customHeight="1" x14ac:dyDescent="0.65">
      <c r="A100" s="36" t="s">
        <v>141</v>
      </c>
      <c r="B100" s="113" t="s">
        <v>147</v>
      </c>
      <c r="C100" s="115" t="s">
        <v>148</v>
      </c>
      <c r="D100" s="109" t="s">
        <v>143</v>
      </c>
      <c r="H100" s="3" t="str">
        <f>'CashFlow-Combined'!O173</f>
        <v>Office Construction Costs</v>
      </c>
      <c r="I100" s="146">
        <f>'CashFlow-Combined'!P173</f>
        <v>47818346.345496885</v>
      </c>
      <c r="J100" s="8"/>
      <c r="K100" s="163">
        <f>'CashFlow-Combined'!R173</f>
        <v>0.10640103764078329</v>
      </c>
    </row>
    <row r="101" spans="1:11" ht="12" customHeight="1" x14ac:dyDescent="0.65">
      <c r="A101" s="289" t="str">
        <f>'Assumptions-Retail'!H9</f>
        <v>Food Hall</v>
      </c>
      <c r="B101" s="307">
        <f>'Assumptions-Retail'!I9</f>
        <v>30</v>
      </c>
      <c r="C101" s="136">
        <f>'Assumptions-Retail'!J9</f>
        <v>2.5</v>
      </c>
      <c r="D101" s="308" t="str">
        <f>'Assumptions-Retail'!K9</f>
        <v>NNN</v>
      </c>
      <c r="H101" s="3" t="str">
        <f>'CashFlow-Combined'!O174</f>
        <v>Hotel Construction Costs</v>
      </c>
      <c r="I101" s="146">
        <f>'CashFlow-Combined'!P174</f>
        <v>128838513.82167831</v>
      </c>
      <c r="J101" s="8"/>
      <c r="K101" s="163">
        <f>'CashFlow-Combined'!R174</f>
        <v>0.28667974964412218</v>
      </c>
    </row>
    <row r="102" spans="1:11" ht="12" customHeight="1" x14ac:dyDescent="0.65">
      <c r="A102" s="289" t="str">
        <f>'Assumptions-Retail'!H10</f>
        <v>Big Box Retail Space</v>
      </c>
      <c r="B102" s="307">
        <f>'Assumptions-Retail'!I10</f>
        <v>25</v>
      </c>
      <c r="C102" s="136">
        <f>'Assumptions-Retail'!J10</f>
        <v>2.0833333333333335</v>
      </c>
      <c r="D102" s="308" t="str">
        <f>'Assumptions-Retail'!K10</f>
        <v>NNN</v>
      </c>
      <c r="H102" s="3" t="str">
        <f>'CashFlow-Combined'!O175</f>
        <v>Parking Construction Costs</v>
      </c>
      <c r="I102" s="146">
        <f>'CashFlow-Combined'!P175</f>
        <v>12116030.220000001</v>
      </c>
      <c r="J102" s="8"/>
      <c r="K102" s="163">
        <f>'CashFlow-Combined'!R175</f>
        <v>2.6959489108650231E-2</v>
      </c>
    </row>
    <row r="103" spans="1:11" ht="12" customHeight="1" x14ac:dyDescent="0.65">
      <c r="A103" s="289" t="str">
        <f>'Assumptions-Retail'!H11</f>
        <v>Neighborhood</v>
      </c>
      <c r="B103" s="307">
        <f>'Assumptions-Retail'!I11</f>
        <v>25</v>
      </c>
      <c r="C103" s="136">
        <f>'Assumptions-Retail'!J11</f>
        <v>2.0833333333333335</v>
      </c>
      <c r="D103" s="308" t="str">
        <f>'Assumptions-Retail'!K11</f>
        <v>NNN</v>
      </c>
      <c r="H103" s="3" t="str">
        <f>'CashFlow-Combined'!O176</f>
        <v>Infrastructure Construction Costs</v>
      </c>
      <c r="I103" s="146">
        <f>'CashFlow-Combined'!P176</f>
        <v>4966347.8787878789</v>
      </c>
      <c r="J103" s="8"/>
      <c r="K103" s="163">
        <f>'CashFlow-Combined'!R176</f>
        <v>1.1050665863059394E-2</v>
      </c>
    </row>
    <row r="104" spans="1:11" ht="12" customHeight="1" x14ac:dyDescent="0.65">
      <c r="A104" s="289" t="str">
        <f>'Assumptions-Retail'!H12</f>
        <v xml:space="preserve">Specialty </v>
      </c>
      <c r="B104" s="140">
        <f>'Assumptions-Retail'!I12</f>
        <v>30</v>
      </c>
      <c r="C104" s="137">
        <f>'Assumptions-Retail'!J12</f>
        <v>2.5</v>
      </c>
      <c r="D104" s="309" t="str">
        <f>'Assumptions-Retail'!K12</f>
        <v>NNN</v>
      </c>
      <c r="H104" s="3" t="str">
        <f>'CashFlow-Combined'!O177</f>
        <v>Financing Costs</v>
      </c>
      <c r="I104" s="144">
        <f>'CashFlow-Combined'!P177</f>
        <v>2896797.493635023</v>
      </c>
      <c r="J104" s="8"/>
      <c r="K104" s="177">
        <f>'CashFlow-Combined'!R177</f>
        <v>6.4456904663959059E-3</v>
      </c>
    </row>
    <row r="105" spans="1:11" ht="12" customHeight="1" thickBot="1" x14ac:dyDescent="0.8">
      <c r="A105" s="301" t="str">
        <f>'Assumptions-Retail'!H13</f>
        <v>Weighted Avg.</v>
      </c>
      <c r="B105" s="139">
        <f>'Assumptions-Retail'!I13</f>
        <v>27.5</v>
      </c>
      <c r="C105" s="138">
        <f>'Assumptions-Retail'!J13</f>
        <v>2.2916666666666665</v>
      </c>
      <c r="D105" s="310" t="str">
        <f>'Assumptions-Retail'!K13</f>
        <v>NNN</v>
      </c>
      <c r="H105" s="5" t="str">
        <f>'CashFlow-Combined'!O178</f>
        <v>Total Uses</v>
      </c>
      <c r="I105" s="178">
        <f>'CashFlow-Combined'!P178</f>
        <v>292576546.85713738</v>
      </c>
      <c r="J105" s="10"/>
      <c r="K105" s="179">
        <f>'CashFlow-Combined'!R178</f>
        <v>0.65101473710598656</v>
      </c>
    </row>
    <row r="106" spans="1:11" ht="12" customHeight="1" thickBot="1" x14ac:dyDescent="0.8">
      <c r="H106" s="914" t="s">
        <v>384</v>
      </c>
      <c r="I106" s="915"/>
      <c r="J106" s="915"/>
      <c r="K106" s="917"/>
    </row>
    <row r="107" spans="1:11" ht="12" customHeight="1" x14ac:dyDescent="0.9">
      <c r="A107" s="961" t="s">
        <v>149</v>
      </c>
      <c r="B107" s="962"/>
      <c r="C107" s="962"/>
      <c r="D107" s="962"/>
      <c r="E107" s="963"/>
      <c r="H107" s="3"/>
      <c r="I107" s="184" t="s">
        <v>362</v>
      </c>
      <c r="J107" s="106"/>
      <c r="K107" s="185" t="s">
        <v>364</v>
      </c>
    </row>
    <row r="108" spans="1:11" ht="12" customHeight="1" x14ac:dyDescent="0.65">
      <c r="A108" s="829"/>
      <c r="B108" s="21"/>
      <c r="C108" s="47" t="s">
        <v>104</v>
      </c>
      <c r="D108" s="21" t="s">
        <v>104</v>
      </c>
      <c r="E108" s="4" t="s">
        <v>104</v>
      </c>
      <c r="H108" s="36" t="s">
        <v>117</v>
      </c>
      <c r="I108" s="108" t="s">
        <v>363</v>
      </c>
      <c r="J108" s="108" t="s">
        <v>360</v>
      </c>
      <c r="K108" s="109" t="s">
        <v>361</v>
      </c>
    </row>
    <row r="109" spans="1:11" ht="12" customHeight="1" x14ac:dyDescent="0.65">
      <c r="A109" s="830" t="s">
        <v>141</v>
      </c>
      <c r="B109" s="37" t="s">
        <v>103</v>
      </c>
      <c r="C109" s="38" t="s">
        <v>25</v>
      </c>
      <c r="D109" s="37" t="s">
        <v>24</v>
      </c>
      <c r="E109" s="39" t="s">
        <v>23</v>
      </c>
      <c r="H109" s="3" t="str">
        <f>'CashFlow-Combined'!O182</f>
        <v>Residential Apartments</v>
      </c>
      <c r="I109" s="146">
        <f>'CashFlow-Combined'!P182</f>
        <v>0</v>
      </c>
      <c r="J109" s="183">
        <f>'CashFlow-Combined'!Q182</f>
        <v>7.7499999999999999E-2</v>
      </c>
      <c r="K109" s="186">
        <f>'CashFlow-Combined'!R182</f>
        <v>0</v>
      </c>
    </row>
    <row r="110" spans="1:11" ht="12" customHeight="1" x14ac:dyDescent="0.65">
      <c r="A110" s="831" t="str">
        <f>'Assumptions-Office'!B9</f>
        <v>Market Rate Office Space</v>
      </c>
      <c r="B110" s="40">
        <f>'Assumptions-Office'!C9</f>
        <v>465286</v>
      </c>
      <c r="C110" s="41">
        <f>'Assumptions-Office'!D9</f>
        <v>0</v>
      </c>
      <c r="D110" s="40">
        <f>'Assumptions-Office'!E9</f>
        <v>295286</v>
      </c>
      <c r="E110" s="42">
        <f>'Assumptions-Office'!F9</f>
        <v>170000</v>
      </c>
      <c r="H110" s="3" t="str">
        <f>'CashFlow-Combined'!O183</f>
        <v>Retail</v>
      </c>
      <c r="I110" s="146">
        <f>'CashFlow-Combined'!P183</f>
        <v>0</v>
      </c>
      <c r="J110" s="183">
        <f>'CashFlow-Combined'!Q183</f>
        <v>8.2666666666666666E-2</v>
      </c>
      <c r="K110" s="186">
        <f>'CashFlow-Combined'!R183</f>
        <v>0</v>
      </c>
    </row>
    <row r="111" spans="1:11" ht="12" customHeight="1" x14ac:dyDescent="0.65">
      <c r="A111" s="831" t="str">
        <f>'Assumptions-Office'!B10</f>
        <v>Affordable Office Space</v>
      </c>
      <c r="B111" s="43">
        <f>'Assumptions-Office'!C10</f>
        <v>0</v>
      </c>
      <c r="C111" s="44">
        <f>'Assumptions-Office'!D10</f>
        <v>0</v>
      </c>
      <c r="D111" s="45">
        <f>'Assumptions-Office'!E10</f>
        <v>0</v>
      </c>
      <c r="E111" s="46">
        <f>'Assumptions-Office'!F10</f>
        <v>0</v>
      </c>
      <c r="H111" s="3" t="str">
        <f>'CashFlow-Combined'!O184</f>
        <v>Office</v>
      </c>
      <c r="I111" s="146">
        <f>'CashFlow-Combined'!P184</f>
        <v>0</v>
      </c>
      <c r="J111" s="183">
        <f>'CashFlow-Combined'!Q184</f>
        <v>9.849999999999999E-2</v>
      </c>
      <c r="K111" s="186">
        <f>'CashFlow-Combined'!R184</f>
        <v>0</v>
      </c>
    </row>
    <row r="112" spans="1:11" ht="12" customHeight="1" thickBot="1" x14ac:dyDescent="0.8">
      <c r="A112" s="833" t="str">
        <f>'Assumptions-Office'!B11</f>
        <v>Total</v>
      </c>
      <c r="B112" s="48">
        <f>'Assumptions-Office'!C11</f>
        <v>465286</v>
      </c>
      <c r="C112" s="49">
        <f>'Assumptions-Office'!D11</f>
        <v>0</v>
      </c>
      <c r="D112" s="48">
        <f>'Assumptions-Office'!E11</f>
        <v>295286</v>
      </c>
      <c r="E112" s="50">
        <f>'Assumptions-Office'!F11</f>
        <v>170000</v>
      </c>
      <c r="H112" s="3" t="str">
        <f>'CashFlow-Combined'!O185</f>
        <v>Hotel</v>
      </c>
      <c r="I112" s="146">
        <f>'CashFlow-Combined'!P185</f>
        <v>0</v>
      </c>
      <c r="J112" s="183">
        <f>'CashFlow-Combined'!Q185</f>
        <v>8.8749999999999996E-2</v>
      </c>
      <c r="K112" s="186">
        <f>'CashFlow-Combined'!R185</f>
        <v>0</v>
      </c>
    </row>
    <row r="113" spans="1:11" ht="12" customHeight="1" thickBot="1" x14ac:dyDescent="0.8">
      <c r="A113" s="8"/>
      <c r="B113" s="40"/>
      <c r="C113" s="40"/>
      <c r="D113" s="40"/>
      <c r="H113" s="3" t="str">
        <f>'CashFlow-Combined'!O186</f>
        <v>Parking</v>
      </c>
      <c r="I113" s="144">
        <f>'CashFlow-Combined'!P186</f>
        <v>0</v>
      </c>
      <c r="J113" s="183">
        <f>'CashFlow-Combined'!Q186</f>
        <v>0.05</v>
      </c>
      <c r="K113" s="187">
        <f>'CashFlow-Combined'!R186</f>
        <v>0</v>
      </c>
    </row>
    <row r="114" spans="1:11" ht="12" customHeight="1" x14ac:dyDescent="0.9">
      <c r="A114" s="738" t="s">
        <v>154</v>
      </c>
      <c r="B114" s="634"/>
      <c r="C114" s="634"/>
      <c r="D114" s="634"/>
      <c r="E114" s="634"/>
      <c r="F114" s="635"/>
      <c r="H114" s="3" t="str">
        <f>'CashFlow-Combined'!O187</f>
        <v>Total Cash Flow from Operations</v>
      </c>
      <c r="I114" s="146">
        <f>'CashFlow-Combined'!P187</f>
        <v>0</v>
      </c>
      <c r="J114" s="8"/>
      <c r="K114" s="186">
        <f>'CashFlow-Combined'!R187</f>
        <v>0</v>
      </c>
    </row>
    <row r="115" spans="1:11" ht="12" customHeight="1" x14ac:dyDescent="0.65">
      <c r="A115" s="3"/>
      <c r="B115" s="964" t="s">
        <v>155</v>
      </c>
      <c r="C115" s="965"/>
      <c r="D115" s="476" t="s">
        <v>156</v>
      </c>
      <c r="E115" s="477"/>
      <c r="F115" s="107" t="s">
        <v>158</v>
      </c>
      <c r="H115" s="3"/>
      <c r="I115" s="146"/>
      <c r="J115" s="8"/>
      <c r="K115" s="151"/>
    </row>
    <row r="116" spans="1:11" ht="12" customHeight="1" x14ac:dyDescent="0.65">
      <c r="A116" s="36" t="s">
        <v>141</v>
      </c>
      <c r="B116" s="113" t="s">
        <v>147</v>
      </c>
      <c r="C116" s="115" t="s">
        <v>148</v>
      </c>
      <c r="D116" s="113" t="s">
        <v>147</v>
      </c>
      <c r="E116" s="115" t="s">
        <v>148</v>
      </c>
      <c r="F116" s="109" t="s">
        <v>159</v>
      </c>
      <c r="H116" s="3" t="s">
        <v>365</v>
      </c>
      <c r="I116" s="21"/>
      <c r="J116" s="8"/>
      <c r="K116" s="188">
        <f>'CashFlow-Combined'!R189</f>
        <v>0.65</v>
      </c>
    </row>
    <row r="117" spans="1:11" ht="12" customHeight="1" x14ac:dyDescent="0.65">
      <c r="A117" s="289" t="str">
        <f>'Assumptions-Office'!K9</f>
        <v>Market Rate Office Space</v>
      </c>
      <c r="B117" s="307">
        <f>'Assumptions-Office'!L9</f>
        <v>30</v>
      </c>
      <c r="C117" s="136">
        <f>'Assumptions-Office'!M9</f>
        <v>2.5</v>
      </c>
      <c r="D117" s="307">
        <f>'Assumptions-Office'!N9</f>
        <v>0</v>
      </c>
      <c r="E117" s="136">
        <f>'Assumptions-Office'!O9</f>
        <v>0</v>
      </c>
      <c r="F117" s="308" t="str">
        <f>'Assumptions-Office'!P9</f>
        <v>FSG</v>
      </c>
      <c r="H117" s="3" t="s">
        <v>366</v>
      </c>
      <c r="I117" s="21"/>
      <c r="J117" s="8"/>
      <c r="K117" s="186">
        <f>'CashFlow-Combined'!R190</f>
        <v>0</v>
      </c>
    </row>
    <row r="118" spans="1:11" ht="12" customHeight="1" x14ac:dyDescent="0.65">
      <c r="A118" s="289" t="str">
        <f>'Assumptions-Office'!K10</f>
        <v>Affordable Office Space</v>
      </c>
      <c r="B118" s="140">
        <f>'Assumptions-Office'!L10</f>
        <v>30</v>
      </c>
      <c r="C118" s="137">
        <f>'Assumptions-Office'!M10</f>
        <v>2.5</v>
      </c>
      <c r="D118" s="140">
        <f>'Assumptions-Office'!N10</f>
        <v>0</v>
      </c>
      <c r="E118" s="137">
        <f>'Assumptions-Office'!O10</f>
        <v>0</v>
      </c>
      <c r="F118" s="309" t="str">
        <f>'Assumptions-Office'!P10</f>
        <v>FSG</v>
      </c>
      <c r="H118" s="3"/>
      <c r="I118" s="146"/>
      <c r="J118" s="8"/>
      <c r="K118" s="186"/>
    </row>
    <row r="119" spans="1:11" ht="12" customHeight="1" thickBot="1" x14ac:dyDescent="0.8">
      <c r="A119" s="301" t="str">
        <f>'Assumptions-Office'!K11</f>
        <v>Weighted Avg.</v>
      </c>
      <c r="B119" s="139">
        <f>'Assumptions-Office'!L11</f>
        <v>30</v>
      </c>
      <c r="C119" s="138">
        <f>'Assumptions-Office'!M11</f>
        <v>2.5</v>
      </c>
      <c r="D119" s="139">
        <f>'Assumptions-Office'!N11</f>
        <v>0</v>
      </c>
      <c r="E119" s="138">
        <f>'Assumptions-Office'!O11</f>
        <v>0</v>
      </c>
      <c r="F119" s="310" t="str">
        <f>'Assumptions-Office'!P11</f>
        <v>FSG</v>
      </c>
      <c r="H119" s="3" t="s">
        <v>369</v>
      </c>
      <c r="I119" s="146"/>
      <c r="J119" s="8"/>
      <c r="K119" s="189">
        <f>'CashFlow-Combined'!R192</f>
        <v>1.2</v>
      </c>
    </row>
    <row r="120" spans="1:11" ht="12" customHeight="1" thickBot="1" x14ac:dyDescent="0.8">
      <c r="H120" s="3" t="s">
        <v>370</v>
      </c>
      <c r="I120" s="146"/>
      <c r="J120" s="8"/>
      <c r="K120" s="186">
        <f>'CashFlow-Combined'!R193</f>
        <v>0</v>
      </c>
    </row>
    <row r="121" spans="1:11" ht="12" customHeight="1" x14ac:dyDescent="0.9">
      <c r="A121" s="738" t="s">
        <v>174</v>
      </c>
      <c r="B121" s="634"/>
      <c r="C121" s="634"/>
      <c r="D121" s="634"/>
      <c r="E121" s="635"/>
      <c r="H121" s="3"/>
      <c r="I121" s="146"/>
      <c r="J121" s="8"/>
      <c r="K121" s="186"/>
    </row>
    <row r="122" spans="1:11" ht="12" customHeight="1" x14ac:dyDescent="0.65">
      <c r="A122" s="829"/>
      <c r="B122" s="21"/>
      <c r="C122" s="816" t="s">
        <v>104</v>
      </c>
      <c r="D122" s="817" t="s">
        <v>104</v>
      </c>
      <c r="E122" s="818" t="s">
        <v>104</v>
      </c>
      <c r="H122" s="3" t="s">
        <v>371</v>
      </c>
      <c r="I122" s="146"/>
      <c r="J122" s="8"/>
      <c r="K122" s="186">
        <f>'CashFlow-Combined'!R195</f>
        <v>0</v>
      </c>
    </row>
    <row r="123" spans="1:11" ht="12" customHeight="1" x14ac:dyDescent="0.65">
      <c r="A123" s="830" t="s">
        <v>177</v>
      </c>
      <c r="B123" s="37" t="s">
        <v>103</v>
      </c>
      <c r="C123" s="826" t="s">
        <v>25</v>
      </c>
      <c r="D123" s="827" t="s">
        <v>24</v>
      </c>
      <c r="E123" s="828" t="s">
        <v>23</v>
      </c>
      <c r="H123" s="3" t="s">
        <v>372</v>
      </c>
      <c r="I123" s="146"/>
      <c r="J123" s="8"/>
      <c r="K123" s="186">
        <f>'CashFlow-Combined'!R196</f>
        <v>0</v>
      </c>
    </row>
    <row r="124" spans="1:11" ht="12" customHeight="1" x14ac:dyDescent="0.65">
      <c r="A124" s="831" t="str">
        <f>'Assumptions-Hotel'!B9</f>
        <v>Lifestyle Hotel</v>
      </c>
      <c r="B124" s="40">
        <f>'Assumptions-Hotel'!C9</f>
        <v>735</v>
      </c>
      <c r="C124" s="815">
        <f>'Assumptions-Hotel'!D9</f>
        <v>0</v>
      </c>
      <c r="D124" s="819">
        <f>'Assumptions-Hotel'!E9</f>
        <v>0</v>
      </c>
      <c r="E124" s="820">
        <f>'Assumptions-Hotel'!F9</f>
        <v>735</v>
      </c>
      <c r="H124" s="3" t="s">
        <v>373</v>
      </c>
      <c r="I124" s="8"/>
      <c r="J124" s="8"/>
      <c r="K124" s="151">
        <f>'CashFlow-Combined'!R197</f>
        <v>0</v>
      </c>
    </row>
    <row r="125" spans="1:11" ht="12" customHeight="1" thickBot="1" x14ac:dyDescent="0.8">
      <c r="A125" s="831" t="str">
        <f>'Assumptions-Hotel'!B10</f>
        <v>Professional Hotel</v>
      </c>
      <c r="B125" s="43">
        <f>'Assumptions-Hotel'!C10</f>
        <v>995</v>
      </c>
      <c r="C125" s="814">
        <f>'Assumptions-Hotel'!D10</f>
        <v>995</v>
      </c>
      <c r="D125" s="821">
        <f>'Assumptions-Hotel'!E10</f>
        <v>0</v>
      </c>
      <c r="E125" s="822">
        <f>'Assumptions-Hotel'!F10</f>
        <v>0</v>
      </c>
      <c r="H125" s="5" t="s">
        <v>375</v>
      </c>
      <c r="I125" s="10"/>
      <c r="J125" s="10"/>
      <c r="K125" s="190">
        <f>'CashFlow-Combined'!R198</f>
        <v>0</v>
      </c>
    </row>
    <row r="126" spans="1:11" ht="12" customHeight="1" thickBot="1" x14ac:dyDescent="0.8">
      <c r="A126" s="833" t="str">
        <f>'Assumptions-Hotel'!B11</f>
        <v>Total</v>
      </c>
      <c r="B126" s="48">
        <f>'Assumptions-Hotel'!C11</f>
        <v>1730</v>
      </c>
      <c r="C126" s="823">
        <f>'Assumptions-Hotel'!D11</f>
        <v>995</v>
      </c>
      <c r="D126" s="824">
        <f>'Assumptions-Hotel'!E11</f>
        <v>0</v>
      </c>
      <c r="E126" s="825">
        <f>'Assumptions-Hotel'!F11</f>
        <v>735</v>
      </c>
    </row>
    <row r="127" spans="1:11" ht="12" customHeight="1" thickBot="1" x14ac:dyDescent="0.8"/>
    <row r="128" spans="1:11" ht="12" customHeight="1" x14ac:dyDescent="0.9">
      <c r="A128" s="961" t="s">
        <v>176</v>
      </c>
      <c r="B128" s="962"/>
      <c r="C128" s="962"/>
      <c r="D128" s="963"/>
    </row>
    <row r="129" spans="1:4" ht="12" customHeight="1" x14ac:dyDescent="0.65">
      <c r="A129" s="36" t="s">
        <v>177</v>
      </c>
      <c r="B129" s="97" t="s">
        <v>178</v>
      </c>
      <c r="C129" s="37" t="s">
        <v>179</v>
      </c>
      <c r="D129" s="39" t="s">
        <v>180</v>
      </c>
    </row>
    <row r="130" spans="1:4" ht="12" customHeight="1" x14ac:dyDescent="0.65">
      <c r="A130" s="289" t="str">
        <f>'Assumptions-Hotel'!H8</f>
        <v>Lifestyle Hotel</v>
      </c>
      <c r="B130" s="302">
        <f>'Assumptions-Hotel'!I8</f>
        <v>200</v>
      </c>
      <c r="C130" s="311">
        <f>'Assumptions-Hotel'!J8</f>
        <v>0.85</v>
      </c>
      <c r="D130" s="312">
        <f>'Assumptions-Hotel'!K8</f>
        <v>170</v>
      </c>
    </row>
    <row r="131" spans="1:4" ht="12" customHeight="1" thickBot="1" x14ac:dyDescent="0.8">
      <c r="A131" s="301" t="str">
        <f>'Assumptions-Hotel'!H9</f>
        <v>Professional Hotel</v>
      </c>
      <c r="B131" s="304">
        <f>'Assumptions-Hotel'!I9</f>
        <v>170</v>
      </c>
      <c r="C131" s="313">
        <f>'Assumptions-Hotel'!J9</f>
        <v>0.85</v>
      </c>
      <c r="D131" s="314">
        <f>'Assumptions-Hotel'!K9</f>
        <v>144.5</v>
      </c>
    </row>
    <row r="132" spans="1:4" ht="12" customHeight="1" x14ac:dyDescent="0.65"/>
    <row r="133" spans="1:4" ht="12" customHeight="1" x14ac:dyDescent="0.65"/>
  </sheetData>
  <mergeCells count="14">
    <mergeCell ref="H1:K1"/>
    <mergeCell ref="H43:K43"/>
    <mergeCell ref="H85:K85"/>
    <mergeCell ref="A128:D128"/>
    <mergeCell ref="A98:D98"/>
    <mergeCell ref="B99:C99"/>
    <mergeCell ref="A27:E27"/>
    <mergeCell ref="A58:E58"/>
    <mergeCell ref="A44:E44"/>
    <mergeCell ref="A75:D75"/>
    <mergeCell ref="A51:E51"/>
    <mergeCell ref="A82:D82"/>
    <mergeCell ref="B115:C115"/>
    <mergeCell ref="A107:E107"/>
  </mergeCells>
  <pageMargins left="0.25" right="0.25" top="0.25" bottom="0.25" header="0.3" footer="0.3"/>
  <pageSetup paperSize="17" scale="75" orientation="portrait" r:id="rId1"/>
  <headerFooter>
    <oddFooter>&amp;RTEAM 192021_FINANCIAL PRO FORMA (2 OF 2)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A6340-867F-4C0D-BEAB-3E39F7256FC1}">
  <dimension ref="B1:L38"/>
  <sheetViews>
    <sheetView workbookViewId="0">
      <selection activeCell="H22" sqref="H22"/>
    </sheetView>
  </sheetViews>
  <sheetFormatPr defaultColWidth="9.08984375" defaultRowHeight="12.25" x14ac:dyDescent="0.65"/>
  <cols>
    <col min="1" max="1" width="2.76953125" style="1" customWidth="1"/>
    <col min="2" max="2" width="39.453125" style="1" customWidth="1"/>
    <col min="3" max="4" width="9.08984375" style="1"/>
    <col min="5" max="5" width="13.76953125" style="1" customWidth="1"/>
    <col min="6" max="7" width="13.453125" style="1" customWidth="1"/>
    <col min="8" max="8" width="9.08984375" style="1" customWidth="1"/>
    <col min="9" max="9" width="39.453125" style="1" customWidth="1"/>
    <col min="10" max="10" width="4.76953125" style="1" customWidth="1"/>
    <col min="11" max="11" width="16.08984375" style="1" customWidth="1"/>
    <col min="12" max="12" width="20.08984375" style="1" customWidth="1"/>
    <col min="13" max="16384" width="9.08984375" style="1"/>
  </cols>
  <sheetData>
    <row r="1" spans="2:12" ht="13" thickBot="1" x14ac:dyDescent="0.8"/>
    <row r="2" spans="2:12" x14ac:dyDescent="0.65">
      <c r="B2" s="1008" t="s">
        <v>37</v>
      </c>
      <c r="C2" s="1009"/>
      <c r="I2" s="1" t="s">
        <v>468</v>
      </c>
    </row>
    <row r="3" spans="2:12" x14ac:dyDescent="0.65">
      <c r="B3" s="3" t="s">
        <v>36</v>
      </c>
      <c r="C3" s="4" t="str">
        <f>ProjectName</f>
        <v>8th Hill</v>
      </c>
      <c r="D3" s="21"/>
    </row>
    <row r="4" spans="2:12" ht="13" thickBot="1" x14ac:dyDescent="0.8">
      <c r="B4" s="5" t="s">
        <v>35</v>
      </c>
      <c r="C4" s="6">
        <f>TeamNumber</f>
        <v>192021</v>
      </c>
      <c r="D4" s="34"/>
      <c r="E4" s="91"/>
    </row>
    <row r="6" spans="2:12" ht="13" thickBot="1" x14ac:dyDescent="0.8">
      <c r="C6" s="365"/>
      <c r="D6" s="365"/>
      <c r="E6" s="365"/>
      <c r="F6" s="365"/>
      <c r="G6" s="365"/>
      <c r="H6" s="365"/>
      <c r="I6" s="365"/>
      <c r="J6" s="365"/>
      <c r="K6" s="365"/>
      <c r="L6" s="365"/>
    </row>
    <row r="7" spans="2:12" x14ac:dyDescent="0.65">
      <c r="C7" s="1004" t="s">
        <v>520</v>
      </c>
      <c r="D7" s="1005"/>
      <c r="E7" s="365"/>
      <c r="F7" s="1004" t="s">
        <v>521</v>
      </c>
      <c r="G7" s="1005"/>
      <c r="H7" s="1005"/>
      <c r="I7" s="1006"/>
      <c r="J7" s="365"/>
      <c r="K7" s="1004" t="s">
        <v>160</v>
      </c>
      <c r="L7" s="1006"/>
    </row>
    <row r="8" spans="2:12" x14ac:dyDescent="0.65">
      <c r="C8" s="407"/>
      <c r="D8" s="371"/>
      <c r="E8" s="365"/>
      <c r="G8" s="1" t="s">
        <v>509</v>
      </c>
      <c r="H8" s="1" t="s">
        <v>510</v>
      </c>
      <c r="I8" s="1" t="s">
        <v>512</v>
      </c>
      <c r="J8" s="365"/>
      <c r="K8" s="409" t="s">
        <v>184</v>
      </c>
      <c r="L8" s="379" t="s">
        <v>181</v>
      </c>
    </row>
    <row r="9" spans="2:12" x14ac:dyDescent="0.65">
      <c r="C9" s="409" t="s">
        <v>519</v>
      </c>
      <c r="D9" s="377" t="s">
        <v>104</v>
      </c>
      <c r="E9" s="365"/>
      <c r="F9" s="1" t="s">
        <v>511</v>
      </c>
      <c r="G9" s="471">
        <v>3000000</v>
      </c>
      <c r="H9" s="472">
        <v>15</v>
      </c>
      <c r="I9" s="472">
        <f>G9*H9</f>
        <v>45000000</v>
      </c>
      <c r="J9" s="365"/>
      <c r="K9" s="391" t="s">
        <v>182</v>
      </c>
      <c r="L9" s="427">
        <v>0.3</v>
      </c>
    </row>
    <row r="10" spans="2:12" x14ac:dyDescent="0.65">
      <c r="C10" s="474">
        <v>0.5</v>
      </c>
      <c r="D10" s="22" t="s">
        <v>25</v>
      </c>
      <c r="E10" s="365"/>
      <c r="F10" s="1" t="s">
        <v>513</v>
      </c>
      <c r="I10" s="472">
        <f>(I9)*3%</f>
        <v>1350000</v>
      </c>
      <c r="J10" s="365"/>
      <c r="K10" s="391" t="s">
        <v>183</v>
      </c>
      <c r="L10" s="427">
        <v>0.05</v>
      </c>
    </row>
    <row r="11" spans="2:12" x14ac:dyDescent="0.65">
      <c r="C11" s="474">
        <v>0.5</v>
      </c>
      <c r="D11" s="382" t="s">
        <v>24</v>
      </c>
      <c r="E11" s="365"/>
      <c r="F11" s="1" t="s">
        <v>514</v>
      </c>
      <c r="I11" s="472">
        <f>(I9)*3%</f>
        <v>1350000</v>
      </c>
      <c r="J11" s="365"/>
      <c r="K11" s="391"/>
      <c r="L11" s="427"/>
    </row>
    <row r="12" spans="2:12" ht="13" thickBot="1" x14ac:dyDescent="0.8">
      <c r="C12" s="475">
        <v>1</v>
      </c>
      <c r="D12" s="387" t="s">
        <v>23</v>
      </c>
      <c r="E12" s="365"/>
      <c r="F12" s="1" t="s">
        <v>515</v>
      </c>
      <c r="I12" s="472">
        <f>(I9)*3%</f>
        <v>1350000</v>
      </c>
      <c r="J12" s="365"/>
      <c r="K12" s="409" t="s">
        <v>185</v>
      </c>
      <c r="L12" s="379" t="s">
        <v>186</v>
      </c>
    </row>
    <row r="13" spans="2:12" x14ac:dyDescent="0.65">
      <c r="C13" s="365"/>
      <c r="D13" s="365"/>
      <c r="E13" s="365"/>
      <c r="F13" s="1" t="s">
        <v>516</v>
      </c>
      <c r="I13" s="473">
        <f>I9-(SUM(I10:I12))</f>
        <v>40950000</v>
      </c>
      <c r="J13" s="365"/>
      <c r="K13" s="391" t="str">
        <f>K9</f>
        <v>Food &amp; Beverage</v>
      </c>
      <c r="L13" s="427">
        <v>0.3</v>
      </c>
    </row>
    <row r="14" spans="2:12" x14ac:dyDescent="0.65">
      <c r="C14" s="365"/>
      <c r="D14" s="365"/>
      <c r="E14" s="365"/>
      <c r="F14" s="365"/>
      <c r="G14" s="365"/>
      <c r="H14" s="365"/>
      <c r="I14" s="365"/>
      <c r="J14" s="365"/>
      <c r="K14" s="391" t="str">
        <f>K10</f>
        <v>Other Departments</v>
      </c>
      <c r="L14" s="427">
        <v>0.1</v>
      </c>
    </row>
    <row r="15" spans="2:12" x14ac:dyDescent="0.65">
      <c r="C15" s="365"/>
      <c r="D15" s="365"/>
      <c r="E15" s="365"/>
      <c r="F15" s="365"/>
      <c r="G15" s="365"/>
      <c r="H15" s="365"/>
      <c r="I15" s="365"/>
      <c r="J15" s="365"/>
      <c r="K15" s="391"/>
      <c r="L15" s="393"/>
    </row>
    <row r="16" spans="2:12" x14ac:dyDescent="0.65">
      <c r="C16" s="443"/>
      <c r="D16" s="443"/>
      <c r="E16" s="443"/>
      <c r="F16" s="443"/>
      <c r="G16" s="365"/>
      <c r="H16" s="365"/>
      <c r="I16" s="365"/>
      <c r="J16" s="365"/>
      <c r="K16" s="409" t="s">
        <v>187</v>
      </c>
      <c r="L16" s="379" t="s">
        <v>188</v>
      </c>
    </row>
    <row r="17" spans="3:12" x14ac:dyDescent="0.65">
      <c r="C17" s="443"/>
      <c r="D17" s="443"/>
      <c r="E17" s="443"/>
      <c r="F17" s="443"/>
      <c r="G17" s="365"/>
      <c r="H17" s="365"/>
      <c r="I17" s="365"/>
      <c r="J17" s="365"/>
      <c r="K17" s="391" t="s">
        <v>507</v>
      </c>
      <c r="L17" s="444">
        <v>33000</v>
      </c>
    </row>
    <row r="18" spans="3:12" ht="13" thickBot="1" x14ac:dyDescent="0.8">
      <c r="C18" s="443"/>
      <c r="D18" s="443"/>
      <c r="E18" s="443"/>
      <c r="F18" s="443"/>
      <c r="G18" s="365"/>
      <c r="H18" s="365"/>
      <c r="I18" s="365"/>
      <c r="J18" s="365"/>
      <c r="K18" s="392" t="s">
        <v>189</v>
      </c>
      <c r="L18" s="445">
        <v>10000</v>
      </c>
    </row>
    <row r="19" spans="3:12" x14ac:dyDescent="0.65">
      <c r="C19" s="443"/>
      <c r="D19" s="443"/>
      <c r="E19" s="443"/>
      <c r="F19" s="443"/>
      <c r="G19" s="365"/>
      <c r="H19" s="365"/>
      <c r="I19" s="365"/>
      <c r="J19" s="365"/>
      <c r="K19" s="1007" t="s">
        <v>508</v>
      </c>
      <c r="L19" s="1007"/>
    </row>
    <row r="23" spans="3:12" ht="12" customHeight="1" x14ac:dyDescent="0.65"/>
    <row r="24" spans="3:12" ht="12" customHeight="1" x14ac:dyDescent="0.65"/>
    <row r="25" spans="3:12" ht="12" customHeight="1" x14ac:dyDescent="0.65"/>
    <row r="26" spans="3:12" ht="12" customHeight="1" x14ac:dyDescent="0.65"/>
    <row r="27" spans="3:12" ht="12" customHeight="1" x14ac:dyDescent="0.65"/>
    <row r="28" spans="3:12" ht="12.45" customHeight="1" x14ac:dyDescent="0.65"/>
    <row r="34" spans="3:5" x14ac:dyDescent="0.65">
      <c r="C34" s="471"/>
      <c r="D34" s="472"/>
      <c r="E34" s="472"/>
    </row>
    <row r="35" spans="3:5" x14ac:dyDescent="0.65">
      <c r="E35" s="472"/>
    </row>
    <row r="36" spans="3:5" x14ac:dyDescent="0.65">
      <c r="E36" s="472"/>
    </row>
    <row r="37" spans="3:5" x14ac:dyDescent="0.65">
      <c r="E37" s="472"/>
    </row>
    <row r="38" spans="3:5" x14ac:dyDescent="0.65">
      <c r="E38" s="473"/>
    </row>
  </sheetData>
  <mergeCells count="5">
    <mergeCell ref="F7:I7"/>
    <mergeCell ref="K7:L7"/>
    <mergeCell ref="K19:L19"/>
    <mergeCell ref="B2:C2"/>
    <mergeCell ref="C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3897-B295-49A9-A85E-3CC96900C737}">
  <sheetPr>
    <tabColor rgb="FFFFF1AB"/>
    <pageSetUpPr fitToPage="1"/>
  </sheetPr>
  <dimension ref="A1:T304"/>
  <sheetViews>
    <sheetView zoomScaleNormal="100" workbookViewId="0">
      <selection activeCell="O105" sqref="O105:R105"/>
    </sheetView>
  </sheetViews>
  <sheetFormatPr defaultColWidth="9.08984375" defaultRowHeight="12.25" x14ac:dyDescent="0.65"/>
  <cols>
    <col min="1" max="1" width="2.76953125" style="1" customWidth="1"/>
    <col min="2" max="2" width="29.08984375" style="1" customWidth="1"/>
    <col min="3" max="3" width="7.08984375" style="1" customWidth="1"/>
    <col min="4" max="12" width="11.453125" style="1" customWidth="1"/>
    <col min="13" max="13" width="12.453125" style="1" customWidth="1"/>
    <col min="14" max="14" width="2.76953125" style="1" customWidth="1"/>
    <col min="15" max="15" width="31.08984375" style="1" customWidth="1"/>
    <col min="16" max="16" width="14.08984375" style="472" customWidth="1"/>
    <col min="17" max="17" width="10.453125" style="1" customWidth="1"/>
    <col min="18" max="18" width="10.76953125" style="1" customWidth="1"/>
    <col min="19" max="16384" width="9.08984375" style="1"/>
  </cols>
  <sheetData>
    <row r="1" spans="2:20" ht="13" thickBot="1" x14ac:dyDescent="0.8"/>
    <row r="2" spans="2:20" ht="14.25" x14ac:dyDescent="0.9">
      <c r="B2" s="966" t="s">
        <v>37</v>
      </c>
      <c r="C2" s="967"/>
    </row>
    <row r="3" spans="2:20" x14ac:dyDescent="0.65">
      <c r="B3" s="3" t="s">
        <v>36</v>
      </c>
      <c r="C3" s="4" t="str">
        <f>ProjectName</f>
        <v>8th Hill</v>
      </c>
    </row>
    <row r="4" spans="2:20" ht="13" thickBot="1" x14ac:dyDescent="0.8">
      <c r="B4" s="5" t="s">
        <v>35</v>
      </c>
      <c r="C4" s="6">
        <f>TeamNumber</f>
        <v>192021</v>
      </c>
    </row>
    <row r="5" spans="2:20" ht="13" thickBot="1" x14ac:dyDescent="0.8"/>
    <row r="6" spans="2:20" ht="14.25" x14ac:dyDescent="0.9">
      <c r="B6" s="961" t="s">
        <v>271</v>
      </c>
      <c r="C6" s="962"/>
      <c r="D6" s="962"/>
      <c r="E6" s="962"/>
      <c r="F6" s="962"/>
      <c r="G6" s="962"/>
      <c r="H6" s="962"/>
      <c r="I6" s="962"/>
      <c r="J6" s="962"/>
      <c r="K6" s="962"/>
      <c r="L6" s="962"/>
      <c r="M6" s="963"/>
    </row>
    <row r="7" spans="2:20" x14ac:dyDescent="0.65">
      <c r="B7" s="3" t="s">
        <v>191</v>
      </c>
      <c r="C7" s="8"/>
      <c r="D7" s="8">
        <v>1</v>
      </c>
      <c r="E7" s="8">
        <f>D7+1</f>
        <v>2</v>
      </c>
      <c r="F7" s="8">
        <f t="shared" ref="F7:M8" si="0">E7+1</f>
        <v>3</v>
      </c>
      <c r="G7" s="8">
        <f t="shared" si="0"/>
        <v>4</v>
      </c>
      <c r="H7" s="8">
        <f t="shared" si="0"/>
        <v>5</v>
      </c>
      <c r="I7" s="8">
        <f t="shared" si="0"/>
        <v>6</v>
      </c>
      <c r="J7" s="8">
        <f t="shared" si="0"/>
        <v>7</v>
      </c>
      <c r="K7" s="8">
        <f t="shared" si="0"/>
        <v>8</v>
      </c>
      <c r="L7" s="8">
        <f t="shared" si="0"/>
        <v>9</v>
      </c>
      <c r="M7" s="9">
        <f t="shared" si="0"/>
        <v>10</v>
      </c>
    </row>
    <row r="8" spans="2:20" x14ac:dyDescent="0.65">
      <c r="B8" s="3" t="s">
        <v>192</v>
      </c>
      <c r="C8" s="8"/>
      <c r="D8" s="8">
        <f>YEAR('Assumptions-Overall'!C9)</f>
        <v>2019</v>
      </c>
      <c r="E8" s="8">
        <f>D8+1</f>
        <v>2020</v>
      </c>
      <c r="F8" s="8">
        <f t="shared" si="0"/>
        <v>2021</v>
      </c>
      <c r="G8" s="8">
        <f t="shared" si="0"/>
        <v>2022</v>
      </c>
      <c r="H8" s="8">
        <f t="shared" si="0"/>
        <v>2023</v>
      </c>
      <c r="I8" s="8">
        <f t="shared" si="0"/>
        <v>2024</v>
      </c>
      <c r="J8" s="8">
        <f t="shared" si="0"/>
        <v>2025</v>
      </c>
      <c r="K8" s="8">
        <f t="shared" si="0"/>
        <v>2026</v>
      </c>
      <c r="L8" s="8">
        <f t="shared" si="0"/>
        <v>2027</v>
      </c>
      <c r="M8" s="9">
        <f t="shared" si="0"/>
        <v>2028</v>
      </c>
    </row>
    <row r="9" spans="2:20" ht="13" thickBot="1" x14ac:dyDescent="0.8">
      <c r="B9" s="3"/>
      <c r="C9" s="8"/>
      <c r="D9" s="8"/>
      <c r="E9" s="8"/>
      <c r="F9" s="8"/>
      <c r="G9" s="8"/>
      <c r="H9" s="8"/>
      <c r="I9" s="8"/>
      <c r="J9" s="8"/>
      <c r="K9" s="8"/>
      <c r="L9" s="8"/>
      <c r="M9" s="9"/>
    </row>
    <row r="10" spans="2:20" ht="14.25" x14ac:dyDescent="0.9">
      <c r="B10" s="147" t="s">
        <v>193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O10" s="961" t="s">
        <v>387</v>
      </c>
      <c r="P10" s="962"/>
      <c r="Q10" s="962"/>
      <c r="R10" s="963"/>
    </row>
    <row r="11" spans="2:20" x14ac:dyDescent="0.65">
      <c r="B11" s="3"/>
      <c r="C11" s="8"/>
      <c r="D11" s="148"/>
      <c r="E11" s="148"/>
      <c r="F11" s="148"/>
      <c r="G11" s="148"/>
      <c r="H11" s="148"/>
      <c r="I11" s="148"/>
      <c r="J11" s="148"/>
      <c r="K11" s="148"/>
      <c r="L11" s="148"/>
      <c r="M11" s="149"/>
      <c r="O11" s="147" t="s">
        <v>348</v>
      </c>
      <c r="P11" s="524"/>
      <c r="Q11" s="174"/>
      <c r="R11" s="9"/>
    </row>
    <row r="12" spans="2:20" x14ac:dyDescent="0.65">
      <c r="B12" s="36" t="s">
        <v>272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O12" s="3"/>
      <c r="P12" s="524"/>
      <c r="Q12" s="8"/>
      <c r="R12" s="149"/>
    </row>
    <row r="13" spans="2:20" x14ac:dyDescent="0.65">
      <c r="B13" s="3" t="s">
        <v>273</v>
      </c>
      <c r="C13" s="8"/>
      <c r="D13" s="146">
        <f>'CashFlow-ResRental'!D46</f>
        <v>0</v>
      </c>
      <c r="E13" s="146">
        <f>'CashFlow-ResRental'!E46</f>
        <v>0</v>
      </c>
      <c r="F13" s="146">
        <f>'CashFlow-ResRental'!F46</f>
        <v>0</v>
      </c>
      <c r="G13" s="146">
        <f>'CashFlow-ResRental'!G46</f>
        <v>0</v>
      </c>
      <c r="H13" s="146">
        <f>'CashFlow-ResRental'!H46</f>
        <v>11630824.916564872</v>
      </c>
      <c r="I13" s="146">
        <f>'CashFlow-ResRental'!I46</f>
        <v>15550531.268235317</v>
      </c>
      <c r="J13" s="146">
        <f>'CashFlow-ResRental'!J46</f>
        <v>16017047.206282372</v>
      </c>
      <c r="K13" s="146">
        <f>'CashFlow-ResRental'!K46</f>
        <v>16497558.622470846</v>
      </c>
      <c r="L13" s="146">
        <f>'CashFlow-ResRental'!L46</f>
        <v>16992485.381144974</v>
      </c>
      <c r="M13" s="151">
        <f>'CashFlow-ResRental'!M46</f>
        <v>17502259.942579322</v>
      </c>
      <c r="O13" s="36" t="s">
        <v>339</v>
      </c>
      <c r="P13" s="529" t="s">
        <v>315</v>
      </c>
      <c r="Q13" s="175" t="s">
        <v>65</v>
      </c>
      <c r="R13" s="109" t="s">
        <v>344</v>
      </c>
    </row>
    <row r="14" spans="2:20" s="365" customFormat="1" x14ac:dyDescent="0.65">
      <c r="B14" s="52" t="s">
        <v>47</v>
      </c>
      <c r="C14" s="366"/>
      <c r="D14" s="446">
        <f>'CashFlow-Retail'!D57</f>
        <v>0</v>
      </c>
      <c r="E14" s="446">
        <f>'CashFlow-Retail'!E57</f>
        <v>0</v>
      </c>
      <c r="F14" s="446">
        <f>'CashFlow-Retail'!F57</f>
        <v>0</v>
      </c>
      <c r="G14" s="446">
        <f>'CashFlow-Retail'!G57</f>
        <v>0</v>
      </c>
      <c r="H14" s="446">
        <f>'CashFlow-Retail'!H57</f>
        <v>3282556.7990460512</v>
      </c>
      <c r="I14" s="446">
        <f>'CashFlow-Retail'!I57</f>
        <v>3381033.5030174335</v>
      </c>
      <c r="J14" s="446">
        <f>'CashFlow-Retail'!J57</f>
        <v>3482464.5081079565</v>
      </c>
      <c r="K14" s="446">
        <f>'CashFlow-Retail'!K57</f>
        <v>3586938.4433511952</v>
      </c>
      <c r="L14" s="446">
        <f>'CashFlow-Retail'!L57</f>
        <v>3694546.5966517311</v>
      </c>
      <c r="M14" s="450">
        <f>'CashFlow-Retail'!M57</f>
        <v>3805382.9945512819</v>
      </c>
      <c r="O14" s="391" t="s">
        <v>66</v>
      </c>
      <c r="P14" s="527">
        <f>SUM(D49:M49)*Q14</f>
        <v>62846683.061524697</v>
      </c>
      <c r="Q14" s="525">
        <f>'Assumptions-Overall'!$M$11</f>
        <v>0.14999999999999991</v>
      </c>
      <c r="R14" s="526">
        <f>P14/$P$18</f>
        <v>0.14117010896948842</v>
      </c>
    </row>
    <row r="15" spans="2:20" x14ac:dyDescent="0.65">
      <c r="B15" s="56" t="s">
        <v>30</v>
      </c>
      <c r="C15" s="8"/>
      <c r="D15" s="146">
        <f>'CashFlow-Office'!D42</f>
        <v>0</v>
      </c>
      <c r="E15" s="146">
        <f>'CashFlow-Office'!E42</f>
        <v>0</v>
      </c>
      <c r="F15" s="146">
        <f>'CashFlow-Office'!F42</f>
        <v>0</v>
      </c>
      <c r="G15" s="146">
        <f>'CashFlow-Office'!G42</f>
        <v>0</v>
      </c>
      <c r="H15" s="146">
        <f>'CashFlow-Office'!H42</f>
        <v>0</v>
      </c>
      <c r="I15" s="146">
        <f>'CashFlow-Office'!I42</f>
        <v>0</v>
      </c>
      <c r="J15" s="146">
        <f>'CashFlow-Office'!J42</f>
        <v>0</v>
      </c>
      <c r="K15" s="146">
        <f>'CashFlow-Office'!K42</f>
        <v>0</v>
      </c>
      <c r="L15" s="146">
        <f>'CashFlow-Office'!L42</f>
        <v>0</v>
      </c>
      <c r="M15" s="151">
        <f>'CashFlow-Office'!M42</f>
        <v>0</v>
      </c>
      <c r="O15" s="56" t="s">
        <v>341</v>
      </c>
      <c r="P15" s="524">
        <f>SUM(D49:M49)*Q15+(SUM(D48:M48))</f>
        <v>88027677.284829259</v>
      </c>
      <c r="Q15" s="176">
        <f>'Assumptions-Overall'!$M$10</f>
        <v>0.2</v>
      </c>
      <c r="R15" s="163">
        <f>P15/$P$18</f>
        <v>0.19773321660372803</v>
      </c>
      <c r="T15" s="171"/>
    </row>
    <row r="16" spans="2:20" x14ac:dyDescent="0.65">
      <c r="B16" s="3" t="s">
        <v>49</v>
      </c>
      <c r="C16" s="8"/>
      <c r="D16" s="146">
        <f>'CashFlow-Hotel'!D58</f>
        <v>0</v>
      </c>
      <c r="E16" s="146">
        <f>'CashFlow-Hotel'!E58</f>
        <v>0</v>
      </c>
      <c r="F16" s="146">
        <f>'CashFlow-Hotel'!F58</f>
        <v>0</v>
      </c>
      <c r="G16" s="146">
        <f>'CashFlow-Hotel'!G58</f>
        <v>0</v>
      </c>
      <c r="H16" s="146">
        <f>'CashFlow-Hotel'!H58</f>
        <v>26148807.604457784</v>
      </c>
      <c r="I16" s="146">
        <f>'CashFlow-Hotel'!I58</f>
        <v>27147501.479153663</v>
      </c>
      <c r="J16" s="146">
        <f>'CashFlow-Hotel'!J58</f>
        <v>27741269.987569265</v>
      </c>
      <c r="K16" s="146">
        <f>'CashFlow-Hotel'!K58</f>
        <v>28573508.08719635</v>
      </c>
      <c r="L16" s="146">
        <f>'CashFlow-Hotel'!L58</f>
        <v>29430713.329812236</v>
      </c>
      <c r="M16" s="151">
        <f>'CashFlow-Hotel'!M58</f>
        <v>30554752.084275469</v>
      </c>
      <c r="O16" s="56" t="s">
        <v>342</v>
      </c>
      <c r="P16" s="524">
        <f>SUM(D49:M49)*Q16</f>
        <v>272335626.59994054</v>
      </c>
      <c r="Q16" s="176">
        <f>'Assumptions-Overall'!$M$9</f>
        <v>0.65</v>
      </c>
      <c r="R16" s="163">
        <f>P16/$P$18</f>
        <v>0.61173713886778358</v>
      </c>
    </row>
    <row r="17" spans="1:18" x14ac:dyDescent="0.65">
      <c r="B17" s="56" t="s">
        <v>274</v>
      </c>
      <c r="C17" s="8"/>
      <c r="D17" s="446">
        <f>0</f>
        <v>0</v>
      </c>
      <c r="E17" s="446">
        <f>0</f>
        <v>0</v>
      </c>
      <c r="F17" s="446">
        <f>0</f>
        <v>0</v>
      </c>
      <c r="G17" s="446">
        <f>0</f>
        <v>0</v>
      </c>
      <c r="H17" s="446">
        <f>0</f>
        <v>0</v>
      </c>
      <c r="I17" s="446">
        <f>0</f>
        <v>0</v>
      </c>
      <c r="J17" s="446">
        <f>0</f>
        <v>0</v>
      </c>
      <c r="K17" s="446">
        <f>0</f>
        <v>0</v>
      </c>
      <c r="L17" s="446">
        <f>0</f>
        <v>0</v>
      </c>
      <c r="M17" s="450">
        <f>0</f>
        <v>0</v>
      </c>
      <c r="O17" s="56" t="s">
        <v>354</v>
      </c>
      <c r="P17" s="528">
        <f>SUMIF(D$8:M$8,"&lt;"&amp;YEAR(PhaseIComplete),D36:M37)</f>
        <v>21974078.71953252</v>
      </c>
      <c r="Q17" s="176" t="s">
        <v>9</v>
      </c>
      <c r="R17" s="177">
        <f>P17/$P$18</f>
        <v>4.9359535558999863E-2</v>
      </c>
    </row>
    <row r="18" spans="1:18" x14ac:dyDescent="0.65">
      <c r="A18" s="365"/>
      <c r="B18" s="391" t="s">
        <v>481</v>
      </c>
      <c r="C18" s="366"/>
      <c r="D18" s="446">
        <f>'CashFlow-Infrastructure'!D28</f>
        <v>0</v>
      </c>
      <c r="E18" s="446">
        <f>'CashFlow-Infrastructure'!E28</f>
        <v>0</v>
      </c>
      <c r="F18" s="446">
        <f>'CashFlow-Infrastructure'!F28</f>
        <v>0</v>
      </c>
      <c r="G18" s="446">
        <f>'CashFlow-Infrastructure'!G28</f>
        <v>0</v>
      </c>
      <c r="H18" s="446">
        <f>'CashFlow-Infrastructure'!H28</f>
        <v>13376090</v>
      </c>
      <c r="I18" s="446">
        <f>'CashFlow-Infrastructure'!I28</f>
        <v>13777372.699999999</v>
      </c>
      <c r="J18" s="446">
        <f>'CashFlow-Infrastructure'!J28</f>
        <v>14190693.880999999</v>
      </c>
      <c r="K18" s="446">
        <f>'CashFlow-Infrastructure'!K28</f>
        <v>14616414.697430002</v>
      </c>
      <c r="L18" s="446">
        <f>'CashFlow-Infrastructure'!L28</f>
        <v>15054907.138352901</v>
      </c>
      <c r="M18" s="450">
        <f>'CashFlow-Infrastructure'!M28</f>
        <v>15506554.352503488</v>
      </c>
      <c r="N18" s="365"/>
      <c r="O18" s="3" t="s">
        <v>343</v>
      </c>
      <c r="P18" s="524">
        <f>SUM(P14:P17)</f>
        <v>445184065.66582704</v>
      </c>
      <c r="Q18" s="8"/>
      <c r="R18" s="163">
        <f>P18/$P$18</f>
        <v>1</v>
      </c>
    </row>
    <row r="19" spans="1:18" x14ac:dyDescent="0.65">
      <c r="B19" s="3" t="s">
        <v>275</v>
      </c>
      <c r="C19" s="8"/>
      <c r="D19" s="446">
        <f t="shared" ref="D19:L19" si="1">SUM(D13:D18)</f>
        <v>0</v>
      </c>
      <c r="E19" s="446">
        <f t="shared" si="1"/>
        <v>0</v>
      </c>
      <c r="F19" s="446">
        <f t="shared" si="1"/>
        <v>0</v>
      </c>
      <c r="G19" s="446">
        <f t="shared" si="1"/>
        <v>0</v>
      </c>
      <c r="H19" s="446">
        <f t="shared" si="1"/>
        <v>54438279.32006871</v>
      </c>
      <c r="I19" s="446">
        <f t="shared" si="1"/>
        <v>59856438.950406417</v>
      </c>
      <c r="J19" s="446">
        <f t="shared" si="1"/>
        <v>61431475.582959592</v>
      </c>
      <c r="K19" s="446">
        <f t="shared" si="1"/>
        <v>63274419.850448392</v>
      </c>
      <c r="L19" s="446">
        <f t="shared" si="1"/>
        <v>65172652.44596184</v>
      </c>
      <c r="M19" s="450">
        <f>SUM(M13:M18)</f>
        <v>67368949.373909563</v>
      </c>
      <c r="O19" s="3"/>
      <c r="P19" s="524"/>
      <c r="Q19" s="8"/>
      <c r="R19" s="151"/>
    </row>
    <row r="20" spans="1:18" x14ac:dyDescent="0.65">
      <c r="B20" s="3" t="s">
        <v>280</v>
      </c>
      <c r="C20" s="8"/>
      <c r="D20" s="146">
        <f t="shared" ref="D20:M20" si="2">-(D$8=YEAR(PhaseIConEnd))*LandPhaseI</f>
        <v>0</v>
      </c>
      <c r="E20" s="146">
        <f t="shared" si="2"/>
        <v>0</v>
      </c>
      <c r="F20" s="146">
        <f t="shared" si="2"/>
        <v>0</v>
      </c>
      <c r="G20" s="146">
        <f t="shared" si="2"/>
        <v>-8703090</v>
      </c>
      <c r="H20" s="146">
        <f t="shared" si="2"/>
        <v>0</v>
      </c>
      <c r="I20" s="146">
        <f t="shared" si="2"/>
        <v>0</v>
      </c>
      <c r="J20" s="146">
        <f t="shared" si="2"/>
        <v>0</v>
      </c>
      <c r="K20" s="146">
        <f t="shared" si="2"/>
        <v>0</v>
      </c>
      <c r="L20" s="146">
        <f t="shared" si="2"/>
        <v>0</v>
      </c>
      <c r="M20" s="151">
        <f t="shared" si="2"/>
        <v>0</v>
      </c>
      <c r="O20" s="36" t="s">
        <v>340</v>
      </c>
      <c r="P20" s="529" t="s">
        <v>315</v>
      </c>
      <c r="Q20" s="175"/>
      <c r="R20" s="109" t="s">
        <v>344</v>
      </c>
    </row>
    <row r="21" spans="1:18" x14ac:dyDescent="0.65">
      <c r="B21" s="3"/>
      <c r="C21" s="8"/>
      <c r="D21" s="146"/>
      <c r="E21" s="146"/>
      <c r="F21" s="146"/>
      <c r="G21" s="146"/>
      <c r="H21" s="146"/>
      <c r="I21" s="146"/>
      <c r="J21" s="146"/>
      <c r="K21" s="146"/>
      <c r="L21" s="146"/>
      <c r="M21" s="151"/>
      <c r="O21" s="3" t="s">
        <v>280</v>
      </c>
      <c r="P21" s="524">
        <f>-SUM(D20:M20)</f>
        <v>8703090</v>
      </c>
      <c r="Q21" s="8"/>
      <c r="R21" s="163">
        <f t="shared" ref="R21:R29" si="3">P21/$P$30</f>
        <v>1.9365324764484017E-2</v>
      </c>
    </row>
    <row r="22" spans="1:18" x14ac:dyDescent="0.65">
      <c r="B22" s="36" t="s">
        <v>130</v>
      </c>
      <c r="C22" s="8"/>
      <c r="D22" s="146"/>
      <c r="E22" s="146"/>
      <c r="F22" s="146"/>
      <c r="G22" s="146"/>
      <c r="H22" s="146"/>
      <c r="I22" s="146"/>
      <c r="J22" s="146"/>
      <c r="K22" s="146"/>
      <c r="L22" s="146"/>
      <c r="M22" s="151"/>
      <c r="O22" s="3" t="str">
        <f t="shared" ref="O22:O28" si="4">B23&amp;" Construction Costs"</f>
        <v>Residential Apartments Construction Costs</v>
      </c>
      <c r="P22" s="524">
        <f t="shared" ref="P22:P28" si="5">-SUM(D23:M23)</f>
        <v>202836050.70088398</v>
      </c>
      <c r="Q22" s="8"/>
      <c r="R22" s="163">
        <f t="shared" si="3"/>
        <v>0.45133234239424896</v>
      </c>
    </row>
    <row r="23" spans="1:18" x14ac:dyDescent="0.65">
      <c r="B23" s="3" t="s">
        <v>273</v>
      </c>
      <c r="C23" s="8"/>
      <c r="D23" s="146">
        <f>'CashFlow-ResRental'!D53</f>
        <v>-6994346.575892549</v>
      </c>
      <c r="E23" s="146">
        <f>'CashFlow-ResRental'!E53</f>
        <v>-6994346.575892549</v>
      </c>
      <c r="F23" s="146">
        <f>'CashFlow-ResRental'!F53</f>
        <v>-93131619.678017557</v>
      </c>
      <c r="G23" s="146">
        <f>'CashFlow-ResRental'!G53</f>
        <v>-95715737.871081308</v>
      </c>
      <c r="H23" s="146">
        <f>'CashFlow-ResRental'!H53</f>
        <v>0</v>
      </c>
      <c r="I23" s="146">
        <f>'CashFlow-ResRental'!I53</f>
        <v>0</v>
      </c>
      <c r="J23" s="146">
        <f>'CashFlow-ResRental'!J53</f>
        <v>0</v>
      </c>
      <c r="K23" s="146">
        <f>'CashFlow-ResRental'!K53</f>
        <v>0</v>
      </c>
      <c r="L23" s="146">
        <f>'CashFlow-ResRental'!L53</f>
        <v>0</v>
      </c>
      <c r="M23" s="151">
        <f>'CashFlow-ResRental'!M53</f>
        <v>0</v>
      </c>
      <c r="O23" s="3" t="str">
        <f t="shared" si="4"/>
        <v>Residential Condos Construction Costs</v>
      </c>
      <c r="P23" s="524">
        <f t="shared" si="5"/>
        <v>88746189.342636064</v>
      </c>
      <c r="Q23" s="8"/>
      <c r="R23" s="163">
        <f t="shared" si="3"/>
        <v>0.19746995357172425</v>
      </c>
    </row>
    <row r="24" spans="1:18" x14ac:dyDescent="0.65">
      <c r="B24" s="3" t="s">
        <v>276</v>
      </c>
      <c r="C24" s="8"/>
      <c r="D24" s="146">
        <f>'CashFlow-ResCondo'!D31</f>
        <v>-3060213.4256081404</v>
      </c>
      <c r="E24" s="146">
        <f>'CashFlow-ResCondo'!E31</f>
        <v>-3060213.4256081404</v>
      </c>
      <c r="F24" s="146">
        <f>'CashFlow-ResCondo'!F31</f>
        <v>-40747570.883836471</v>
      </c>
      <c r="G24" s="146">
        <f>'CashFlow-ResCondo'!G31</f>
        <v>-41878191.607583314</v>
      </c>
      <c r="H24" s="146">
        <f>'CashFlow-ResCondo'!H31</f>
        <v>0</v>
      </c>
      <c r="I24" s="146">
        <f>'CashFlow-ResCondo'!I31</f>
        <v>0</v>
      </c>
      <c r="J24" s="146">
        <f>'CashFlow-ResCondo'!J31</f>
        <v>0</v>
      </c>
      <c r="K24" s="146">
        <f>'CashFlow-ResCondo'!K31</f>
        <v>0</v>
      </c>
      <c r="L24" s="146">
        <f>'CashFlow-ResCondo'!L31</f>
        <v>0</v>
      </c>
      <c r="M24" s="151">
        <f>'CashFlow-ResCondo'!M31</f>
        <v>0</v>
      </c>
      <c r="O24" s="3" t="str">
        <f t="shared" si="4"/>
        <v>Retail Construction Costs</v>
      </c>
      <c r="P24" s="524">
        <f t="shared" si="5"/>
        <v>13835525.0459181</v>
      </c>
      <c r="Q24" s="8"/>
      <c r="R24" s="163">
        <f t="shared" si="3"/>
        <v>3.0785552694658637E-2</v>
      </c>
    </row>
    <row r="25" spans="1:18" x14ac:dyDescent="0.65">
      <c r="B25" s="3" t="s">
        <v>47</v>
      </c>
      <c r="C25" s="8"/>
      <c r="D25" s="146">
        <f>'CashFlow-Retail'!D69</f>
        <v>-458274.4889026499</v>
      </c>
      <c r="E25" s="146">
        <f>'CashFlow-Retail'!E69</f>
        <v>-458274.4889026499</v>
      </c>
      <c r="F25" s="146">
        <f>'CashFlow-Retail'!F69</f>
        <v>-6370800.1491526496</v>
      </c>
      <c r="G25" s="146">
        <f>'CashFlow-Retail'!G69</f>
        <v>-6548175.9189601494</v>
      </c>
      <c r="H25" s="146">
        <f>'CashFlow-Retail'!H69</f>
        <v>0</v>
      </c>
      <c r="I25" s="146">
        <f>'CashFlow-Retail'!I69</f>
        <v>0</v>
      </c>
      <c r="J25" s="146">
        <f>'CashFlow-Retail'!J69</f>
        <v>0</v>
      </c>
      <c r="K25" s="146">
        <f>'CashFlow-Retail'!K69</f>
        <v>0</v>
      </c>
      <c r="L25" s="146">
        <f>'CashFlow-Retail'!L69</f>
        <v>0</v>
      </c>
      <c r="M25" s="151">
        <f>'CashFlow-Retail'!M69</f>
        <v>0</v>
      </c>
      <c r="O25" s="3" t="str">
        <f t="shared" si="4"/>
        <v>Office Construction Costs</v>
      </c>
      <c r="P25" s="524">
        <f t="shared" si="5"/>
        <v>0</v>
      </c>
      <c r="Q25" s="8"/>
      <c r="R25" s="163">
        <f t="shared" si="3"/>
        <v>0</v>
      </c>
    </row>
    <row r="26" spans="1:18" x14ac:dyDescent="0.65">
      <c r="B26" s="3" t="s">
        <v>30</v>
      </c>
      <c r="C26" s="8"/>
      <c r="D26" s="146">
        <f>'CashFlow-Office'!D49</f>
        <v>0</v>
      </c>
      <c r="E26" s="146">
        <f>'CashFlow-Office'!E49</f>
        <v>0</v>
      </c>
      <c r="F26" s="146">
        <f>'CashFlow-Office'!F49</f>
        <v>0</v>
      </c>
      <c r="G26" s="146">
        <f>'CashFlow-Office'!G49</f>
        <v>0</v>
      </c>
      <c r="H26" s="146">
        <f>'CashFlow-Office'!H49</f>
        <v>0</v>
      </c>
      <c r="I26" s="146">
        <f>'CashFlow-Office'!I49</f>
        <v>0</v>
      </c>
      <c r="J26" s="146">
        <f>'CashFlow-Office'!J49</f>
        <v>0</v>
      </c>
      <c r="K26" s="146">
        <f>'CashFlow-Office'!K49</f>
        <v>0</v>
      </c>
      <c r="L26" s="146">
        <f>'CashFlow-Office'!L49</f>
        <v>0</v>
      </c>
      <c r="M26" s="151">
        <f>'CashFlow-Office'!M49</f>
        <v>0</v>
      </c>
      <c r="O26" s="3" t="str">
        <f t="shared" si="4"/>
        <v>Hotel Construction Costs</v>
      </c>
      <c r="P26" s="524">
        <f t="shared" si="5"/>
        <v>81972427.6875</v>
      </c>
      <c r="Q26" s="8"/>
      <c r="R26" s="163">
        <f t="shared" si="3"/>
        <v>0.18239759486591764</v>
      </c>
    </row>
    <row r="27" spans="1:18" x14ac:dyDescent="0.65">
      <c r="B27" s="3" t="s">
        <v>49</v>
      </c>
      <c r="C27" s="8"/>
      <c r="D27" s="146">
        <f>'CashFlow-Hotel'!D65</f>
        <v>-2826635.4375</v>
      </c>
      <c r="E27" s="146">
        <f>'CashFlow-Hotel'!E65</f>
        <v>-2826635.4375</v>
      </c>
      <c r="F27" s="146">
        <f>'CashFlow-Hotel'!F65</f>
        <v>-37637416.6875</v>
      </c>
      <c r="G27" s="146">
        <f>'CashFlow-Hotel'!G65</f>
        <v>-38681740.125</v>
      </c>
      <c r="H27" s="146">
        <f>'CashFlow-Hotel'!H65</f>
        <v>0</v>
      </c>
      <c r="I27" s="146">
        <f>'CashFlow-Hotel'!I65</f>
        <v>0</v>
      </c>
      <c r="J27" s="146">
        <f>'CashFlow-Hotel'!J65</f>
        <v>0</v>
      </c>
      <c r="K27" s="146">
        <f>'CashFlow-Hotel'!K65</f>
        <v>0</v>
      </c>
      <c r="L27" s="146">
        <f>'CashFlow-Hotel'!L65</f>
        <v>0</v>
      </c>
      <c r="M27" s="151">
        <f>'CashFlow-Hotel'!M65</f>
        <v>0</v>
      </c>
      <c r="O27" s="3" t="str">
        <f t="shared" si="4"/>
        <v>Parking Construction Costs</v>
      </c>
      <c r="P27" s="524">
        <f t="shared" si="5"/>
        <v>0</v>
      </c>
      <c r="Q27" s="8"/>
      <c r="R27" s="163">
        <f t="shared" si="3"/>
        <v>0</v>
      </c>
    </row>
    <row r="28" spans="1:18" x14ac:dyDescent="0.65">
      <c r="B28" s="3" t="s">
        <v>274</v>
      </c>
      <c r="C28" s="8"/>
      <c r="D28" s="146">
        <f>0</f>
        <v>0</v>
      </c>
      <c r="E28" s="146">
        <f>0</f>
        <v>0</v>
      </c>
      <c r="F28" s="146">
        <f>0</f>
        <v>0</v>
      </c>
      <c r="G28" s="146">
        <f>0</f>
        <v>0</v>
      </c>
      <c r="H28" s="146">
        <f>0</f>
        <v>0</v>
      </c>
      <c r="I28" s="146">
        <f>0</f>
        <v>0</v>
      </c>
      <c r="J28" s="146">
        <f>0</f>
        <v>0</v>
      </c>
      <c r="K28" s="146">
        <f>0</f>
        <v>0</v>
      </c>
      <c r="L28" s="146">
        <f>0</f>
        <v>0</v>
      </c>
      <c r="M28" s="151">
        <f>0</f>
        <v>0</v>
      </c>
      <c r="O28" s="3" t="str">
        <f t="shared" si="4"/>
        <v>Infrastructure Construction Costs</v>
      </c>
      <c r="P28" s="524">
        <f t="shared" si="5"/>
        <v>49090782.888888888</v>
      </c>
      <c r="Q28" s="8"/>
      <c r="R28" s="163">
        <f t="shared" si="3"/>
        <v>0.10923234777373418</v>
      </c>
    </row>
    <row r="29" spans="1:18" x14ac:dyDescent="0.65">
      <c r="B29" s="56" t="s">
        <v>277</v>
      </c>
      <c r="C29" s="8"/>
      <c r="D29" s="144">
        <f>-(AND(D$8&gt;=YEAR(PhaseIConBegin),D$8&lt;=YEAR(PhaseIConEnd)))*'Assumptions-Land&amp;Infrastructure'!$G$37/(YEAR(PhaseIConEnd)-YEAR(PhaseIConBegin)+1)</f>
        <v>0</v>
      </c>
      <c r="E29" s="144">
        <f>-(AND(E$8&gt;=YEAR(PhaseIConBegin),E$8&lt;=YEAR(PhaseIConEnd)))*'Assumptions-Land&amp;Infrastructure'!$G$37/(YEAR(PhaseIConEnd)-YEAR(PhaseIConBegin)+1)</f>
        <v>0</v>
      </c>
      <c r="F29" s="144">
        <f>-(AND(F$8&gt;=YEAR(PhaseIConBegin),F$8&lt;=YEAR(PhaseIConEnd)))*'Assumptions-Land&amp;Infrastructure'!$G$37/(YEAR(PhaseIConEnd)-YEAR(PhaseIConBegin)+1)</f>
        <v>-24545391.444444444</v>
      </c>
      <c r="G29" s="144">
        <f>-(AND(G$8&gt;=YEAR(PhaseIConBegin),G$8&lt;=YEAR(PhaseIConEnd)))*'Assumptions-Land&amp;Infrastructure'!$G$37/(YEAR(PhaseIConEnd)-YEAR(PhaseIConBegin)+1)</f>
        <v>-24545391.444444444</v>
      </c>
      <c r="H29" s="144">
        <f>-(AND(H$8&gt;=YEAR(PhaseIConBegin),H$8&lt;=YEAR(PhaseIConEnd)))*'Assumptions-Land&amp;Infrastructure'!$G$37/(YEAR(PhaseIConEnd)-YEAR(PhaseIConBegin)+1)</f>
        <v>0</v>
      </c>
      <c r="I29" s="144">
        <f>-(AND(I$8&gt;=YEAR(PhaseIConBegin),I$8&lt;=YEAR(PhaseIConEnd)))*'Assumptions-Land&amp;Infrastructure'!$G$37/(YEAR(PhaseIConEnd)-YEAR(PhaseIConBegin)+1)</f>
        <v>0</v>
      </c>
      <c r="J29" s="144">
        <f>-(AND(J$8&gt;=YEAR(PhaseIConBegin),J$8&lt;=YEAR(PhaseIConEnd)))*'Assumptions-Land&amp;Infrastructure'!$G$37/(YEAR(PhaseIConEnd)-YEAR(PhaseIConBegin)+1)</f>
        <v>0</v>
      </c>
      <c r="K29" s="144">
        <f>-(AND(K$8&gt;=YEAR(PhaseIConBegin),K$8&lt;=YEAR(PhaseIConEnd)))*'Assumptions-Land&amp;Infrastructure'!$G$37/(YEAR(PhaseIConEnd)-YEAR(PhaseIConBegin)+1)</f>
        <v>0</v>
      </c>
      <c r="L29" s="144">
        <f>-(AND(L$8&gt;=YEAR(PhaseIConBegin),L$8&lt;=YEAR(PhaseIConEnd)))*'Assumptions-Land&amp;Infrastructure'!$G$37/(YEAR(PhaseIConEnd)-YEAR(PhaseIConBegin)+1)</f>
        <v>0</v>
      </c>
      <c r="M29" s="152">
        <f>-(AND(M$8&gt;=YEAR(PhaseIConBegin),M$8&lt;=YEAR(PhaseIConEnd)))*'Assumptions-Land&amp;Infrastructure'!$G$37/(YEAR(PhaseIConEnd)-YEAR(PhaseIConBegin)+1)</f>
        <v>0</v>
      </c>
      <c r="O29" s="3" t="s">
        <v>345</v>
      </c>
      <c r="P29" s="533">
        <f>SUM(D48:M48)</f>
        <v>4232099.8694629446</v>
      </c>
      <c r="Q29" s="8"/>
      <c r="R29" s="177">
        <f t="shared" si="3"/>
        <v>9.416883935232238E-3</v>
      </c>
    </row>
    <row r="30" spans="1:18" ht="13" thickBot="1" x14ac:dyDescent="0.8">
      <c r="B30" s="3" t="s">
        <v>212</v>
      </c>
      <c r="C30" s="8"/>
      <c r="D30" s="146">
        <f>SUM(D23:D29)</f>
        <v>-13339469.927903339</v>
      </c>
      <c r="E30" s="146">
        <f t="shared" ref="E30:M30" si="6">SUM(E23:E29)</f>
        <v>-13339469.927903339</v>
      </c>
      <c r="F30" s="146">
        <f t="shared" si="6"/>
        <v>-202432798.84295112</v>
      </c>
      <c r="G30" s="146">
        <f t="shared" si="6"/>
        <v>-207369236.96706924</v>
      </c>
      <c r="H30" s="146">
        <f t="shared" si="6"/>
        <v>0</v>
      </c>
      <c r="I30" s="146">
        <f t="shared" si="6"/>
        <v>0</v>
      </c>
      <c r="J30" s="146">
        <f t="shared" si="6"/>
        <v>0</v>
      </c>
      <c r="K30" s="146">
        <f t="shared" si="6"/>
        <v>0</v>
      </c>
      <c r="L30" s="146">
        <f t="shared" si="6"/>
        <v>0</v>
      </c>
      <c r="M30" s="151">
        <f t="shared" si="6"/>
        <v>0</v>
      </c>
      <c r="O30" s="5" t="s">
        <v>346</v>
      </c>
      <c r="P30" s="530">
        <f>SUM(P21:P29)</f>
        <v>449416165.53529</v>
      </c>
      <c r="Q30" s="10"/>
      <c r="R30" s="179">
        <f>P30/$P$30</f>
        <v>1</v>
      </c>
    </row>
    <row r="31" spans="1:18" x14ac:dyDescent="0.65">
      <c r="B31" s="3"/>
      <c r="C31" s="8"/>
      <c r="D31" s="146"/>
      <c r="E31" s="146"/>
      <c r="F31" s="146"/>
      <c r="G31" s="146"/>
      <c r="H31" s="128"/>
      <c r="I31" s="146"/>
      <c r="J31" s="146"/>
      <c r="K31" s="146"/>
      <c r="L31" s="146"/>
      <c r="M31" s="151"/>
      <c r="O31" s="147" t="s">
        <v>347</v>
      </c>
      <c r="P31" s="524"/>
      <c r="Q31" s="8"/>
      <c r="R31" s="9"/>
    </row>
    <row r="32" spans="1:18" x14ac:dyDescent="0.65">
      <c r="B32" s="3" t="s">
        <v>571</v>
      </c>
      <c r="C32" s="8"/>
      <c r="D32" s="146">
        <f>'CashFlow-ResRental'!D55</f>
        <v>0</v>
      </c>
      <c r="E32" s="146">
        <f>'CashFlow-ResRental'!E55</f>
        <v>0</v>
      </c>
      <c r="F32" s="146">
        <f>'CashFlow-ResRental'!F55</f>
        <v>0</v>
      </c>
      <c r="G32" s="146">
        <f>'CashFlow-ResRental'!G55</f>
        <v>0</v>
      </c>
      <c r="H32" s="146">
        <f>'CashFlow-ResRental'!H55</f>
        <v>7252570</v>
      </c>
      <c r="I32" s="146">
        <f>'CashFlow-ResRental'!I55</f>
        <v>0</v>
      </c>
      <c r="J32" s="146">
        <f>'CashFlow-ResRental'!J55</f>
        <v>0</v>
      </c>
      <c r="K32" s="146">
        <f>'CashFlow-ResRental'!K55</f>
        <v>0</v>
      </c>
      <c r="L32" s="146">
        <f>'CashFlow-ResRental'!L55</f>
        <v>0</v>
      </c>
      <c r="M32" s="151">
        <f>'CashFlow-ResRental'!M55</f>
        <v>0</v>
      </c>
      <c r="O32" s="3"/>
      <c r="P32" s="531" t="s">
        <v>362</v>
      </c>
      <c r="Q32" s="106"/>
      <c r="R32" s="185" t="s">
        <v>364</v>
      </c>
    </row>
    <row r="33" spans="2:18" x14ac:dyDescent="0.65">
      <c r="B33" s="3"/>
      <c r="C33" s="8"/>
      <c r="D33" s="146"/>
      <c r="E33" s="146"/>
      <c r="F33" s="146"/>
      <c r="G33" s="146"/>
      <c r="H33" s="128"/>
      <c r="I33" s="146"/>
      <c r="J33" s="146"/>
      <c r="K33" s="146"/>
      <c r="L33" s="146"/>
      <c r="M33" s="151"/>
      <c r="O33" s="36" t="s">
        <v>117</v>
      </c>
      <c r="P33" s="529" t="s">
        <v>363</v>
      </c>
      <c r="Q33" s="108" t="s">
        <v>360</v>
      </c>
      <c r="R33" s="109" t="s">
        <v>361</v>
      </c>
    </row>
    <row r="34" spans="2:18" x14ac:dyDescent="0.65">
      <c r="B34" s="36" t="s">
        <v>330</v>
      </c>
      <c r="C34" s="8"/>
      <c r="D34" s="146"/>
      <c r="E34" s="146"/>
      <c r="F34" s="146"/>
      <c r="G34" s="146"/>
      <c r="H34" s="146"/>
      <c r="I34" s="146"/>
      <c r="J34" s="146"/>
      <c r="K34" s="146"/>
      <c r="L34" s="146"/>
      <c r="M34" s="151"/>
      <c r="O34" s="3" t="str">
        <f>B13</f>
        <v>Residential Apartments</v>
      </c>
      <c r="P34" s="524">
        <f>SUMIF(D$8:M$8,YEAR(PhaseIRefi),D13:M13)</f>
        <v>11630824.916564872</v>
      </c>
      <c r="Q34" s="183">
        <f>'Assumptions-Overall'!$V$9</f>
        <v>7.7499999999999999E-2</v>
      </c>
      <c r="R34" s="186">
        <f>P34/Q34</f>
        <v>150075160.21374029</v>
      </c>
    </row>
    <row r="35" spans="2:18" x14ac:dyDescent="0.65">
      <c r="B35" s="3" t="s">
        <v>273</v>
      </c>
      <c r="C35" s="8"/>
      <c r="D35" s="146">
        <f>'CashFlow-ResRental'!D60</f>
        <v>0</v>
      </c>
      <c r="E35" s="146">
        <f>'CashFlow-ResRental'!E60</f>
        <v>0</v>
      </c>
      <c r="F35" s="146">
        <f>'CashFlow-ResRental'!F60</f>
        <v>0</v>
      </c>
      <c r="G35" s="146">
        <f>'CashFlow-ResRental'!G60</f>
        <v>0</v>
      </c>
      <c r="H35" s="146">
        <f>'CashFlow-ResRental'!H60</f>
        <v>0</v>
      </c>
      <c r="I35" s="146">
        <f>'CashFlow-ResRental'!I60</f>
        <v>0</v>
      </c>
      <c r="J35" s="146">
        <f>'CashFlow-ResRental'!J60</f>
        <v>0</v>
      </c>
      <c r="K35" s="146">
        <f>'CashFlow-ResRental'!K60</f>
        <v>0</v>
      </c>
      <c r="L35" s="146">
        <f>'CashFlow-ResRental'!L60</f>
        <v>0</v>
      </c>
      <c r="M35" s="151">
        <f>'CashFlow-ResRental'!M60</f>
        <v>233342178.59143558</v>
      </c>
      <c r="O35" s="3" t="str">
        <f>B14</f>
        <v>Retail</v>
      </c>
      <c r="P35" s="524">
        <f>SUMIF(D$8:M$8,YEAR(PhaseIRefi),D14:M14)</f>
        <v>3282556.7990460512</v>
      </c>
      <c r="Q35" s="183">
        <f>'Assumptions-Overall'!$V$13</f>
        <v>8.2666666666666666E-2</v>
      </c>
      <c r="R35" s="186">
        <f t="shared" ref="R35:R38" si="7">P35/Q35</f>
        <v>39708348.375557072</v>
      </c>
    </row>
    <row r="36" spans="2:18" x14ac:dyDescent="0.65">
      <c r="B36" s="3" t="s">
        <v>276</v>
      </c>
      <c r="C36" s="8"/>
      <c r="D36" s="146">
        <f>'CashFlow-ResCondo'!D38</f>
        <v>601178.25261282129</v>
      </c>
      <c r="E36" s="146">
        <f>'CashFlow-ResCondo'!E38</f>
        <v>619213.60019120597</v>
      </c>
      <c r="F36" s="146">
        <f>'CashFlow-ResCondo'!F38</f>
        <v>8929060.1147571858</v>
      </c>
      <c r="G36" s="146">
        <f>'CashFlow-ResCondo'!G38</f>
        <v>11824626.751971306</v>
      </c>
      <c r="H36" s="146">
        <f>'CashFlow-ResCondo'!H38</f>
        <v>87896314.878130078</v>
      </c>
      <c r="I36" s="146">
        <f>'CashFlow-ResCondo'!I38</f>
        <v>0</v>
      </c>
      <c r="J36" s="146">
        <f>'CashFlow-ResCondo'!J38</f>
        <v>0</v>
      </c>
      <c r="K36" s="146">
        <f>'CashFlow-ResCondo'!K38</f>
        <v>0</v>
      </c>
      <c r="L36" s="146">
        <f>'CashFlow-ResCondo'!L38</f>
        <v>0</v>
      </c>
      <c r="M36" s="151">
        <f>'CashFlow-ResCondo'!M38</f>
        <v>0</v>
      </c>
      <c r="O36" s="3" t="str">
        <f>B15</f>
        <v>Office</v>
      </c>
      <c r="P36" s="524">
        <f>SUMIF(D$8:M$8,YEAR(PhaseIRefi),D15:M15)</f>
        <v>0</v>
      </c>
      <c r="Q36" s="183">
        <f>'Assumptions-Overall'!$V$18</f>
        <v>9.849999999999999E-2</v>
      </c>
      <c r="R36" s="186">
        <f t="shared" si="7"/>
        <v>0</v>
      </c>
    </row>
    <row r="37" spans="2:18" x14ac:dyDescent="0.65">
      <c r="B37" s="3" t="s">
        <v>338</v>
      </c>
      <c r="C37" s="8"/>
      <c r="D37" s="146">
        <f>'CashFlow-Parking'!D30</f>
        <v>0</v>
      </c>
      <c r="E37" s="146">
        <f>'CashFlow-Parking'!E30</f>
        <v>0</v>
      </c>
      <c r="F37" s="146">
        <f>'CashFlow-Parking'!F30</f>
        <v>0</v>
      </c>
      <c r="G37" s="146">
        <f>'CashFlow-Parking'!G30</f>
        <v>0</v>
      </c>
      <c r="H37" s="146">
        <f>'CashFlow-Parking'!H30</f>
        <v>2357100</v>
      </c>
      <c r="I37" s="146">
        <f>'CashFlow-Parking'!I30</f>
        <v>0</v>
      </c>
      <c r="J37" s="146">
        <f>'CashFlow-Parking'!J30</f>
        <v>0</v>
      </c>
      <c r="K37" s="146">
        <f>'CashFlow-Parking'!K30</f>
        <v>0</v>
      </c>
      <c r="L37" s="146">
        <f>'CashFlow-Parking'!L30</f>
        <v>0</v>
      </c>
      <c r="M37" s="151">
        <f>'CashFlow-Parking'!M30</f>
        <v>0</v>
      </c>
      <c r="O37" s="3" t="str">
        <f>B16</f>
        <v>Hotel</v>
      </c>
      <c r="P37" s="524">
        <f>SUMIF(D$8:M$8,YEAR(PhaseIRefi),D16:M16)</f>
        <v>26148807.604457784</v>
      </c>
      <c r="Q37" s="183">
        <f>'Assumptions-Overall'!$V$22</f>
        <v>8.8749999999999996E-2</v>
      </c>
      <c r="R37" s="186">
        <f t="shared" si="7"/>
        <v>294634451.8812145</v>
      </c>
    </row>
    <row r="38" spans="2:18" x14ac:dyDescent="0.65">
      <c r="B38" s="3" t="s">
        <v>47</v>
      </c>
      <c r="C38" s="8"/>
      <c r="D38" s="146">
        <f>'CashFlow-Retail'!D74</f>
        <v>0</v>
      </c>
      <c r="E38" s="146">
        <f>'CashFlow-Retail'!E74</f>
        <v>0</v>
      </c>
      <c r="F38" s="146">
        <f>'CashFlow-Retail'!F74</f>
        <v>0</v>
      </c>
      <c r="G38" s="146">
        <f>'CashFlow-Retail'!G74</f>
        <v>0</v>
      </c>
      <c r="H38" s="146">
        <f>'CashFlow-Retail'!H74</f>
        <v>0</v>
      </c>
      <c r="I38" s="146">
        <f>'CashFlow-Retail'!I74</f>
        <v>0</v>
      </c>
      <c r="J38" s="146">
        <f>'CashFlow-Retail'!J74</f>
        <v>0</v>
      </c>
      <c r="K38" s="146">
        <f>'CashFlow-Retail'!K74</f>
        <v>0</v>
      </c>
      <c r="L38" s="146">
        <f>'CashFlow-Retail'!L74</f>
        <v>0</v>
      </c>
      <c r="M38" s="151">
        <f>'CashFlow-Retail'!M74</f>
        <v>46865152.774216659</v>
      </c>
      <c r="O38" s="3" t="str">
        <f t="shared" ref="O38" si="8">B17</f>
        <v>Parking</v>
      </c>
      <c r="P38" s="528">
        <f>SUMIF(D$8:M$8,YEAR(PhaseIRefi),D17:M17)</f>
        <v>0</v>
      </c>
      <c r="Q38" s="183">
        <v>0.05</v>
      </c>
      <c r="R38" s="187">
        <f t="shared" si="7"/>
        <v>0</v>
      </c>
    </row>
    <row r="39" spans="2:18" x14ac:dyDescent="0.65">
      <c r="B39" s="3" t="s">
        <v>30</v>
      </c>
      <c r="C39" s="8"/>
      <c r="D39" s="146">
        <f>'CashFlow-Office'!D54</f>
        <v>0</v>
      </c>
      <c r="E39" s="146">
        <f>'CashFlow-Office'!E54</f>
        <v>0</v>
      </c>
      <c r="F39" s="146">
        <f>'CashFlow-Office'!F54</f>
        <v>0</v>
      </c>
      <c r="G39" s="146">
        <f>'CashFlow-Office'!G54</f>
        <v>0</v>
      </c>
      <c r="H39" s="146">
        <f>'CashFlow-Office'!H54</f>
        <v>0</v>
      </c>
      <c r="I39" s="146">
        <f>'CashFlow-Office'!I54</f>
        <v>0</v>
      </c>
      <c r="J39" s="146">
        <f>'CashFlow-Office'!J54</f>
        <v>0</v>
      </c>
      <c r="K39" s="146">
        <f>'CashFlow-Office'!K54</f>
        <v>0</v>
      </c>
      <c r="L39" s="146">
        <f>'CashFlow-Office'!L54</f>
        <v>0</v>
      </c>
      <c r="M39" s="151">
        <f>'CashFlow-Office'!M54</f>
        <v>0</v>
      </c>
      <c r="O39" s="3" t="str">
        <f>B19</f>
        <v>Total Cash Flow from Operations</v>
      </c>
      <c r="P39" s="524">
        <f t="shared" ref="P39" si="9">SUM(P34:P38)</f>
        <v>41062189.32006871</v>
      </c>
      <c r="Q39" s="8"/>
      <c r="R39" s="186">
        <f>SUM(R34:R38)</f>
        <v>484417960.47051185</v>
      </c>
    </row>
    <row r="40" spans="2:18" x14ac:dyDescent="0.65">
      <c r="B40" s="3" t="s">
        <v>49</v>
      </c>
      <c r="C40" s="8"/>
      <c r="D40" s="146">
        <f>'CashFlow-Hotel'!D70</f>
        <v>0</v>
      </c>
      <c r="E40" s="146">
        <f>'CashFlow-Hotel'!E70</f>
        <v>0</v>
      </c>
      <c r="F40" s="146">
        <f>'CashFlow-Hotel'!F70</f>
        <v>0</v>
      </c>
      <c r="G40" s="146">
        <f>'CashFlow-Hotel'!G70</f>
        <v>0</v>
      </c>
      <c r="H40" s="146">
        <f>'CashFlow-Hotel'!H70</f>
        <v>0</v>
      </c>
      <c r="I40" s="146">
        <f>'CashFlow-Hotel'!I70</f>
        <v>0</v>
      </c>
      <c r="J40" s="146">
        <f>'CashFlow-Hotel'!J70</f>
        <v>0</v>
      </c>
      <c r="K40" s="146">
        <f>'CashFlow-Hotel'!K70</f>
        <v>0</v>
      </c>
      <c r="L40" s="146">
        <f>'CashFlow-Hotel'!L70</f>
        <v>0</v>
      </c>
      <c r="M40" s="151">
        <f>'CashFlow-Hotel'!M70</f>
        <v>88621275.183197141</v>
      </c>
      <c r="O40" s="3"/>
      <c r="P40" s="524"/>
      <c r="Q40" s="8"/>
      <c r="R40" s="151"/>
    </row>
    <row r="41" spans="2:18" x14ac:dyDescent="0.65">
      <c r="B41" s="3" t="s">
        <v>274</v>
      </c>
      <c r="C41" s="8"/>
      <c r="D41" s="144">
        <f>'CashFlow-Parking'!D35</f>
        <v>0</v>
      </c>
      <c r="E41" s="144">
        <f>'CashFlow-Parking'!E35</f>
        <v>0</v>
      </c>
      <c r="F41" s="144">
        <f>'CashFlow-Parking'!F35</f>
        <v>0</v>
      </c>
      <c r="G41" s="144">
        <f>'CashFlow-Parking'!G35</f>
        <v>0</v>
      </c>
      <c r="H41" s="144">
        <f>'CashFlow-Parking'!H35</f>
        <v>0</v>
      </c>
      <c r="I41" s="144">
        <f>'CashFlow-Parking'!I35</f>
        <v>0</v>
      </c>
      <c r="J41" s="144">
        <f>'CashFlow-Parking'!J35</f>
        <v>0</v>
      </c>
      <c r="K41" s="144">
        <f>'CashFlow-Parking'!K35</f>
        <v>0</v>
      </c>
      <c r="L41" s="144">
        <f>'CashFlow-Parking'!L35</f>
        <v>0</v>
      </c>
      <c r="M41" s="152">
        <f>0</f>
        <v>0</v>
      </c>
      <c r="O41" s="3" t="s">
        <v>365</v>
      </c>
      <c r="P41" s="532"/>
      <c r="Q41" s="8"/>
      <c r="R41" s="188">
        <f>'Assumptions-Overall'!$O$9</f>
        <v>0.65</v>
      </c>
    </row>
    <row r="42" spans="2:18" x14ac:dyDescent="0.65">
      <c r="B42" s="3" t="s">
        <v>331</v>
      </c>
      <c r="C42" s="8"/>
      <c r="D42" s="146">
        <f>SUM(D35:D41)</f>
        <v>601178.25261282129</v>
      </c>
      <c r="E42" s="146">
        <f t="shared" ref="E42:M42" si="10">SUM(E35:E41)</f>
        <v>619213.60019120597</v>
      </c>
      <c r="F42" s="146">
        <f t="shared" si="10"/>
        <v>8929060.1147571858</v>
      </c>
      <c r="G42" s="146">
        <f t="shared" si="10"/>
        <v>11824626.751971306</v>
      </c>
      <c r="H42" s="146">
        <f t="shared" si="10"/>
        <v>90253414.878130078</v>
      </c>
      <c r="I42" s="146">
        <f t="shared" si="10"/>
        <v>0</v>
      </c>
      <c r="J42" s="146">
        <f t="shared" si="10"/>
        <v>0</v>
      </c>
      <c r="K42" s="146">
        <f t="shared" si="10"/>
        <v>0</v>
      </c>
      <c r="L42" s="146">
        <f t="shared" si="10"/>
        <v>0</v>
      </c>
      <c r="M42" s="151">
        <f t="shared" si="10"/>
        <v>368828606.5488494</v>
      </c>
      <c r="O42" s="3" t="s">
        <v>366</v>
      </c>
      <c r="P42" s="532"/>
      <c r="Q42" s="8"/>
      <c r="R42" s="186">
        <f>R39*R41</f>
        <v>314871674.30583274</v>
      </c>
    </row>
    <row r="43" spans="2:18" x14ac:dyDescent="0.65">
      <c r="B43" s="3"/>
      <c r="C43" s="8"/>
      <c r="D43" s="146"/>
      <c r="E43" s="146"/>
      <c r="F43" s="146"/>
      <c r="G43" s="146"/>
      <c r="H43" s="146"/>
      <c r="I43" s="146"/>
      <c r="J43" s="146"/>
      <c r="K43" s="146"/>
      <c r="L43" s="146"/>
      <c r="M43" s="151"/>
      <c r="O43" s="3"/>
      <c r="P43" s="524"/>
      <c r="Q43" s="8"/>
      <c r="R43" s="186"/>
    </row>
    <row r="44" spans="2:18" ht="13" thickBot="1" x14ac:dyDescent="0.8">
      <c r="B44" s="3" t="s">
        <v>214</v>
      </c>
      <c r="C44" s="8"/>
      <c r="D44" s="146">
        <f t="shared" ref="D44:M44" si="11">D19+D20+D30+D32+D42</f>
        <v>-12738291.675290518</v>
      </c>
      <c r="E44" s="146">
        <f t="shared" si="11"/>
        <v>-12720256.327712134</v>
      </c>
      <c r="F44" s="146">
        <f t="shared" si="11"/>
        <v>-193503738.72819394</v>
      </c>
      <c r="G44" s="146">
        <f t="shared" si="11"/>
        <v>-204247700.21509793</v>
      </c>
      <c r="H44" s="146">
        <f t="shared" si="11"/>
        <v>151944264.1981988</v>
      </c>
      <c r="I44" s="146">
        <f t="shared" si="11"/>
        <v>59856438.950406417</v>
      </c>
      <c r="J44" s="146">
        <f t="shared" si="11"/>
        <v>61431475.582959592</v>
      </c>
      <c r="K44" s="146">
        <f t="shared" si="11"/>
        <v>63274419.850448392</v>
      </c>
      <c r="L44" s="146">
        <f t="shared" si="11"/>
        <v>65172652.44596184</v>
      </c>
      <c r="M44" s="151">
        <f t="shared" si="11"/>
        <v>436197555.92275894</v>
      </c>
      <c r="O44" s="3" t="s">
        <v>369</v>
      </c>
      <c r="P44" s="524"/>
      <c r="Q44" s="8"/>
      <c r="R44" s="189">
        <f>'Assumptions-Overall'!$O$19</f>
        <v>1.2</v>
      </c>
    </row>
    <row r="45" spans="2:18" ht="13" thickBot="1" x14ac:dyDescent="0.8">
      <c r="B45" s="143" t="s">
        <v>218</v>
      </c>
      <c r="C45" s="181">
        <f>IFERROR(IRR(D44:M44),"n/a")</f>
        <v>0.15665867425966251</v>
      </c>
      <c r="D45" s="146"/>
      <c r="E45" s="146"/>
      <c r="F45" s="146"/>
      <c r="G45" s="146"/>
      <c r="H45" s="146"/>
      <c r="I45" s="146"/>
      <c r="J45" s="146"/>
      <c r="K45" s="146"/>
      <c r="L45" s="146"/>
      <c r="M45" s="151"/>
      <c r="O45" s="3" t="s">
        <v>370</v>
      </c>
      <c r="P45" s="524"/>
      <c r="Q45" s="8"/>
      <c r="R45" s="186">
        <f>-PV('Assumptions-Overall'!$O$15/12,'Assumptions-Overall'!$O$27*12,'CashFlow-Combined'!P39/12/'CashFlow-Combined'!R44,0)</f>
        <v>562783421.92013776</v>
      </c>
    </row>
    <row r="46" spans="2:18" x14ac:dyDescent="0.65">
      <c r="B46" s="3"/>
      <c r="C46" s="158"/>
      <c r="D46" s="146"/>
      <c r="E46" s="146"/>
      <c r="F46" s="146"/>
      <c r="G46" s="146"/>
      <c r="H46" s="146"/>
      <c r="I46" s="146"/>
      <c r="J46" s="146"/>
      <c r="K46" s="146"/>
      <c r="L46" s="146"/>
      <c r="M46" s="151"/>
      <c r="O46" s="3"/>
      <c r="P46" s="524"/>
      <c r="Q46" s="8"/>
      <c r="R46" s="186"/>
    </row>
    <row r="47" spans="2:18" x14ac:dyDescent="0.65">
      <c r="B47" s="36" t="s">
        <v>64</v>
      </c>
      <c r="C47" s="158"/>
      <c r="D47" s="146"/>
      <c r="E47" s="146"/>
      <c r="F47" s="146"/>
      <c r="G47" s="146"/>
      <c r="H47" s="146"/>
      <c r="I47" s="146"/>
      <c r="J47" s="146"/>
      <c r="K47" s="146"/>
      <c r="L47" s="146"/>
      <c r="M47" s="151"/>
      <c r="O47" s="3" t="s">
        <v>371</v>
      </c>
      <c r="P47" s="524"/>
      <c r="Q47" s="8"/>
      <c r="R47" s="186">
        <f>MIN(R42,R45)</f>
        <v>314871674.30583274</v>
      </c>
    </row>
    <row r="48" spans="2:18" x14ac:dyDescent="0.65">
      <c r="B48" s="3" t="s">
        <v>353</v>
      </c>
      <c r="C48" s="158"/>
      <c r="D48" s="146">
        <f>-IF(D44&lt;0,D44*1%,0)</f>
        <v>127382.91675290518</v>
      </c>
      <c r="E48" s="146">
        <f t="shared" ref="E48:M48" si="12">-IF(E44&lt;0,E44*1%,0)</f>
        <v>127202.56327712134</v>
      </c>
      <c r="F48" s="146">
        <f t="shared" si="12"/>
        <v>1935037.3872819394</v>
      </c>
      <c r="G48" s="146">
        <f t="shared" si="12"/>
        <v>2042477.0021509794</v>
      </c>
      <c r="H48" s="146">
        <f t="shared" si="12"/>
        <v>0</v>
      </c>
      <c r="I48" s="146">
        <f t="shared" si="12"/>
        <v>0</v>
      </c>
      <c r="J48" s="146">
        <f t="shared" si="12"/>
        <v>0</v>
      </c>
      <c r="K48" s="146">
        <f t="shared" si="12"/>
        <v>0</v>
      </c>
      <c r="L48" s="146">
        <f t="shared" si="12"/>
        <v>0</v>
      </c>
      <c r="M48" s="151">
        <f t="shared" si="12"/>
        <v>0</v>
      </c>
      <c r="O48" s="3" t="s">
        <v>372</v>
      </c>
      <c r="P48" s="524"/>
      <c r="Q48" s="8"/>
      <c r="R48" s="186">
        <f>PMT('Assumptions-Overall'!$O$15/12,'Assumptions-Overall'!$O$27*12,-'CashFlow-Combined'!R47,0)*12</f>
        <v>19144902.222125359</v>
      </c>
    </row>
    <row r="49" spans="2:18" x14ac:dyDescent="0.65">
      <c r="B49" s="3" t="s">
        <v>349</v>
      </c>
      <c r="C49" s="158"/>
      <c r="D49" s="146">
        <f>MAX(-D44-D48,0)</f>
        <v>12610908.758537613</v>
      </c>
      <c r="E49" s="146">
        <f t="shared" ref="E49:M49" si="13">MAX(-E44-E48,0)</f>
        <v>12593053.764435012</v>
      </c>
      <c r="F49" s="146">
        <f t="shared" si="13"/>
        <v>191568701.34091198</v>
      </c>
      <c r="G49" s="146">
        <f t="shared" si="13"/>
        <v>202205223.21294695</v>
      </c>
      <c r="H49" s="146">
        <f t="shared" si="13"/>
        <v>0</v>
      </c>
      <c r="I49" s="146">
        <f t="shared" si="13"/>
        <v>0</v>
      </c>
      <c r="J49" s="146">
        <f t="shared" si="13"/>
        <v>0</v>
      </c>
      <c r="K49" s="146">
        <f t="shared" si="13"/>
        <v>0</v>
      </c>
      <c r="L49" s="146">
        <f t="shared" si="13"/>
        <v>0</v>
      </c>
      <c r="M49" s="151">
        <f t="shared" si="13"/>
        <v>0</v>
      </c>
      <c r="O49" s="3" t="s">
        <v>373</v>
      </c>
      <c r="P49" s="524"/>
      <c r="Q49" s="8"/>
      <c r="R49" s="151">
        <f>R47*'Assumptions-Overall'!$O$23</f>
        <v>3148716.7430583276</v>
      </c>
    </row>
    <row r="50" spans="2:18" ht="13" thickBot="1" x14ac:dyDescent="0.8">
      <c r="B50" s="3" t="s">
        <v>350</v>
      </c>
      <c r="C50" s="158"/>
      <c r="D50" s="146">
        <f>+IF(SUM($C50:C50)&lt;$P14,MIN(D49,$P14-SUM($C50:C50)),0)</f>
        <v>12610908.758537613</v>
      </c>
      <c r="E50" s="146">
        <f>+IF(SUM($C50:D50)&lt;$P14,MIN(E49,$P14-SUM($C50:D50)),0)</f>
        <v>12593053.764435012</v>
      </c>
      <c r="F50" s="146">
        <f>+IF(SUM($C50:E50)&lt;$P14,MIN(F49,$P14-SUM($C50:E50)),0)</f>
        <v>37642720.538552076</v>
      </c>
      <c r="G50" s="146">
        <f>+IF(SUM($C50:F50)&lt;$P14,MIN(G49,$P14-SUM($C50:F50)),0)</f>
        <v>0</v>
      </c>
      <c r="H50" s="146">
        <f>+IF(SUM($C50:G50)&lt;$P14,MIN(H49,$P14-SUM($C50:G50)),0)</f>
        <v>0</v>
      </c>
      <c r="I50" s="146">
        <f>+IF(SUM($C50:H50)&lt;$P14,MIN(I49,$P14-SUM($C50:H50)),0)</f>
        <v>0</v>
      </c>
      <c r="J50" s="146">
        <f>+IF(SUM($C50:I50)&lt;$P14,MIN(J49,$P14-SUM($C50:I50)),0)</f>
        <v>0</v>
      </c>
      <c r="K50" s="146">
        <f>+IF(SUM($C50:J50)&lt;$P14,MIN(K49,$P14-SUM($C50:J50)),0)</f>
        <v>0</v>
      </c>
      <c r="L50" s="146">
        <f>+IF(SUM($C50:K50)&lt;$P14,MIN(L49,$P14-SUM($C50:K50)),0)</f>
        <v>0</v>
      </c>
      <c r="M50" s="151">
        <f>+IF(SUM($C50:L50)&lt;$P14,MIN(M49,$P14-SUM($C50:L50)),0)</f>
        <v>0</v>
      </c>
      <c r="O50" s="5" t="s">
        <v>375</v>
      </c>
      <c r="P50" s="530"/>
      <c r="Q50" s="10"/>
      <c r="R50" s="190">
        <f>-PV('Assumptions-Overall'!$O$15/12,'Assumptions-Overall'!$O$27*12-(YEAR('Assumptions-Overall'!$C$30)-YEAR(PhaseIRefi)+1),'CashFlow-Combined'!R48/12,0)</f>
        <v>312360395.43537527</v>
      </c>
    </row>
    <row r="51" spans="2:18" x14ac:dyDescent="0.65">
      <c r="B51" s="3" t="s">
        <v>351</v>
      </c>
      <c r="C51" s="158"/>
      <c r="D51" s="146">
        <f>+IF(SUM($C51:C51)&lt;$P15,MIN(D49-D50,$P15-SUM($C51:C51)),0)</f>
        <v>0</v>
      </c>
      <c r="E51" s="146">
        <f>+IF(SUM($C51:D51)&lt;$P15,MIN(E49-E50,$P15-SUM($C51:D51)),0)</f>
        <v>0</v>
      </c>
      <c r="F51" s="146">
        <f>+IF(SUM($C51:E51)&lt;$P15,MIN(F49-F50,$P15-SUM($C51:E51)),0)</f>
        <v>88027677.284829259</v>
      </c>
      <c r="G51" s="146">
        <f>+IF(SUM($C51:F51)&lt;$P15,MIN(G49-G50,$P15-SUM($C51:F51)),0)</f>
        <v>0</v>
      </c>
      <c r="H51" s="146">
        <f>+IF(SUM($C51:G51)&lt;$P15,MIN(H49-H50,$P15-SUM($C51:G51)),0)</f>
        <v>0</v>
      </c>
      <c r="I51" s="146">
        <f>+IF(SUM($C51:H51)&lt;$P15,MIN(I49-I50,$P15-SUM($C51:H51)),0)</f>
        <v>0</v>
      </c>
      <c r="J51" s="146">
        <f>+IF(SUM($C51:I51)&lt;$P15,MIN(J49-J50,$P15-SUM($C51:I51)),0)</f>
        <v>0</v>
      </c>
      <c r="K51" s="146">
        <f>+IF(SUM($C51:J51)&lt;$P15,MIN(K49-K50,$P15-SUM($C51:J51)),0)</f>
        <v>0</v>
      </c>
      <c r="L51" s="146">
        <f>+IF(SUM($C51:K51)&lt;$P15,MIN(L49-L50,$P15-SUM($C51:K51)),0)</f>
        <v>0</v>
      </c>
      <c r="M51" s="151">
        <f>+IF(SUM($C51:L51)&lt;$P15,MIN(M49-M50,$P15-SUM($C51:L51)),0)</f>
        <v>0</v>
      </c>
    </row>
    <row r="52" spans="2:18" x14ac:dyDescent="0.65">
      <c r="B52" s="3" t="s">
        <v>352</v>
      </c>
      <c r="C52" s="158"/>
      <c r="D52" s="146">
        <f t="shared" ref="D52:M52" si="14">D49-D50-D51</f>
        <v>0</v>
      </c>
      <c r="E52" s="146">
        <f t="shared" si="14"/>
        <v>0</v>
      </c>
      <c r="F52" s="146">
        <f t="shared" si="14"/>
        <v>65898303.51753065</v>
      </c>
      <c r="G52" s="146">
        <f t="shared" si="14"/>
        <v>202205223.21294695</v>
      </c>
      <c r="H52" s="146">
        <f t="shared" si="14"/>
        <v>0</v>
      </c>
      <c r="I52" s="146">
        <f t="shared" si="14"/>
        <v>0</v>
      </c>
      <c r="J52" s="146">
        <f t="shared" si="14"/>
        <v>0</v>
      </c>
      <c r="K52" s="146">
        <f t="shared" si="14"/>
        <v>0</v>
      </c>
      <c r="L52" s="146">
        <f t="shared" si="14"/>
        <v>0</v>
      </c>
      <c r="M52" s="151">
        <f t="shared" si="14"/>
        <v>0</v>
      </c>
    </row>
    <row r="53" spans="2:18" x14ac:dyDescent="0.65">
      <c r="B53" s="3"/>
      <c r="C53" s="158"/>
      <c r="D53" s="146"/>
      <c r="E53" s="146"/>
      <c r="F53" s="146"/>
      <c r="G53" s="146"/>
      <c r="H53" s="146"/>
      <c r="I53" s="146"/>
      <c r="J53" s="146"/>
      <c r="K53" s="146"/>
      <c r="L53" s="146"/>
      <c r="M53" s="151"/>
    </row>
    <row r="54" spans="2:18" x14ac:dyDescent="0.65">
      <c r="B54" s="3" t="s">
        <v>367</v>
      </c>
      <c r="C54" s="158"/>
      <c r="D54" s="146">
        <f t="shared" ref="D54:M54" si="15">(D$8&gt;=YEAR(PhaseIComplete))*SUM(D36:D37)</f>
        <v>0</v>
      </c>
      <c r="E54" s="146">
        <f t="shared" si="15"/>
        <v>0</v>
      </c>
      <c r="F54" s="146">
        <f t="shared" si="15"/>
        <v>0</v>
      </c>
      <c r="G54" s="146">
        <f t="shared" si="15"/>
        <v>0</v>
      </c>
      <c r="H54" s="146">
        <f t="shared" si="15"/>
        <v>90253414.878130078</v>
      </c>
      <c r="I54" s="146">
        <f t="shared" si="15"/>
        <v>0</v>
      </c>
      <c r="J54" s="146">
        <f t="shared" si="15"/>
        <v>0</v>
      </c>
      <c r="K54" s="146">
        <f t="shared" si="15"/>
        <v>0</v>
      </c>
      <c r="L54" s="146">
        <f t="shared" si="15"/>
        <v>0</v>
      </c>
      <c r="M54" s="151">
        <f t="shared" si="15"/>
        <v>0</v>
      </c>
    </row>
    <row r="55" spans="2:18" x14ac:dyDescent="0.65">
      <c r="B55" s="3"/>
      <c r="C55" s="158"/>
      <c r="D55" s="146"/>
      <c r="E55" s="146"/>
      <c r="F55" s="146"/>
      <c r="G55" s="146"/>
      <c r="H55" s="146"/>
      <c r="I55" s="146"/>
      <c r="J55" s="146"/>
      <c r="K55" s="146"/>
      <c r="L55" s="146"/>
      <c r="M55" s="151"/>
    </row>
    <row r="56" spans="2:18" x14ac:dyDescent="0.65">
      <c r="B56" s="182" t="s">
        <v>67</v>
      </c>
      <c r="C56" s="158"/>
      <c r="D56" s="146"/>
      <c r="E56" s="146"/>
      <c r="F56" s="146"/>
      <c r="G56" s="146"/>
      <c r="H56" s="146"/>
      <c r="I56" s="146"/>
      <c r="J56" s="146"/>
      <c r="K56" s="146"/>
      <c r="L56" s="146"/>
      <c r="M56" s="151"/>
    </row>
    <row r="57" spans="2:18" x14ac:dyDescent="0.65">
      <c r="B57" s="3" t="s">
        <v>355</v>
      </c>
      <c r="C57" s="158"/>
      <c r="D57" s="146">
        <f>C62</f>
        <v>0</v>
      </c>
      <c r="E57" s="146">
        <f t="shared" ref="E57:M57" si="16">D62</f>
        <v>0</v>
      </c>
      <c r="F57" s="146">
        <f t="shared" si="16"/>
        <v>0</v>
      </c>
      <c r="G57" s="146">
        <f t="shared" si="16"/>
        <v>65898303.51753065</v>
      </c>
      <c r="H57" s="146">
        <f t="shared" si="16"/>
        <v>271475009.00562096</v>
      </c>
      <c r="I57" s="146">
        <f t="shared" si="16"/>
        <v>0</v>
      </c>
      <c r="J57" s="146">
        <f t="shared" si="16"/>
        <v>0</v>
      </c>
      <c r="K57" s="146">
        <f t="shared" si="16"/>
        <v>0</v>
      </c>
      <c r="L57" s="146">
        <f t="shared" si="16"/>
        <v>0</v>
      </c>
      <c r="M57" s="151">
        <f t="shared" si="16"/>
        <v>0</v>
      </c>
    </row>
    <row r="58" spans="2:18" x14ac:dyDescent="0.65">
      <c r="B58" s="3" t="s">
        <v>356</v>
      </c>
      <c r="C58" s="158"/>
      <c r="D58" s="146">
        <f>D57*(((1+'Assumptions-Overall'!$M$15/12)^12)-1)</f>
        <v>0</v>
      </c>
      <c r="E58" s="146">
        <f>E57*(((1+'Assumptions-Overall'!$M$15/12)^12)-1)</f>
        <v>0</v>
      </c>
      <c r="F58" s="146">
        <f>F57*(((1+'Assumptions-Overall'!$M$15/12)^12)-1)</f>
        <v>0</v>
      </c>
      <c r="G58" s="146">
        <f>G57*(((1+'Assumptions-Overall'!$M$15/12)^12)-1)</f>
        <v>3371482.2751433775</v>
      </c>
      <c r="H58" s="146">
        <f>H57*(((1+'Assumptions-Overall'!$M$15/12)^12)-1)</f>
        <v>13889176.68818824</v>
      </c>
      <c r="I58" s="146">
        <f>I57*(((1+'Assumptions-Overall'!$M$15/12)^12)-1)</f>
        <v>0</v>
      </c>
      <c r="J58" s="146">
        <f>J57*(((1+'Assumptions-Overall'!$M$15/12)^12)-1)</f>
        <v>0</v>
      </c>
      <c r="K58" s="146">
        <f>K57*(((1+'Assumptions-Overall'!$M$15/12)^12)-1)</f>
        <v>0</v>
      </c>
      <c r="L58" s="146">
        <f>L57*(((1+'Assumptions-Overall'!$M$15/12)^12)-1)</f>
        <v>0</v>
      </c>
      <c r="M58" s="151">
        <f>M57*(((1+'Assumptions-Overall'!$M$15/12)^12)-1)</f>
        <v>0</v>
      </c>
    </row>
    <row r="59" spans="2:18" x14ac:dyDescent="0.65">
      <c r="B59" s="3" t="s">
        <v>357</v>
      </c>
      <c r="C59" s="158"/>
      <c r="D59" s="146">
        <f>D52</f>
        <v>0</v>
      </c>
      <c r="E59" s="146">
        <f t="shared" ref="E59:M59" si="17">E52</f>
        <v>0</v>
      </c>
      <c r="F59" s="146">
        <f t="shared" si="17"/>
        <v>65898303.51753065</v>
      </c>
      <c r="G59" s="146">
        <f t="shared" si="17"/>
        <v>202205223.21294695</v>
      </c>
      <c r="H59" s="146">
        <f t="shared" si="17"/>
        <v>0</v>
      </c>
      <c r="I59" s="146">
        <f t="shared" si="17"/>
        <v>0</v>
      </c>
      <c r="J59" s="146">
        <f t="shared" si="17"/>
        <v>0</v>
      </c>
      <c r="K59" s="146">
        <f t="shared" si="17"/>
        <v>0</v>
      </c>
      <c r="L59" s="146">
        <f t="shared" si="17"/>
        <v>0</v>
      </c>
      <c r="M59" s="151">
        <f t="shared" si="17"/>
        <v>0</v>
      </c>
    </row>
    <row r="60" spans="2:18" x14ac:dyDescent="0.65">
      <c r="B60" s="3" t="s">
        <v>368</v>
      </c>
      <c r="C60" s="158"/>
      <c r="D60" s="146">
        <f t="shared" ref="D60:M60" si="18">-(D57&lt;&gt;0)*D54*$Q16/SUM($Q15:$Q16)</f>
        <v>0</v>
      </c>
      <c r="E60" s="146">
        <f t="shared" si="18"/>
        <v>0</v>
      </c>
      <c r="F60" s="146">
        <f t="shared" si="18"/>
        <v>0</v>
      </c>
      <c r="G60" s="146">
        <f t="shared" si="18"/>
        <v>0</v>
      </c>
      <c r="H60" s="146">
        <f t="shared" si="18"/>
        <v>-69017317.259746522</v>
      </c>
      <c r="I60" s="146">
        <f t="shared" si="18"/>
        <v>0</v>
      </c>
      <c r="J60" s="146">
        <f t="shared" si="18"/>
        <v>0</v>
      </c>
      <c r="K60" s="146">
        <f t="shared" si="18"/>
        <v>0</v>
      </c>
      <c r="L60" s="146">
        <f t="shared" si="18"/>
        <v>0</v>
      </c>
      <c r="M60" s="151">
        <f t="shared" si="18"/>
        <v>0</v>
      </c>
    </row>
    <row r="61" spans="2:18" x14ac:dyDescent="0.65">
      <c r="B61" s="3" t="s">
        <v>359</v>
      </c>
      <c r="C61" s="158"/>
      <c r="D61" s="146">
        <f t="shared" ref="D61:M61" si="19">-(D$8=YEAR(PhaseIRefi-1))*SUM(D57:D60)</f>
        <v>0</v>
      </c>
      <c r="E61" s="146">
        <f t="shared" si="19"/>
        <v>0</v>
      </c>
      <c r="F61" s="146">
        <f t="shared" si="19"/>
        <v>0</v>
      </c>
      <c r="G61" s="146">
        <f t="shared" si="19"/>
        <v>0</v>
      </c>
      <c r="H61" s="146">
        <f t="shared" si="19"/>
        <v>-216346868.43406269</v>
      </c>
      <c r="I61" s="146">
        <f t="shared" si="19"/>
        <v>0</v>
      </c>
      <c r="J61" s="146">
        <f t="shared" si="19"/>
        <v>0</v>
      </c>
      <c r="K61" s="146">
        <f t="shared" si="19"/>
        <v>0</v>
      </c>
      <c r="L61" s="146">
        <f t="shared" si="19"/>
        <v>0</v>
      </c>
      <c r="M61" s="151">
        <f t="shared" si="19"/>
        <v>0</v>
      </c>
    </row>
    <row r="62" spans="2:18" x14ac:dyDescent="0.65">
      <c r="B62" s="3" t="s">
        <v>358</v>
      </c>
      <c r="C62" s="158"/>
      <c r="D62" s="146">
        <f>SUM(D57:D61)</f>
        <v>0</v>
      </c>
      <c r="E62" s="146">
        <f t="shared" ref="E62:M62" si="20">SUM(E57:E61)</f>
        <v>0</v>
      </c>
      <c r="F62" s="146">
        <f t="shared" si="20"/>
        <v>65898303.51753065</v>
      </c>
      <c r="G62" s="146">
        <f t="shared" si="20"/>
        <v>271475009.00562096</v>
      </c>
      <c r="H62" s="146">
        <f t="shared" si="20"/>
        <v>0</v>
      </c>
      <c r="I62" s="146">
        <f t="shared" si="20"/>
        <v>0</v>
      </c>
      <c r="J62" s="146">
        <f t="shared" si="20"/>
        <v>0</v>
      </c>
      <c r="K62" s="146">
        <f t="shared" si="20"/>
        <v>0</v>
      </c>
      <c r="L62" s="146">
        <f t="shared" si="20"/>
        <v>0</v>
      </c>
      <c r="M62" s="151">
        <f t="shared" si="20"/>
        <v>0</v>
      </c>
    </row>
    <row r="63" spans="2:18" x14ac:dyDescent="0.65">
      <c r="B63" s="3"/>
      <c r="C63" s="158"/>
      <c r="D63" s="146"/>
      <c r="E63" s="146"/>
      <c r="F63" s="146"/>
      <c r="G63" s="146"/>
      <c r="H63" s="146"/>
      <c r="I63" s="146"/>
      <c r="J63" s="146"/>
      <c r="K63" s="146"/>
      <c r="L63" s="146"/>
      <c r="M63" s="151"/>
    </row>
    <row r="64" spans="2:18" x14ac:dyDescent="0.65">
      <c r="B64" s="182" t="s">
        <v>68</v>
      </c>
      <c r="C64" s="158"/>
      <c r="D64" s="146"/>
      <c r="E64" s="146"/>
      <c r="F64" s="146"/>
      <c r="G64" s="146"/>
      <c r="H64" s="146"/>
      <c r="I64" s="146"/>
      <c r="J64" s="146"/>
      <c r="K64" s="146"/>
      <c r="L64" s="146"/>
      <c r="M64" s="151"/>
    </row>
    <row r="65" spans="2:15" x14ac:dyDescent="0.65">
      <c r="B65" s="3" t="s">
        <v>355</v>
      </c>
      <c r="C65" s="158"/>
      <c r="D65" s="146">
        <f>C70</f>
        <v>0</v>
      </c>
      <c r="E65" s="146">
        <f t="shared" ref="E65:M65" si="21">D70</f>
        <v>0</v>
      </c>
      <c r="F65" s="146">
        <f t="shared" si="21"/>
        <v>0</v>
      </c>
      <c r="G65" s="146">
        <f t="shared" si="21"/>
        <v>88027677.284829259</v>
      </c>
      <c r="H65" s="146">
        <f t="shared" si="21"/>
        <v>99191790.108925045</v>
      </c>
      <c r="I65" s="146">
        <f t="shared" si="21"/>
        <v>0</v>
      </c>
      <c r="J65" s="146">
        <f t="shared" si="21"/>
        <v>0</v>
      </c>
      <c r="K65" s="146">
        <f t="shared" si="21"/>
        <v>0</v>
      </c>
      <c r="L65" s="146">
        <f t="shared" si="21"/>
        <v>0</v>
      </c>
      <c r="M65" s="151">
        <f t="shared" si="21"/>
        <v>0</v>
      </c>
    </row>
    <row r="66" spans="2:15" x14ac:dyDescent="0.65">
      <c r="B66" s="3" t="s">
        <v>356</v>
      </c>
      <c r="C66" s="158"/>
      <c r="D66" s="146">
        <f>D65*(((1+'Assumptions-Overall'!$M$16/12)^12)-1)</f>
        <v>0</v>
      </c>
      <c r="E66" s="146">
        <f>E65*(((1+'Assumptions-Overall'!$M$16/12)^12)-1)</f>
        <v>0</v>
      </c>
      <c r="F66" s="146">
        <f>F65*(((1+'Assumptions-Overall'!$M$16/12)^12)-1)</f>
        <v>0</v>
      </c>
      <c r="G66" s="146">
        <f>G65*(((1+'Assumptions-Overall'!$M$16/12)^12)-1)</f>
        <v>11164112.824095782</v>
      </c>
      <c r="H66" s="146">
        <f>H65*(((1+'Assumptions-Overall'!$M$16/12)^12)-1)</f>
        <v>12580001.76940844</v>
      </c>
      <c r="I66" s="146">
        <f>I65*(((1+'Assumptions-Overall'!$M$16/12)^12)-1)</f>
        <v>0</v>
      </c>
      <c r="J66" s="146">
        <f>J65*(((1+'Assumptions-Overall'!$M$16/12)^12)-1)</f>
        <v>0</v>
      </c>
      <c r="K66" s="146">
        <f>K65*(((1+'Assumptions-Overall'!$M$16/12)^12)-1)</f>
        <v>0</v>
      </c>
      <c r="L66" s="146">
        <f>L65*(((1+'Assumptions-Overall'!$M$16/12)^12)-1)</f>
        <v>0</v>
      </c>
      <c r="M66" s="151">
        <f>M65*(((1+'Assumptions-Overall'!$M$16/12)^12)-1)</f>
        <v>0</v>
      </c>
    </row>
    <row r="67" spans="2:15" x14ac:dyDescent="0.65">
      <c r="B67" s="3" t="s">
        <v>357</v>
      </c>
      <c r="C67" s="158"/>
      <c r="D67" s="146">
        <f>D51</f>
        <v>0</v>
      </c>
      <c r="E67" s="146">
        <f t="shared" ref="E67:M67" si="22">E51</f>
        <v>0</v>
      </c>
      <c r="F67" s="146">
        <f t="shared" si="22"/>
        <v>88027677.284829259</v>
      </c>
      <c r="G67" s="146">
        <f t="shared" si="22"/>
        <v>0</v>
      </c>
      <c r="H67" s="146">
        <f t="shared" si="22"/>
        <v>0</v>
      </c>
      <c r="I67" s="146">
        <f t="shared" si="22"/>
        <v>0</v>
      </c>
      <c r="J67" s="146">
        <f t="shared" si="22"/>
        <v>0</v>
      </c>
      <c r="K67" s="146">
        <f t="shared" si="22"/>
        <v>0</v>
      </c>
      <c r="L67" s="146">
        <f t="shared" si="22"/>
        <v>0</v>
      </c>
      <c r="M67" s="151">
        <f t="shared" si="22"/>
        <v>0</v>
      </c>
    </row>
    <row r="68" spans="2:15" x14ac:dyDescent="0.65">
      <c r="B68" s="3" t="s">
        <v>368</v>
      </c>
      <c r="C68" s="158"/>
      <c r="D68" s="146">
        <f t="shared" ref="D68:M68" si="23">-(D65&lt;&gt;0)*D54*$Q15/SUM($Q15:$Q16)</f>
        <v>0</v>
      </c>
      <c r="E68" s="146">
        <f t="shared" si="23"/>
        <v>0</v>
      </c>
      <c r="F68" s="146">
        <f t="shared" si="23"/>
        <v>0</v>
      </c>
      <c r="G68" s="146">
        <f t="shared" si="23"/>
        <v>0</v>
      </c>
      <c r="H68" s="146">
        <f t="shared" si="23"/>
        <v>-21236097.618383549</v>
      </c>
      <c r="I68" s="146">
        <f t="shared" si="23"/>
        <v>0</v>
      </c>
      <c r="J68" s="146">
        <f t="shared" si="23"/>
        <v>0</v>
      </c>
      <c r="K68" s="146">
        <f t="shared" si="23"/>
        <v>0</v>
      </c>
      <c r="L68" s="146">
        <f t="shared" si="23"/>
        <v>0</v>
      </c>
      <c r="M68" s="151">
        <f t="shared" si="23"/>
        <v>0</v>
      </c>
    </row>
    <row r="69" spans="2:15" x14ac:dyDescent="0.65">
      <c r="B69" s="3" t="s">
        <v>359</v>
      </c>
      <c r="C69" s="158"/>
      <c r="D69" s="146">
        <f t="shared" ref="D69:M69" si="24">-(D$8=YEAR(PhaseIRefi-1))*SUM(D65:D68)</f>
        <v>0</v>
      </c>
      <c r="E69" s="146">
        <f t="shared" si="24"/>
        <v>0</v>
      </c>
      <c r="F69" s="146">
        <f t="shared" si="24"/>
        <v>0</v>
      </c>
      <c r="G69" s="146">
        <f t="shared" si="24"/>
        <v>0</v>
      </c>
      <c r="H69" s="146">
        <f t="shared" si="24"/>
        <v>-90535694.259949923</v>
      </c>
      <c r="I69" s="146">
        <f t="shared" si="24"/>
        <v>0</v>
      </c>
      <c r="J69" s="146">
        <f t="shared" si="24"/>
        <v>0</v>
      </c>
      <c r="K69" s="146">
        <f t="shared" si="24"/>
        <v>0</v>
      </c>
      <c r="L69" s="146">
        <f t="shared" si="24"/>
        <v>0</v>
      </c>
      <c r="M69" s="151">
        <f t="shared" si="24"/>
        <v>0</v>
      </c>
    </row>
    <row r="70" spans="2:15" x14ac:dyDescent="0.65">
      <c r="B70" s="3" t="s">
        <v>358</v>
      </c>
      <c r="C70" s="158"/>
      <c r="D70" s="146">
        <f>SUM(D65:D69)</f>
        <v>0</v>
      </c>
      <c r="E70" s="146">
        <f t="shared" ref="E70:M70" si="25">SUM(E65:E69)</f>
        <v>0</v>
      </c>
      <c r="F70" s="146">
        <f t="shared" si="25"/>
        <v>88027677.284829259</v>
      </c>
      <c r="G70" s="146">
        <f t="shared" si="25"/>
        <v>99191790.108925045</v>
      </c>
      <c r="H70" s="146">
        <f t="shared" si="25"/>
        <v>0</v>
      </c>
      <c r="I70" s="146">
        <f t="shared" si="25"/>
        <v>0</v>
      </c>
      <c r="J70" s="146">
        <f t="shared" si="25"/>
        <v>0</v>
      </c>
      <c r="K70" s="146">
        <f t="shared" si="25"/>
        <v>0</v>
      </c>
      <c r="L70" s="146">
        <f t="shared" si="25"/>
        <v>0</v>
      </c>
      <c r="M70" s="151">
        <f t="shared" si="25"/>
        <v>0</v>
      </c>
    </row>
    <row r="71" spans="2:15" x14ac:dyDescent="0.65">
      <c r="B71" s="3"/>
      <c r="C71" s="158"/>
      <c r="D71" s="146"/>
      <c r="E71" s="146"/>
      <c r="F71" s="146"/>
      <c r="G71" s="146"/>
      <c r="H71" s="146"/>
      <c r="I71" s="146"/>
      <c r="J71" s="146"/>
      <c r="K71" s="146"/>
      <c r="L71" s="146"/>
      <c r="M71" s="151"/>
    </row>
    <row r="72" spans="2:15" x14ac:dyDescent="0.65">
      <c r="B72" s="36" t="s">
        <v>70</v>
      </c>
      <c r="C72" s="158"/>
      <c r="D72" s="146"/>
      <c r="E72" s="146"/>
      <c r="F72" s="146"/>
      <c r="G72" s="146"/>
      <c r="H72" s="146"/>
      <c r="I72" s="146"/>
      <c r="J72" s="146"/>
      <c r="K72" s="146"/>
      <c r="L72" s="146"/>
      <c r="M72" s="151"/>
    </row>
    <row r="73" spans="2:15" x14ac:dyDescent="0.65">
      <c r="B73" s="3"/>
      <c r="C73" s="158"/>
      <c r="D73" s="146"/>
      <c r="E73" s="146"/>
      <c r="F73" s="146"/>
      <c r="G73" s="146"/>
      <c r="H73" s="146"/>
      <c r="I73" s="146"/>
      <c r="J73" s="146"/>
      <c r="K73" s="146"/>
      <c r="L73" s="146"/>
      <c r="M73" s="151"/>
    </row>
    <row r="74" spans="2:15" x14ac:dyDescent="0.65">
      <c r="B74" s="182" t="s">
        <v>67</v>
      </c>
      <c r="C74" s="158"/>
      <c r="D74" s="146"/>
      <c r="E74" s="146"/>
      <c r="F74" s="146"/>
      <c r="G74" s="146"/>
      <c r="H74" s="146"/>
      <c r="I74" s="146"/>
      <c r="J74" s="146"/>
      <c r="K74" s="146"/>
      <c r="L74" s="146"/>
      <c r="M74" s="151"/>
    </row>
    <row r="75" spans="2:15" x14ac:dyDescent="0.65">
      <c r="B75" s="3" t="s">
        <v>373</v>
      </c>
      <c r="C75" s="158"/>
      <c r="D75" s="146">
        <f t="shared" ref="D75:M75" si="26">-(D$8=YEAR(PhaseIRefi-1))*$R49</f>
        <v>0</v>
      </c>
      <c r="E75" s="146">
        <f t="shared" si="26"/>
        <v>0</v>
      </c>
      <c r="F75" s="146">
        <f t="shared" si="26"/>
        <v>0</v>
      </c>
      <c r="G75" s="146">
        <f t="shared" si="26"/>
        <v>0</v>
      </c>
      <c r="H75" s="146">
        <f t="shared" si="26"/>
        <v>-3148716.7430583276</v>
      </c>
      <c r="I75" s="146">
        <f t="shared" si="26"/>
        <v>0</v>
      </c>
      <c r="J75" s="146">
        <f t="shared" si="26"/>
        <v>0</v>
      </c>
      <c r="K75" s="146">
        <f t="shared" si="26"/>
        <v>0</v>
      </c>
      <c r="L75" s="146">
        <f t="shared" si="26"/>
        <v>0</v>
      </c>
      <c r="M75" s="151">
        <f t="shared" si="26"/>
        <v>0</v>
      </c>
    </row>
    <row r="76" spans="2:15" x14ac:dyDescent="0.65">
      <c r="B76" s="3" t="s">
        <v>377</v>
      </c>
      <c r="C76" s="158"/>
      <c r="D76" s="146">
        <f t="shared" ref="D76:M76" si="27">(D$8=YEAR(PhaseIRefi-1))*$R47</f>
        <v>0</v>
      </c>
      <c r="E76" s="146">
        <f t="shared" si="27"/>
        <v>0</v>
      </c>
      <c r="F76" s="146">
        <f t="shared" si="27"/>
        <v>0</v>
      </c>
      <c r="G76" s="146">
        <f t="shared" si="27"/>
        <v>0</v>
      </c>
      <c r="H76" s="146">
        <f t="shared" si="27"/>
        <v>314871674.30583274</v>
      </c>
      <c r="I76" s="146">
        <f t="shared" si="27"/>
        <v>0</v>
      </c>
      <c r="J76" s="146">
        <f t="shared" si="27"/>
        <v>0</v>
      </c>
      <c r="K76" s="146">
        <f t="shared" si="27"/>
        <v>0</v>
      </c>
      <c r="L76" s="146">
        <f t="shared" si="27"/>
        <v>0</v>
      </c>
      <c r="M76" s="151">
        <f t="shared" si="27"/>
        <v>0</v>
      </c>
    </row>
    <row r="77" spans="2:15" x14ac:dyDescent="0.65">
      <c r="B77" s="3" t="s">
        <v>374</v>
      </c>
      <c r="C77" s="158"/>
      <c r="D77" s="146">
        <f t="shared" ref="D77:M77" si="28">(D$8&gt;=YEAR(PhaseIRefi))*-$R48</f>
        <v>0</v>
      </c>
      <c r="E77" s="146">
        <f t="shared" si="28"/>
        <v>0</v>
      </c>
      <c r="F77" s="146">
        <f t="shared" si="28"/>
        <v>0</v>
      </c>
      <c r="G77" s="146">
        <f t="shared" si="28"/>
        <v>0</v>
      </c>
      <c r="H77" s="146">
        <f t="shared" si="28"/>
        <v>-19144902.222125359</v>
      </c>
      <c r="I77" s="146">
        <f t="shared" si="28"/>
        <v>-19144902.222125359</v>
      </c>
      <c r="J77" s="146">
        <f t="shared" si="28"/>
        <v>-19144902.222125359</v>
      </c>
      <c r="K77" s="146">
        <f t="shared" si="28"/>
        <v>-19144902.222125359</v>
      </c>
      <c r="L77" s="146">
        <f t="shared" si="28"/>
        <v>-19144902.222125359</v>
      </c>
      <c r="M77" s="151">
        <f t="shared" si="28"/>
        <v>-19144902.222125359</v>
      </c>
    </row>
    <row r="78" spans="2:15" x14ac:dyDescent="0.65">
      <c r="B78" s="3" t="s">
        <v>376</v>
      </c>
      <c r="C78" s="158"/>
      <c r="D78" s="146">
        <f>-(D$8=YEAR('Assumptions-Overall'!$C$30))*$R50</f>
        <v>0</v>
      </c>
      <c r="E78" s="146">
        <f>-(E$8=YEAR('Assumptions-Overall'!$C$30))*$R50</f>
        <v>0</v>
      </c>
      <c r="F78" s="146">
        <f>-(F$8=YEAR('Assumptions-Overall'!$C$30))*$R50</f>
        <v>0</v>
      </c>
      <c r="G78" s="146">
        <f>-(G$8=YEAR('Assumptions-Overall'!$C$30))*$R50</f>
        <v>0</v>
      </c>
      <c r="H78" s="146">
        <f>-(H$8=YEAR('Assumptions-Overall'!$C$30))*$R50</f>
        <v>0</v>
      </c>
      <c r="I78" s="146">
        <f>-(I$8=YEAR('Assumptions-Overall'!$C$30))*$R50</f>
        <v>0</v>
      </c>
      <c r="J78" s="146">
        <f>-(J$8=YEAR('Assumptions-Overall'!$C$30))*$R50</f>
        <v>0</v>
      </c>
      <c r="K78" s="146">
        <f>-(K$8=YEAR('Assumptions-Overall'!$C$30))*$R50</f>
        <v>0</v>
      </c>
      <c r="L78" s="146">
        <f>-(L$8=YEAR('Assumptions-Overall'!$C$30))*$R50</f>
        <v>0</v>
      </c>
      <c r="M78" s="151">
        <f>-(M$8=YEAR('Assumptions-Overall'!$C$30))*$R50</f>
        <v>-312360395.43537527</v>
      </c>
    </row>
    <row r="79" spans="2:15" x14ac:dyDescent="0.65">
      <c r="B79" s="3"/>
      <c r="C79" s="158"/>
      <c r="D79" s="146"/>
      <c r="E79" s="146"/>
      <c r="F79" s="146"/>
      <c r="G79" s="146"/>
      <c r="H79" s="146"/>
      <c r="I79" s="146"/>
      <c r="J79" s="146"/>
      <c r="K79" s="146"/>
      <c r="L79" s="146"/>
      <c r="M79" s="151"/>
      <c r="O79" s="191"/>
    </row>
    <row r="80" spans="2:15" ht="13" thickBot="1" x14ac:dyDescent="0.8">
      <c r="B80" s="3" t="s">
        <v>378</v>
      </c>
      <c r="C80" s="158"/>
      <c r="D80" s="146">
        <f>D44+D48+D59+D60+D61+D67+D68+D69+D75+D76+D77+D78</f>
        <v>-12610908.758537613</v>
      </c>
      <c r="E80" s="146">
        <f t="shared" ref="E80:M80" si="29">E44+E48+E59+E60+E61+E67+E68+E69+E75+E76+E77+E78</f>
        <v>-12593053.764435012</v>
      </c>
      <c r="F80" s="146">
        <f t="shared" si="29"/>
        <v>-37642720.538552076</v>
      </c>
      <c r="G80" s="146">
        <f t="shared" si="29"/>
        <v>0</v>
      </c>
      <c r="H80" s="146">
        <f t="shared" si="29"/>
        <v>47386341.966705166</v>
      </c>
      <c r="I80" s="146">
        <f t="shared" si="29"/>
        <v>40711536.728281058</v>
      </c>
      <c r="J80" s="146">
        <f t="shared" si="29"/>
        <v>42286573.360834233</v>
      </c>
      <c r="K80" s="146">
        <f t="shared" si="29"/>
        <v>44129517.628323033</v>
      </c>
      <c r="L80" s="146">
        <f t="shared" si="29"/>
        <v>46027750.223836482</v>
      </c>
      <c r="M80" s="151">
        <f t="shared" si="29"/>
        <v>104692258.26525831</v>
      </c>
    </row>
    <row r="81" spans="2:18" ht="13" thickBot="1" x14ac:dyDescent="0.8">
      <c r="B81" s="143" t="s">
        <v>380</v>
      </c>
      <c r="C81" s="181">
        <f>IFERROR(IRR(D80:M80),"n/a")</f>
        <v>0.37799348168881863</v>
      </c>
      <c r="D81" s="146"/>
      <c r="E81" s="146"/>
      <c r="F81" s="146"/>
      <c r="G81" s="146"/>
      <c r="H81" s="146"/>
      <c r="I81" s="146"/>
      <c r="J81" s="146"/>
      <c r="K81" s="146"/>
      <c r="L81" s="146"/>
      <c r="M81" s="151"/>
      <c r="O81" s="192"/>
    </row>
    <row r="82" spans="2:18" ht="13" thickBot="1" x14ac:dyDescent="0.8">
      <c r="B82" s="143" t="s">
        <v>379</v>
      </c>
      <c r="C82" s="193">
        <f>-SUMIF(D80:M80,"&gt;"&amp;0)/SUMIF(D80:M80,"&lt;"&amp;0)</f>
        <v>5.1750380820392001</v>
      </c>
      <c r="D82" s="178"/>
      <c r="E82" s="178"/>
      <c r="F82" s="178"/>
      <c r="G82" s="178"/>
      <c r="H82" s="178"/>
      <c r="I82" s="178"/>
      <c r="J82" s="178"/>
      <c r="K82" s="178"/>
      <c r="L82" s="178"/>
      <c r="M82" s="167"/>
    </row>
    <row r="83" spans="2:18" ht="13" thickBot="1" x14ac:dyDescent="0.8">
      <c r="B83" s="154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6"/>
    </row>
    <row r="84" spans="2:18" ht="14.25" x14ac:dyDescent="0.9">
      <c r="B84" s="147" t="s">
        <v>197</v>
      </c>
      <c r="C84" s="8"/>
      <c r="D84" s="8"/>
      <c r="E84" s="8"/>
      <c r="F84" s="8"/>
      <c r="G84" s="8"/>
      <c r="H84" s="8"/>
      <c r="I84" s="8"/>
      <c r="J84" s="8"/>
      <c r="K84" s="8"/>
      <c r="L84" s="8"/>
      <c r="M84" s="9"/>
      <c r="O84" s="961" t="s">
        <v>388</v>
      </c>
      <c r="P84" s="962"/>
      <c r="Q84" s="962"/>
      <c r="R84" s="963"/>
    </row>
    <row r="85" spans="2:18" x14ac:dyDescent="0.65">
      <c r="B85" s="3"/>
      <c r="C85" s="8"/>
      <c r="D85" s="148"/>
      <c r="E85" s="148"/>
      <c r="F85" s="148"/>
      <c r="G85" s="148"/>
      <c r="H85" s="148"/>
      <c r="I85" s="148"/>
      <c r="J85" s="148"/>
      <c r="K85" s="148"/>
      <c r="L85" s="148"/>
      <c r="M85" s="149"/>
      <c r="O85" s="147" t="s">
        <v>381</v>
      </c>
      <c r="P85" s="524"/>
      <c r="Q85" s="174"/>
      <c r="R85" s="9"/>
    </row>
    <row r="86" spans="2:18" x14ac:dyDescent="0.65">
      <c r="B86" s="36" t="s">
        <v>272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9"/>
      <c r="O86" s="3"/>
      <c r="P86" s="524"/>
      <c r="Q86" s="8"/>
      <c r="R86" s="149"/>
    </row>
    <row r="87" spans="2:18" x14ac:dyDescent="0.65">
      <c r="B87" s="3" t="s">
        <v>273</v>
      </c>
      <c r="C87" s="8"/>
      <c r="D87" s="146">
        <f>'CashFlow-ResRental'!D102</f>
        <v>0</v>
      </c>
      <c r="E87" s="146">
        <f>'CashFlow-ResRental'!E102</f>
        <v>0</v>
      </c>
      <c r="F87" s="146">
        <f>'CashFlow-ResRental'!F102</f>
        <v>0</v>
      </c>
      <c r="G87" s="146">
        <f>'CashFlow-ResRental'!G102</f>
        <v>778043.8743469062</v>
      </c>
      <c r="H87" s="146">
        <f>'CashFlow-ResRental'!H102</f>
        <v>1041938.9333082146</v>
      </c>
      <c r="I87" s="146">
        <f>'CashFlow-ResRental'!I102</f>
        <v>1073197.101307461</v>
      </c>
      <c r="J87" s="146">
        <f>'CashFlow-ResRental'!J102</f>
        <v>1105393.014346685</v>
      </c>
      <c r="K87" s="146">
        <f>'CashFlow-ResRental'!K102</f>
        <v>1138554.8047770855</v>
      </c>
      <c r="L87" s="146">
        <f>'CashFlow-ResRental'!L102</f>
        <v>1172711.4489203978</v>
      </c>
      <c r="M87" s="151">
        <f>'CashFlow-ResRental'!M102</f>
        <v>1207892.7923880101</v>
      </c>
      <c r="O87" s="36" t="s">
        <v>339</v>
      </c>
      <c r="P87" s="529" t="s">
        <v>315</v>
      </c>
      <c r="Q87" s="175" t="s">
        <v>65</v>
      </c>
      <c r="R87" s="109" t="s">
        <v>344</v>
      </c>
    </row>
    <row r="88" spans="2:18" x14ac:dyDescent="0.65">
      <c r="B88" s="56" t="s">
        <v>47</v>
      </c>
      <c r="C88" s="8"/>
      <c r="D88" s="146">
        <f>'CashFlow-Retail'!D127</f>
        <v>0</v>
      </c>
      <c r="E88" s="146">
        <f>'CashFlow-Retail'!E127</f>
        <v>0</v>
      </c>
      <c r="F88" s="146">
        <f>'CashFlow-Retail'!F127</f>
        <v>0</v>
      </c>
      <c r="G88" s="146">
        <f>'CashFlow-Retail'!G127</f>
        <v>11120868.442589998</v>
      </c>
      <c r="H88" s="146">
        <f>'CashFlow-Retail'!H127</f>
        <v>11454494.495867699</v>
      </c>
      <c r="I88" s="146">
        <f>'CashFlow-Retail'!I127</f>
        <v>11798129.330743728</v>
      </c>
      <c r="J88" s="146">
        <f>'CashFlow-Retail'!J127</f>
        <v>12152073.210666044</v>
      </c>
      <c r="K88" s="146">
        <f>'CashFlow-Retail'!K127</f>
        <v>12516635.406986026</v>
      </c>
      <c r="L88" s="146">
        <f>'CashFlow-Retail'!L127</f>
        <v>12892134.469195604</v>
      </c>
      <c r="M88" s="151">
        <f>'CashFlow-Retail'!M127</f>
        <v>13278898.503271472</v>
      </c>
      <c r="O88" s="3" t="s">
        <v>66</v>
      </c>
      <c r="P88" s="524">
        <f>SUM($D$123:$M$123)*Q88</f>
        <v>25653341.797880497</v>
      </c>
      <c r="Q88" s="176">
        <f>'Assumptions-Overall'!$M$11</f>
        <v>0.14999999999999991</v>
      </c>
      <c r="R88" s="163">
        <f>P88/$P$18</f>
        <v>5.762412398905787E-2</v>
      </c>
    </row>
    <row r="89" spans="2:18" x14ac:dyDescent="0.65">
      <c r="B89" s="56" t="s">
        <v>30</v>
      </c>
      <c r="C89" s="8"/>
      <c r="D89" s="146">
        <f>'CashFlow-Office'!D92</f>
        <v>0</v>
      </c>
      <c r="E89" s="146">
        <f>'CashFlow-Office'!E92</f>
        <v>0</v>
      </c>
      <c r="F89" s="146">
        <f>'CashFlow-Office'!F92</f>
        <v>0</v>
      </c>
      <c r="G89" s="146">
        <f>'CashFlow-Office'!G92</f>
        <v>3000802.9597746003</v>
      </c>
      <c r="H89" s="146">
        <f>'CashFlow-Office'!H92</f>
        <v>5583429.5070902873</v>
      </c>
      <c r="I89" s="146">
        <f>'CashFlow-Office'!I92</f>
        <v>5750932.3923029965</v>
      </c>
      <c r="J89" s="146">
        <f>'CashFlow-Office'!J92</f>
        <v>5923460.3640720854</v>
      </c>
      <c r="K89" s="146">
        <f>'CashFlow-Office'!K92</f>
        <v>6101164.1749942489</v>
      </c>
      <c r="L89" s="146">
        <f>'CashFlow-Office'!L92</f>
        <v>6284199.100244076</v>
      </c>
      <c r="M89" s="151">
        <f>'CashFlow-Office'!M92</f>
        <v>6472725.0732513973</v>
      </c>
      <c r="O89" s="56" t="s">
        <v>341</v>
      </c>
      <c r="P89" s="524">
        <f>SUM(D123:M123)*Q89</f>
        <v>34204455.730507351</v>
      </c>
      <c r="Q89" s="176">
        <f>'Assumptions-Overall'!$M$10</f>
        <v>0.2</v>
      </c>
      <c r="R89" s="163">
        <f>P89/$P$18</f>
        <v>7.6832165318743872E-2</v>
      </c>
    </row>
    <row r="90" spans="2:18" x14ac:dyDescent="0.65">
      <c r="B90" s="3" t="s">
        <v>49</v>
      </c>
      <c r="C90" s="8"/>
      <c r="D90" s="146">
        <f>'CashFlow-Hotel'!D123</f>
        <v>0</v>
      </c>
      <c r="E90" s="146">
        <f>'CashFlow-Hotel'!E123</f>
        <v>0</v>
      </c>
      <c r="F90" s="146">
        <f>'CashFlow-Hotel'!F123</f>
        <v>0</v>
      </c>
      <c r="G90" s="146">
        <f>'CashFlow-Hotel'!G123</f>
        <v>0</v>
      </c>
      <c r="H90" s="146">
        <f>'CashFlow-Hotel'!H123</f>
        <v>0</v>
      </c>
      <c r="I90" s="146">
        <f>'CashFlow-Hotel'!I123</f>
        <v>0</v>
      </c>
      <c r="J90" s="146">
        <f>'CashFlow-Hotel'!J123</f>
        <v>0</v>
      </c>
      <c r="K90" s="146">
        <f>'CashFlow-Hotel'!K123</f>
        <v>0</v>
      </c>
      <c r="L90" s="146">
        <f>'CashFlow-Hotel'!L123</f>
        <v>0</v>
      </c>
      <c r="M90" s="151">
        <f>'CashFlow-Hotel'!M123</f>
        <v>0</v>
      </c>
      <c r="O90" s="56" t="s">
        <v>342</v>
      </c>
      <c r="P90" s="524">
        <f>SUM(D123:M123)*Q90</f>
        <v>111164481.12414889</v>
      </c>
      <c r="Q90" s="176">
        <f>'Assumptions-Overall'!$M$9</f>
        <v>0.65</v>
      </c>
      <c r="R90" s="163">
        <f>P90/$P$18</f>
        <v>0.2497045372859176</v>
      </c>
    </row>
    <row r="91" spans="2:18" x14ac:dyDescent="0.65">
      <c r="B91" s="56" t="s">
        <v>274</v>
      </c>
      <c r="C91" s="8"/>
      <c r="D91" s="144">
        <f>'CashFlow-Parking'!D18</f>
        <v>0</v>
      </c>
      <c r="E91" s="144">
        <f>'CashFlow-Parking'!E18</f>
        <v>0</v>
      </c>
      <c r="F91" s="144">
        <f>'CashFlow-Parking'!F18</f>
        <v>0</v>
      </c>
      <c r="G91" s="144">
        <f>'CashFlow-Parking'!G18</f>
        <v>139875</v>
      </c>
      <c r="H91" s="144">
        <f>'CashFlow-Parking'!H18</f>
        <v>144071.25</v>
      </c>
      <c r="I91" s="144">
        <f>'CashFlow-Parking'!I18</f>
        <v>148393.38750000001</v>
      </c>
      <c r="J91" s="144">
        <f>'CashFlow-Parking'!J18</f>
        <v>152845.189125</v>
      </c>
      <c r="K91" s="144">
        <f>'CashFlow-Parking'!K18</f>
        <v>157430.54479875002</v>
      </c>
      <c r="L91" s="144">
        <f>'CashFlow-Parking'!L18</f>
        <v>162153.46114271253</v>
      </c>
      <c r="M91" s="152">
        <f>'CashFlow-Parking'!M18</f>
        <v>167018.06497699392</v>
      </c>
      <c r="O91" s="56" t="s">
        <v>354</v>
      </c>
      <c r="P91" s="528">
        <f>SUMIF(D$8:M$8,"&lt;"&amp;YEAR(PhaseIIComplete),D110:M111)</f>
        <v>1889936.532271059</v>
      </c>
      <c r="Q91" s="176" t="s">
        <v>9</v>
      </c>
      <c r="R91" s="177">
        <f>P91/$P$18</f>
        <v>4.2452924038160001E-3</v>
      </c>
    </row>
    <row r="92" spans="2:18" x14ac:dyDescent="0.65">
      <c r="B92" s="3" t="s">
        <v>481</v>
      </c>
      <c r="C92" s="8"/>
      <c r="D92" s="146">
        <f>'CashFlow-Infrastructure'!D61</f>
        <v>0</v>
      </c>
      <c r="E92" s="146">
        <f>'CashFlow-Infrastructure'!E61</f>
        <v>0</v>
      </c>
      <c r="F92" s="146">
        <f>'CashFlow-Infrastructure'!F61</f>
        <v>0</v>
      </c>
      <c r="G92" s="146">
        <f>'CashFlow-Infrastructure'!G61</f>
        <v>0</v>
      </c>
      <c r="H92" s="146">
        <f>'CashFlow-Infrastructure'!H61</f>
        <v>0</v>
      </c>
      <c r="I92" s="146">
        <f>'CashFlow-Infrastructure'!I61</f>
        <v>0</v>
      </c>
      <c r="J92" s="146">
        <f>'CashFlow-Infrastructure'!J61</f>
        <v>0</v>
      </c>
      <c r="K92" s="146">
        <f>'CashFlow-Infrastructure'!K61</f>
        <v>0</v>
      </c>
      <c r="L92" s="146">
        <f>'CashFlow-Infrastructure'!L61</f>
        <v>0</v>
      </c>
      <c r="M92" s="151">
        <f>'CashFlow-Infrastructure'!M61</f>
        <v>0</v>
      </c>
      <c r="O92" s="3" t="s">
        <v>343</v>
      </c>
      <c r="P92" s="524">
        <f>SUM(P88:P91)</f>
        <v>172912215.18480781</v>
      </c>
      <c r="Q92" s="8"/>
      <c r="R92" s="163">
        <f>P92/$P$18</f>
        <v>0.38840611899753535</v>
      </c>
    </row>
    <row r="93" spans="2:18" x14ac:dyDescent="0.65">
      <c r="B93" s="3" t="s">
        <v>275</v>
      </c>
      <c r="C93" s="8"/>
      <c r="D93" s="146">
        <f t="shared" ref="D93:M93" si="30">SUM(D87:D91)</f>
        <v>0</v>
      </c>
      <c r="E93" s="146">
        <f t="shared" si="30"/>
        <v>0</v>
      </c>
      <c r="F93" s="146">
        <f t="shared" si="30"/>
        <v>0</v>
      </c>
      <c r="G93" s="146">
        <f t="shared" si="30"/>
        <v>15039590.276711505</v>
      </c>
      <c r="H93" s="146">
        <f t="shared" si="30"/>
        <v>18223934.186266199</v>
      </c>
      <c r="I93" s="146">
        <f t="shared" si="30"/>
        <v>18770652.211854186</v>
      </c>
      <c r="J93" s="146">
        <f t="shared" si="30"/>
        <v>19333771.778209817</v>
      </c>
      <c r="K93" s="146">
        <f t="shared" si="30"/>
        <v>19913784.931556109</v>
      </c>
      <c r="L93" s="146">
        <f t="shared" si="30"/>
        <v>20511198.47950279</v>
      </c>
      <c r="M93" s="151">
        <f t="shared" si="30"/>
        <v>21126534.433887873</v>
      </c>
      <c r="O93" s="3"/>
      <c r="P93" s="524"/>
      <c r="Q93" s="8"/>
      <c r="R93" s="151"/>
    </row>
    <row r="94" spans="2:18" x14ac:dyDescent="0.65">
      <c r="B94" s="3" t="s">
        <v>280</v>
      </c>
      <c r="C94" s="8"/>
      <c r="D94" s="146">
        <f t="shared" ref="D94:M94" si="31">-(D$8=YEAR(PhaseIIConEnd))*LandPhaseII</f>
        <v>0</v>
      </c>
      <c r="E94" s="146">
        <f t="shared" si="31"/>
        <v>0</v>
      </c>
      <c r="F94" s="146">
        <f t="shared" si="31"/>
        <v>0</v>
      </c>
      <c r="G94" s="146">
        <f t="shared" si="31"/>
        <v>-37462800</v>
      </c>
      <c r="H94" s="146">
        <f t="shared" si="31"/>
        <v>0</v>
      </c>
      <c r="I94" s="146">
        <f t="shared" si="31"/>
        <v>0</v>
      </c>
      <c r="J94" s="146">
        <f t="shared" si="31"/>
        <v>0</v>
      </c>
      <c r="K94" s="146">
        <f t="shared" si="31"/>
        <v>0</v>
      </c>
      <c r="L94" s="146">
        <f t="shared" si="31"/>
        <v>0</v>
      </c>
      <c r="M94" s="151">
        <f t="shared" si="31"/>
        <v>0</v>
      </c>
      <c r="O94" s="36" t="s">
        <v>340</v>
      </c>
      <c r="P94" s="529" t="s">
        <v>315</v>
      </c>
      <c r="Q94" s="175"/>
      <c r="R94" s="109" t="s">
        <v>344</v>
      </c>
    </row>
    <row r="95" spans="2:18" x14ac:dyDescent="0.65">
      <c r="B95" s="3"/>
      <c r="C95" s="8"/>
      <c r="D95" s="146"/>
      <c r="E95" s="146"/>
      <c r="F95" s="146"/>
      <c r="G95" s="146"/>
      <c r="H95" s="146"/>
      <c r="I95" s="146"/>
      <c r="J95" s="146"/>
      <c r="K95" s="146"/>
      <c r="L95" s="146"/>
      <c r="M95" s="151"/>
      <c r="O95" s="3" t="s">
        <v>280</v>
      </c>
      <c r="P95" s="524">
        <f>-SUM(D94:M94)</f>
        <v>37462800</v>
      </c>
      <c r="Q95" s="8"/>
      <c r="R95" s="163">
        <f>P95/$P$30</f>
        <v>8.3358817223183015E-2</v>
      </c>
    </row>
    <row r="96" spans="2:18" x14ac:dyDescent="0.65">
      <c r="B96" s="36" t="s">
        <v>130</v>
      </c>
      <c r="C96" s="8"/>
      <c r="D96" s="146"/>
      <c r="E96" s="146"/>
      <c r="F96" s="146"/>
      <c r="G96" s="146"/>
      <c r="H96" s="146"/>
      <c r="I96" s="146"/>
      <c r="J96" s="146"/>
      <c r="K96" s="146"/>
      <c r="L96" s="146"/>
      <c r="M96" s="151"/>
      <c r="O96" s="3" t="str">
        <f t="shared" ref="O96:O102" si="32">B97&amp;" Construction Costs"</f>
        <v>Residential Apartments Construction Costs</v>
      </c>
      <c r="P96" s="524">
        <f t="shared" ref="P96:P102" si="33">-SUM(D97:M97)</f>
        <v>15206085.714679725</v>
      </c>
      <c r="Q96" s="8"/>
      <c r="R96" s="163">
        <f>P96/$P$30</f>
        <v>3.383519971198206E-2</v>
      </c>
    </row>
    <row r="97" spans="2:18" x14ac:dyDescent="0.65">
      <c r="B97" s="3" t="s">
        <v>273</v>
      </c>
      <c r="C97" s="8"/>
      <c r="D97" s="146">
        <f>'CashFlow-ResRental'!D109</f>
        <v>0</v>
      </c>
      <c r="E97" s="146">
        <f>'CashFlow-ResRental'!E109</f>
        <v>-699130.37768642406</v>
      </c>
      <c r="F97" s="146">
        <f>'CashFlow-ResRental'!F109</f>
        <v>-7156615.3932630019</v>
      </c>
      <c r="G97" s="146">
        <f>'CashFlow-ResRental'!G109</f>
        <v>-7350339.9437302994</v>
      </c>
      <c r="H97" s="146">
        <f>'CashFlow-ResRental'!H109</f>
        <v>0</v>
      </c>
      <c r="I97" s="146">
        <f>'CashFlow-ResRental'!I109</f>
        <v>0</v>
      </c>
      <c r="J97" s="146">
        <f>'CashFlow-ResRental'!J109</f>
        <v>0</v>
      </c>
      <c r="K97" s="146">
        <f>'CashFlow-ResRental'!K109</f>
        <v>0</v>
      </c>
      <c r="L97" s="146">
        <f>'CashFlow-ResRental'!L109</f>
        <v>0</v>
      </c>
      <c r="M97" s="151">
        <f>'CashFlow-ResRental'!M109</f>
        <v>0</v>
      </c>
      <c r="O97" s="3" t="str">
        <f t="shared" si="32"/>
        <v>Residential Condos Construction Costs</v>
      </c>
      <c r="P97" s="524">
        <f t="shared" si="33"/>
        <v>54828032.91500625</v>
      </c>
      <c r="Q97" s="8"/>
      <c r="R97" s="163">
        <f>P97/$P$30</f>
        <v>0.12199835502067832</v>
      </c>
    </row>
    <row r="98" spans="2:18" x14ac:dyDescent="0.65">
      <c r="B98" s="3" t="s">
        <v>276</v>
      </c>
      <c r="C98" s="8"/>
      <c r="D98" s="146">
        <f>'CashFlow-ResCondo'!D65</f>
        <v>0</v>
      </c>
      <c r="E98" s="146">
        <f>'CashFlow-ResCondo'!E65</f>
        <v>-2520829.0995405172</v>
      </c>
      <c r="F98" s="146">
        <f>'CashFlow-ResCondo'!F65</f>
        <v>-25804349.107611798</v>
      </c>
      <c r="G98" s="146">
        <f>'CashFlow-ResCondo'!G65</f>
        <v>-26502854.707853939</v>
      </c>
      <c r="H98" s="146">
        <f>'CashFlow-ResCondo'!H65</f>
        <v>0</v>
      </c>
      <c r="I98" s="146">
        <f>'CashFlow-ResCondo'!I65</f>
        <v>0</v>
      </c>
      <c r="J98" s="146">
        <f>'CashFlow-ResCondo'!J65</f>
        <v>0</v>
      </c>
      <c r="K98" s="146">
        <f>'CashFlow-ResCondo'!K65</f>
        <v>0</v>
      </c>
      <c r="L98" s="146">
        <f>'CashFlow-ResCondo'!L65</f>
        <v>0</v>
      </c>
      <c r="M98" s="151">
        <f>'CashFlow-ResCondo'!M65</f>
        <v>0</v>
      </c>
      <c r="O98" s="3" t="str">
        <f t="shared" si="32"/>
        <v>Retail Construction Costs</v>
      </c>
      <c r="P98" s="524">
        <f t="shared" si="33"/>
        <v>37190752.071283996</v>
      </c>
      <c r="Q98" s="8"/>
      <c r="R98" s="163">
        <f t="shared" ref="R98:R104" si="34">P98/$P$30</f>
        <v>8.275348090113066E-2</v>
      </c>
    </row>
    <row r="99" spans="2:18" x14ac:dyDescent="0.65">
      <c r="B99" s="3" t="s">
        <v>47</v>
      </c>
      <c r="C99" s="8"/>
      <c r="D99" s="146">
        <f>'CashFlow-Retail'!D139</f>
        <v>0</v>
      </c>
      <c r="E99" s="146">
        <f>'CashFlow-Retail'!E139</f>
        <v>-1642493.7823279998</v>
      </c>
      <c r="F99" s="146">
        <f>'CashFlow-Retail'!F139</f>
        <v>-17535730.592328001</v>
      </c>
      <c r="G99" s="146">
        <f>'CashFlow-Retail'!G139</f>
        <v>-18012527.696628001</v>
      </c>
      <c r="H99" s="146">
        <f>'CashFlow-Retail'!H139</f>
        <v>0</v>
      </c>
      <c r="I99" s="146">
        <f>'CashFlow-Retail'!I139</f>
        <v>0</v>
      </c>
      <c r="J99" s="146">
        <f>'CashFlow-Retail'!J139</f>
        <v>0</v>
      </c>
      <c r="K99" s="146">
        <f>'CashFlow-Retail'!K139</f>
        <v>0</v>
      </c>
      <c r="L99" s="146">
        <f>'CashFlow-Retail'!L139</f>
        <v>0</v>
      </c>
      <c r="M99" s="151">
        <f>'CashFlow-Retail'!M139</f>
        <v>0</v>
      </c>
      <c r="O99" s="3" t="str">
        <f t="shared" si="32"/>
        <v>Office Construction Costs</v>
      </c>
      <c r="P99" s="524">
        <f t="shared" si="33"/>
        <v>71647718.435108125</v>
      </c>
      <c r="Q99" s="8"/>
      <c r="R99" s="163">
        <f t="shared" si="34"/>
        <v>0.15942399034482896</v>
      </c>
    </row>
    <row r="100" spans="2:18" x14ac:dyDescent="0.65">
      <c r="B100" s="3" t="s">
        <v>30</v>
      </c>
      <c r="C100" s="8"/>
      <c r="D100" s="146">
        <f>'CashFlow-Office'!D99</f>
        <v>0</v>
      </c>
      <c r="E100" s="146">
        <f>'CashFlow-Office'!E99</f>
        <v>-3294147.9740279596</v>
      </c>
      <c r="F100" s="146">
        <f>'CashFlow-Office'!F99</f>
        <v>-33720391.576502956</v>
      </c>
      <c r="G100" s="146">
        <f>'CashFlow-Office'!G99</f>
        <v>-34633178.884577207</v>
      </c>
      <c r="H100" s="146">
        <f>'CashFlow-Office'!H99</f>
        <v>0</v>
      </c>
      <c r="I100" s="146">
        <f>'CashFlow-Office'!I99</f>
        <v>0</v>
      </c>
      <c r="J100" s="146">
        <f>'CashFlow-Office'!J99</f>
        <v>0</v>
      </c>
      <c r="K100" s="146">
        <f>'CashFlow-Office'!K99</f>
        <v>0</v>
      </c>
      <c r="L100" s="146">
        <f>'CashFlow-Office'!L99</f>
        <v>0</v>
      </c>
      <c r="M100" s="151">
        <f>'CashFlow-Office'!M99</f>
        <v>0</v>
      </c>
      <c r="O100" s="3" t="str">
        <f t="shared" si="32"/>
        <v>Hotel Construction Costs</v>
      </c>
      <c r="P100" s="524">
        <f t="shared" si="33"/>
        <v>0</v>
      </c>
      <c r="Q100" s="8"/>
      <c r="R100" s="163">
        <f t="shared" si="34"/>
        <v>0</v>
      </c>
    </row>
    <row r="101" spans="2:18" x14ac:dyDescent="0.65">
      <c r="B101" s="3" t="s">
        <v>49</v>
      </c>
      <c r="C101" s="8"/>
      <c r="D101" s="146">
        <f>'CashFlow-Hotel'!D130</f>
        <v>0</v>
      </c>
      <c r="E101" s="146">
        <f>'CashFlow-Hotel'!E130</f>
        <v>0</v>
      </c>
      <c r="F101" s="146">
        <f>'CashFlow-Hotel'!F130</f>
        <v>0</v>
      </c>
      <c r="G101" s="146">
        <f>'CashFlow-Hotel'!G130</f>
        <v>0</v>
      </c>
      <c r="H101" s="146">
        <f>'CashFlow-Hotel'!H130</f>
        <v>0</v>
      </c>
      <c r="I101" s="146">
        <f>'CashFlow-Hotel'!I130</f>
        <v>0</v>
      </c>
      <c r="J101" s="146">
        <f>'CashFlow-Hotel'!J130</f>
        <v>0</v>
      </c>
      <c r="K101" s="146">
        <f>'CashFlow-Hotel'!K130</f>
        <v>0</v>
      </c>
      <c r="L101" s="146">
        <f>'CashFlow-Hotel'!L130</f>
        <v>0</v>
      </c>
      <c r="M101" s="151">
        <f>'CashFlow-Hotel'!M130</f>
        <v>0</v>
      </c>
      <c r="O101" s="3" t="str">
        <f t="shared" si="32"/>
        <v>Parking Construction Costs</v>
      </c>
      <c r="P101" s="524">
        <f t="shared" si="33"/>
        <v>5616259.7400000002</v>
      </c>
      <c r="Q101" s="8"/>
      <c r="R101" s="163">
        <f t="shared" si="34"/>
        <v>1.2496790660190412E-2</v>
      </c>
    </row>
    <row r="102" spans="2:18" x14ac:dyDescent="0.65">
      <c r="B102" s="3" t="s">
        <v>274</v>
      </c>
      <c r="C102" s="8"/>
      <c r="D102" s="146">
        <f>-'CashFlow-Parking'!D25</f>
        <v>0</v>
      </c>
      <c r="E102" s="146">
        <f>-'CashFlow-Parking'!E25</f>
        <v>0</v>
      </c>
      <c r="F102" s="146">
        <f>-'CashFlow-Parking'!F25</f>
        <v>-2808129.87</v>
      </c>
      <c r="G102" s="146">
        <f>-'CashFlow-Parking'!G25</f>
        <v>-2808129.87</v>
      </c>
      <c r="H102" s="146">
        <f>-'CashFlow-Parking'!H25</f>
        <v>0</v>
      </c>
      <c r="I102" s="146">
        <f>-'CashFlow-Parking'!I25</f>
        <v>0</v>
      </c>
      <c r="J102" s="146">
        <f>-'CashFlow-Parking'!J25</f>
        <v>0</v>
      </c>
      <c r="K102" s="146">
        <f>-'CashFlow-Parking'!K25</f>
        <v>0</v>
      </c>
      <c r="L102" s="146">
        <f>-'CashFlow-Parking'!L25</f>
        <v>0</v>
      </c>
      <c r="M102" s="151">
        <f>-'CashFlow-Parking'!M25</f>
        <v>0</v>
      </c>
      <c r="O102" s="3" t="str">
        <f t="shared" si="32"/>
        <v>Infrastructure Construction Costs</v>
      </c>
      <c r="P102" s="524">
        <f t="shared" si="33"/>
        <v>34623686.171717167</v>
      </c>
      <c r="Q102" s="8"/>
      <c r="R102" s="163">
        <f t="shared" si="34"/>
        <v>7.7041479205532434E-2</v>
      </c>
    </row>
    <row r="103" spans="2:18" x14ac:dyDescent="0.65">
      <c r="B103" s="56" t="s">
        <v>277</v>
      </c>
      <c r="C103" s="8"/>
      <c r="D103" s="144">
        <f>-(AND(D$8&gt;=YEAR(PhaseIIConBegin),D$8&lt;=YEAR(PhaseIIConEnd)))*'Assumptions-Land&amp;Infrastructure'!$G$38/(YEAR(PhaseIIConEnd)-YEAR(PhaseIIConBegin)+1)</f>
        <v>0</v>
      </c>
      <c r="E103" s="144">
        <f>-(AND(E$8&gt;=YEAR(PhaseIIConBegin),E$8&lt;=YEAR(PhaseIIConEnd)))*'Assumptions-Land&amp;Infrastructure'!$G$38/(YEAR(PhaseIIConEnd)-YEAR(PhaseIIConBegin)+1)</f>
        <v>0</v>
      </c>
      <c r="F103" s="144">
        <f>-(AND(F$8&gt;=YEAR(PhaseIIConBegin),F$8&lt;=YEAR(PhaseIIConEnd)))*'Assumptions-Land&amp;Infrastructure'!$G$38/(YEAR(PhaseIIConEnd)-YEAR(PhaseIIConBegin)+1)</f>
        <v>-17311843.085858583</v>
      </c>
      <c r="G103" s="144">
        <f>-(AND(G$8&gt;=YEAR(PhaseIIConBegin),G$8&lt;=YEAR(PhaseIIConEnd)))*'Assumptions-Land&amp;Infrastructure'!$G$38/(YEAR(PhaseIIConEnd)-YEAR(PhaseIIConBegin)+1)</f>
        <v>-17311843.085858583</v>
      </c>
      <c r="H103" s="144">
        <f>-(AND(H$8&gt;=YEAR(PhaseIIConBegin),H$8&lt;=YEAR(PhaseIIConEnd)))*'Assumptions-Land&amp;Infrastructure'!$G$38/(YEAR(PhaseIIConEnd)-YEAR(PhaseIIConBegin)+1)</f>
        <v>0</v>
      </c>
      <c r="I103" s="144">
        <f>-(AND(I$8&gt;=YEAR(PhaseIIConBegin),I$8&lt;=YEAR(PhaseIIConEnd)))*'Assumptions-Land&amp;Infrastructure'!$G$38/(YEAR(PhaseIIConEnd)-YEAR(PhaseIIConBegin)+1)</f>
        <v>0</v>
      </c>
      <c r="J103" s="144">
        <f>-(AND(J$8&gt;=YEAR(PhaseIIConBegin),J$8&lt;=YEAR(PhaseIIConEnd)))*'Assumptions-Land&amp;Infrastructure'!$G$38/(YEAR(PhaseIIConEnd)-YEAR(PhaseIIConBegin)+1)</f>
        <v>0</v>
      </c>
      <c r="K103" s="144">
        <f>-(AND(K$8&gt;=YEAR(PhaseIIConBegin),K$8&lt;=YEAR(PhaseIIConEnd)))*'Assumptions-Land&amp;Infrastructure'!$G$38/(YEAR(PhaseIIConEnd)-YEAR(PhaseIIConBegin)+1)</f>
        <v>0</v>
      </c>
      <c r="L103" s="144">
        <f>-(AND(L$8&gt;=YEAR(PhaseIIConBegin),L$8&lt;=YEAR(PhaseIIConEnd)))*'Assumptions-Land&amp;Infrastructure'!$G$38/(YEAR(PhaseIIConEnd)-YEAR(PhaseIIConBegin)+1)</f>
        <v>0</v>
      </c>
      <c r="M103" s="152">
        <f>-(AND(M$8&gt;=YEAR(PhaseIIConBegin),M$8&lt;=YEAR(PhaseIIConEnd)))*'Assumptions-Land&amp;Infrastructure'!$G$38/(YEAR(PhaseIIConEnd)-YEAR(PhaseIIConBegin)+1)</f>
        <v>0</v>
      </c>
      <c r="O103" s="3" t="s">
        <v>345</v>
      </c>
      <c r="P103" s="533">
        <f>SUM(D122:M122)</f>
        <v>1727497.7641670378</v>
      </c>
      <c r="Q103" s="8"/>
      <c r="R103" s="177">
        <f t="shared" si="34"/>
        <v>3.8438709967396302E-3</v>
      </c>
    </row>
    <row r="104" spans="2:18" ht="13" thickBot="1" x14ac:dyDescent="0.8">
      <c r="B104" s="3" t="s">
        <v>212</v>
      </c>
      <c r="C104" s="8"/>
      <c r="D104" s="146">
        <f>SUM(D97:D103)</f>
        <v>0</v>
      </c>
      <c r="E104" s="146">
        <f t="shared" ref="E104" si="35">SUM(E97:E103)</f>
        <v>-8156601.2335829008</v>
      </c>
      <c r="F104" s="146">
        <f t="shared" ref="F104" si="36">SUM(F97:F103)</f>
        <v>-104337059.62556434</v>
      </c>
      <c r="G104" s="146">
        <f t="shared" ref="G104" si="37">SUM(G97:G103)</f>
        <v>-106618874.18864805</v>
      </c>
      <c r="H104" s="146">
        <f t="shared" ref="H104" si="38">SUM(H97:H103)</f>
        <v>0</v>
      </c>
      <c r="I104" s="146">
        <f t="shared" ref="I104" si="39">SUM(I97:I103)</f>
        <v>0</v>
      </c>
      <c r="J104" s="146">
        <f t="shared" ref="J104" si="40">SUM(J97:J103)</f>
        <v>0</v>
      </c>
      <c r="K104" s="146">
        <f t="shared" ref="K104" si="41">SUM(K97:K103)</f>
        <v>0</v>
      </c>
      <c r="L104" s="146">
        <f t="shared" ref="L104" si="42">SUM(L97:L103)</f>
        <v>0</v>
      </c>
      <c r="M104" s="151">
        <f t="shared" ref="M104" si="43">SUM(M97:M103)</f>
        <v>0</v>
      </c>
      <c r="O104" s="5" t="s">
        <v>346</v>
      </c>
      <c r="P104" s="530">
        <f>SUM(P95:P103)</f>
        <v>258302832.81196231</v>
      </c>
      <c r="Q104" s="10"/>
      <c r="R104" s="179">
        <f t="shared" si="34"/>
        <v>0.57475198406426553</v>
      </c>
    </row>
    <row r="105" spans="2:18" x14ac:dyDescent="0.65">
      <c r="B105" s="3"/>
      <c r="C105" s="8"/>
      <c r="D105" s="146"/>
      <c r="E105" s="146"/>
      <c r="F105" s="146"/>
      <c r="G105" s="146"/>
      <c r="H105" s="128"/>
      <c r="I105" s="146"/>
      <c r="J105" s="146"/>
      <c r="K105" s="146"/>
      <c r="L105" s="146"/>
      <c r="M105" s="151"/>
      <c r="O105" s="147" t="s">
        <v>382</v>
      </c>
      <c r="P105" s="524"/>
      <c r="Q105" s="8"/>
      <c r="R105" s="9"/>
    </row>
    <row r="106" spans="2:18" x14ac:dyDescent="0.65">
      <c r="B106" s="3" t="s">
        <v>571</v>
      </c>
      <c r="C106" s="8"/>
      <c r="D106" s="146">
        <f>'CashFlow-ResRental'!D111</f>
        <v>0</v>
      </c>
      <c r="E106" s="146">
        <f>'CashFlow-ResRental'!E111</f>
        <v>0</v>
      </c>
      <c r="F106" s="146">
        <f>'CashFlow-ResRental'!F111</f>
        <v>0</v>
      </c>
      <c r="G106" s="146">
        <f>'CashFlow-ResRental'!G111</f>
        <v>617240</v>
      </c>
      <c r="H106" s="146">
        <f>'CashFlow-ResRental'!H111</f>
        <v>0</v>
      </c>
      <c r="I106" s="146">
        <f>'CashFlow-ResRental'!I111</f>
        <v>0</v>
      </c>
      <c r="J106" s="146">
        <f>'CashFlow-ResRental'!J111</f>
        <v>0</v>
      </c>
      <c r="K106" s="146">
        <f>'CashFlow-ResRental'!K111</f>
        <v>0</v>
      </c>
      <c r="L106" s="146">
        <f>'CashFlow-ResRental'!L111</f>
        <v>0</v>
      </c>
      <c r="M106" s="151">
        <f>'CashFlow-ResRental'!M111</f>
        <v>0</v>
      </c>
      <c r="O106" s="3"/>
      <c r="P106" s="531" t="s">
        <v>362</v>
      </c>
      <c r="Q106" s="106"/>
      <c r="R106" s="185" t="s">
        <v>364</v>
      </c>
    </row>
    <row r="107" spans="2:18" x14ac:dyDescent="0.65">
      <c r="B107" s="3"/>
      <c r="C107" s="8"/>
      <c r="D107" s="146"/>
      <c r="E107" s="146"/>
      <c r="F107" s="146"/>
      <c r="G107" s="146"/>
      <c r="H107" s="128"/>
      <c r="I107" s="146"/>
      <c r="J107" s="146"/>
      <c r="K107" s="146"/>
      <c r="L107" s="146"/>
      <c r="M107" s="151"/>
      <c r="O107" s="36" t="s">
        <v>117</v>
      </c>
      <c r="P107" s="529" t="s">
        <v>363</v>
      </c>
      <c r="Q107" s="108" t="s">
        <v>360</v>
      </c>
      <c r="R107" s="109" t="s">
        <v>361</v>
      </c>
    </row>
    <row r="108" spans="2:18" x14ac:dyDescent="0.65">
      <c r="B108" s="36" t="s">
        <v>330</v>
      </c>
      <c r="C108" s="8"/>
      <c r="D108" s="146"/>
      <c r="E108" s="146"/>
      <c r="F108" s="146"/>
      <c r="G108" s="146"/>
      <c r="H108" s="146"/>
      <c r="I108" s="146"/>
      <c r="J108" s="146"/>
      <c r="K108" s="146"/>
      <c r="L108" s="146"/>
      <c r="M108" s="151"/>
      <c r="O108" s="3" t="str">
        <f t="shared" ref="O108:O112" si="44">B87</f>
        <v>Residential Apartments</v>
      </c>
      <c r="P108" s="524">
        <f>SUMIF(D$8:M$8,YEAR(PhaseIIRefi),D87:M87)</f>
        <v>1041938.9333082146</v>
      </c>
      <c r="Q108" s="183">
        <f>'Assumptions-Overall'!$V$9</f>
        <v>7.7499999999999999E-2</v>
      </c>
      <c r="R108" s="186">
        <f>P108/Q108</f>
        <v>13444373.333009221</v>
      </c>
    </row>
    <row r="109" spans="2:18" x14ac:dyDescent="0.65">
      <c r="B109" s="3" t="s">
        <v>273</v>
      </c>
      <c r="C109" s="8"/>
      <c r="D109" s="146">
        <f>'CashFlow-ResRental'!D116</f>
        <v>0</v>
      </c>
      <c r="E109" s="146">
        <f>'CashFlow-ResRental'!E116</f>
        <v>0</v>
      </c>
      <c r="F109" s="146">
        <f>'CashFlow-ResRental'!F116</f>
        <v>0</v>
      </c>
      <c r="G109" s="146">
        <f>'CashFlow-ResRental'!G116</f>
        <v>0</v>
      </c>
      <c r="H109" s="146">
        <f>'CashFlow-ResRental'!H116</f>
        <v>0</v>
      </c>
      <c r="I109" s="146">
        <f>'CashFlow-ResRental'!I116</f>
        <v>0</v>
      </c>
      <c r="J109" s="146">
        <f>'CashFlow-ResRental'!J116</f>
        <v>0</v>
      </c>
      <c r="K109" s="146">
        <f>'CashFlow-ResRental'!K116</f>
        <v>0</v>
      </c>
      <c r="L109" s="146">
        <f>'CashFlow-ResRental'!L116</f>
        <v>0</v>
      </c>
      <c r="M109" s="151">
        <f>'CashFlow-ResRental'!M116</f>
        <v>16150272.525286263</v>
      </c>
      <c r="O109" s="3" t="str">
        <f t="shared" si="44"/>
        <v>Retail</v>
      </c>
      <c r="P109" s="524">
        <f>SUMIF(D$8:M$8,YEAR(PhaseIIRefi),D88:M88)</f>
        <v>11454494.495867699</v>
      </c>
      <c r="Q109" s="183">
        <f>'Assumptions-Overall'!$V$13</f>
        <v>8.2666666666666666E-2</v>
      </c>
      <c r="R109" s="186">
        <f t="shared" ref="R109:R112" si="45">P109/Q109</f>
        <v>138562433.41775444</v>
      </c>
    </row>
    <row r="110" spans="2:18" x14ac:dyDescent="0.65">
      <c r="B110" s="3" t="s">
        <v>276</v>
      </c>
      <c r="C110" s="8"/>
      <c r="D110" s="146">
        <f>'CashFlow-ResCondo'!D72</f>
        <v>0</v>
      </c>
      <c r="E110" s="146">
        <f>'CashFlow-ResCondo'!E72</f>
        <v>742607.6747626951</v>
      </c>
      <c r="F110" s="146">
        <f>'CashFlow-ResCondo'!F72</f>
        <v>1147328.8575083639</v>
      </c>
      <c r="G110" s="146">
        <f>'CashFlow-ResCondo'!G72</f>
        <v>66278791.822108939</v>
      </c>
      <c r="H110" s="146">
        <f>'CashFlow-ResCondo'!H72</f>
        <v>5680272.1963429069</v>
      </c>
      <c r="I110" s="146">
        <f>'CashFlow-ResCondo'!I72</f>
        <v>7522303.322871252</v>
      </c>
      <c r="J110" s="146">
        <f>'CashFlow-ResCondo'!J72</f>
        <v>0</v>
      </c>
      <c r="K110" s="146">
        <f>'CashFlow-ResCondo'!K72</f>
        <v>0</v>
      </c>
      <c r="L110" s="146">
        <f>'CashFlow-ResCondo'!L72</f>
        <v>0</v>
      </c>
      <c r="M110" s="151">
        <f>'CashFlow-ResCondo'!M72</f>
        <v>0</v>
      </c>
      <c r="O110" s="3" t="str">
        <f t="shared" si="44"/>
        <v>Office</v>
      </c>
      <c r="P110" s="524">
        <f>SUMIF(D$8:M$8,YEAR(PhaseIIRefi),D89:M89)</f>
        <v>5583429.5070902873</v>
      </c>
      <c r="Q110" s="183">
        <f>'Assumptions-Overall'!$V$18</f>
        <v>9.849999999999999E-2</v>
      </c>
      <c r="R110" s="186">
        <f t="shared" si="45"/>
        <v>56684563.523759268</v>
      </c>
    </row>
    <row r="111" spans="2:18" x14ac:dyDescent="0.65">
      <c r="B111" s="3" t="s">
        <v>338</v>
      </c>
      <c r="C111" s="8"/>
      <c r="D111" s="146">
        <f>'CashFlow-Parking'!D30</f>
        <v>0</v>
      </c>
      <c r="E111" s="146">
        <f>'CashFlow-Parking'!E30</f>
        <v>0</v>
      </c>
      <c r="F111" s="146">
        <f>'CashFlow-Parking'!F30</f>
        <v>0</v>
      </c>
      <c r="G111" s="146">
        <f>'CashFlow-Parking'!G30</f>
        <v>0</v>
      </c>
      <c r="H111" s="146">
        <f>'CashFlow-Parking'!H30</f>
        <v>2357100</v>
      </c>
      <c r="I111" s="146">
        <f>'CashFlow-Parking'!I30</f>
        <v>0</v>
      </c>
      <c r="J111" s="146">
        <f>'CashFlow-Parking'!J30</f>
        <v>0</v>
      </c>
      <c r="K111" s="146">
        <f>'CashFlow-Parking'!K30</f>
        <v>0</v>
      </c>
      <c r="L111" s="146">
        <f>'CashFlow-Parking'!L30</f>
        <v>0</v>
      </c>
      <c r="M111" s="151">
        <f>'CashFlow-Parking'!M30</f>
        <v>0</v>
      </c>
      <c r="O111" s="3" t="str">
        <f t="shared" si="44"/>
        <v>Hotel</v>
      </c>
      <c r="P111" s="524">
        <f>SUMIF(D$8:M$8,YEAR(PhaseIIRefi),D90:M90)</f>
        <v>0</v>
      </c>
      <c r="Q111" s="183">
        <f>'Assumptions-Overall'!$V$22</f>
        <v>8.8749999999999996E-2</v>
      </c>
      <c r="R111" s="186">
        <f t="shared" si="45"/>
        <v>0</v>
      </c>
    </row>
    <row r="112" spans="2:18" x14ac:dyDescent="0.65">
      <c r="B112" s="3" t="s">
        <v>47</v>
      </c>
      <c r="C112" s="8"/>
      <c r="D112" s="146">
        <f>'CashFlow-Retail'!D144</f>
        <v>0</v>
      </c>
      <c r="E112" s="146">
        <f>'CashFlow-Retail'!E144</f>
        <v>0</v>
      </c>
      <c r="F112" s="146">
        <f>'CashFlow-Retail'!F144</f>
        <v>0</v>
      </c>
      <c r="G112" s="146">
        <f>'CashFlow-Retail'!G144</f>
        <v>0</v>
      </c>
      <c r="H112" s="146">
        <f>'CashFlow-Retail'!H144</f>
        <v>0</v>
      </c>
      <c r="I112" s="146">
        <f>'CashFlow-Retail'!I144</f>
        <v>0</v>
      </c>
      <c r="J112" s="146">
        <f>'CashFlow-Retail'!J144</f>
        <v>0</v>
      </c>
      <c r="K112" s="146">
        <f>'CashFlow-Retail'!K144</f>
        <v>0</v>
      </c>
      <c r="L112" s="146">
        <f>'CashFlow-Retail'!L144</f>
        <v>0</v>
      </c>
      <c r="M112" s="151">
        <f>'CashFlow-Retail'!M144</f>
        <v>163345909.90105692</v>
      </c>
      <c r="O112" s="3" t="str">
        <f t="shared" si="44"/>
        <v>Parking</v>
      </c>
      <c r="P112" s="528">
        <f>SUMIF(D$8:M$8,YEAR(PhaseIIRefi),D91:M91)</f>
        <v>144071.25</v>
      </c>
      <c r="Q112" s="183">
        <v>0.05</v>
      </c>
      <c r="R112" s="187">
        <f t="shared" si="45"/>
        <v>2881425</v>
      </c>
    </row>
    <row r="113" spans="2:18" x14ac:dyDescent="0.65">
      <c r="B113" s="3" t="s">
        <v>30</v>
      </c>
      <c r="C113" s="8"/>
      <c r="D113" s="146">
        <f>'CashFlow-Office'!D104</f>
        <v>0</v>
      </c>
      <c r="E113" s="146">
        <f>'CashFlow-Office'!E104</f>
        <v>0</v>
      </c>
      <c r="F113" s="146">
        <f>'CashFlow-Office'!F104</f>
        <v>0</v>
      </c>
      <c r="G113" s="146">
        <f>'CashFlow-Office'!G104</f>
        <v>0</v>
      </c>
      <c r="H113" s="146">
        <f>'CashFlow-Office'!H104</f>
        <v>0</v>
      </c>
      <c r="I113" s="146">
        <f>'CashFlow-Office'!I104</f>
        <v>0</v>
      </c>
      <c r="J113" s="146">
        <f>'CashFlow-Office'!J104</f>
        <v>0</v>
      </c>
      <c r="K113" s="146">
        <f>'CashFlow-Office'!K104</f>
        <v>0</v>
      </c>
      <c r="L113" s="146">
        <f>'CashFlow-Office'!L104</f>
        <v>0</v>
      </c>
      <c r="M113" s="151">
        <f>'CashFlow-Office'!M104</f>
        <v>67120297.142844647</v>
      </c>
      <c r="O113" s="3" t="str">
        <f>B93</f>
        <v>Total Cash Flow from Operations</v>
      </c>
      <c r="P113" s="524">
        <f t="shared" ref="P113" si="46">SUM(P108:P112)</f>
        <v>18223934.186266199</v>
      </c>
      <c r="Q113" s="8"/>
      <c r="R113" s="186">
        <f>SUM(R108:R112)</f>
        <v>211572795.27452293</v>
      </c>
    </row>
    <row r="114" spans="2:18" x14ac:dyDescent="0.65">
      <c r="B114" s="3" t="s">
        <v>49</v>
      </c>
      <c r="C114" s="8"/>
      <c r="D114" s="146">
        <f>'CashFlow-Hotel'!D135</f>
        <v>0</v>
      </c>
      <c r="E114" s="146">
        <f>'CashFlow-Hotel'!E135</f>
        <v>0</v>
      </c>
      <c r="F114" s="146">
        <f>'CashFlow-Hotel'!F135</f>
        <v>0</v>
      </c>
      <c r="G114" s="146">
        <f>'CashFlow-Hotel'!G135</f>
        <v>0</v>
      </c>
      <c r="H114" s="146">
        <f>'CashFlow-Hotel'!H135</f>
        <v>0</v>
      </c>
      <c r="I114" s="146">
        <f>'CashFlow-Hotel'!I135</f>
        <v>0</v>
      </c>
      <c r="J114" s="146">
        <f>'CashFlow-Hotel'!J135</f>
        <v>0</v>
      </c>
      <c r="K114" s="146">
        <f>'CashFlow-Hotel'!K135</f>
        <v>0</v>
      </c>
      <c r="L114" s="146">
        <f>'CashFlow-Hotel'!L135</f>
        <v>0</v>
      </c>
      <c r="M114" s="151">
        <f>'CashFlow-Hotel'!M135</f>
        <v>0</v>
      </c>
      <c r="O114" s="3"/>
      <c r="P114" s="524"/>
      <c r="Q114" s="8"/>
      <c r="R114" s="151"/>
    </row>
    <row r="115" spans="2:18" x14ac:dyDescent="0.65">
      <c r="B115" s="3" t="s">
        <v>274</v>
      </c>
      <c r="C115" s="8"/>
      <c r="D115" s="146">
        <f>'CashFlow-Parking'!D35</f>
        <v>0</v>
      </c>
      <c r="E115" s="146">
        <f>'CashFlow-Parking'!E35</f>
        <v>0</v>
      </c>
      <c r="F115" s="146">
        <f>'CashFlow-Parking'!F35</f>
        <v>0</v>
      </c>
      <c r="G115" s="146">
        <f>'CashFlow-Parking'!G35</f>
        <v>0</v>
      </c>
      <c r="H115" s="146">
        <f>'CashFlow-Parking'!H35</f>
        <v>0</v>
      </c>
      <c r="I115" s="146">
        <f>'CashFlow-Parking'!I35</f>
        <v>0</v>
      </c>
      <c r="J115" s="146">
        <f>'CashFlow-Parking'!J35</f>
        <v>0</v>
      </c>
      <c r="K115" s="146">
        <f>'CashFlow-Parking'!K35</f>
        <v>0</v>
      </c>
      <c r="L115" s="146">
        <f>'CashFlow-Parking'!L35</f>
        <v>0</v>
      </c>
      <c r="M115" s="151">
        <f>'CashFlow-Parking'!M35</f>
        <v>5619601.1595925894</v>
      </c>
      <c r="O115" s="3" t="s">
        <v>365</v>
      </c>
      <c r="P115" s="532"/>
      <c r="Q115" s="8"/>
      <c r="R115" s="188">
        <f>'Assumptions-Overall'!$O$9</f>
        <v>0.65</v>
      </c>
    </row>
    <row r="116" spans="2:18" x14ac:dyDescent="0.65">
      <c r="B116" s="3" t="s">
        <v>331</v>
      </c>
      <c r="C116" s="8"/>
      <c r="D116" s="146">
        <f>SUM(D109:D115)</f>
        <v>0</v>
      </c>
      <c r="E116" s="146">
        <f t="shared" ref="E116:M116" si="47">SUM(E109:E115)</f>
        <v>742607.6747626951</v>
      </c>
      <c r="F116" s="146">
        <f t="shared" si="47"/>
        <v>1147328.8575083639</v>
      </c>
      <c r="G116" s="146">
        <f t="shared" si="47"/>
        <v>66278791.822108939</v>
      </c>
      <c r="H116" s="146">
        <f t="shared" si="47"/>
        <v>8037372.1963429069</v>
      </c>
      <c r="I116" s="146">
        <f t="shared" si="47"/>
        <v>7522303.322871252</v>
      </c>
      <c r="J116" s="146">
        <f t="shared" si="47"/>
        <v>0</v>
      </c>
      <c r="K116" s="146">
        <f t="shared" si="47"/>
        <v>0</v>
      </c>
      <c r="L116" s="146">
        <f t="shared" si="47"/>
        <v>0</v>
      </c>
      <c r="M116" s="151">
        <f t="shared" si="47"/>
        <v>252236080.72878042</v>
      </c>
      <c r="O116" s="3" t="s">
        <v>366</v>
      </c>
      <c r="P116" s="532"/>
      <c r="Q116" s="8"/>
      <c r="R116" s="186">
        <f>R113*R115</f>
        <v>137522316.92843992</v>
      </c>
    </row>
    <row r="117" spans="2:18" x14ac:dyDescent="0.65">
      <c r="B117" s="3"/>
      <c r="C117" s="8"/>
      <c r="D117" s="146"/>
      <c r="E117" s="146"/>
      <c r="F117" s="146"/>
      <c r="G117" s="146"/>
      <c r="H117" s="146"/>
      <c r="I117" s="146"/>
      <c r="J117" s="146"/>
      <c r="K117" s="146"/>
      <c r="L117" s="146"/>
      <c r="M117" s="151"/>
      <c r="O117" s="3"/>
      <c r="P117" s="524"/>
      <c r="Q117" s="8"/>
      <c r="R117" s="186"/>
    </row>
    <row r="118" spans="2:18" ht="13" thickBot="1" x14ac:dyDescent="0.8">
      <c r="B118" s="3" t="s">
        <v>214</v>
      </c>
      <c r="C118" s="8"/>
      <c r="D118" s="146">
        <f t="shared" ref="D118:M118" si="48">D93+D94+D104+D106+D116</f>
        <v>0</v>
      </c>
      <c r="E118" s="146">
        <f t="shared" si="48"/>
        <v>-7413993.5588202057</v>
      </c>
      <c r="F118" s="146">
        <f t="shared" si="48"/>
        <v>-103189730.76805598</v>
      </c>
      <c r="G118" s="146">
        <f t="shared" si="48"/>
        <v>-62146052.089827597</v>
      </c>
      <c r="H118" s="146">
        <f t="shared" si="48"/>
        <v>26261306.382609107</v>
      </c>
      <c r="I118" s="146">
        <f t="shared" si="48"/>
        <v>26292955.534725439</v>
      </c>
      <c r="J118" s="146">
        <f t="shared" si="48"/>
        <v>19333771.778209817</v>
      </c>
      <c r="K118" s="146">
        <f t="shared" si="48"/>
        <v>19913784.931556109</v>
      </c>
      <c r="L118" s="146">
        <f t="shared" si="48"/>
        <v>20511198.47950279</v>
      </c>
      <c r="M118" s="151">
        <f t="shared" si="48"/>
        <v>273362615.16266829</v>
      </c>
      <c r="O118" s="3" t="s">
        <v>369</v>
      </c>
      <c r="P118" s="524"/>
      <c r="Q118" s="8"/>
      <c r="R118" s="189">
        <f>'Assumptions-Overall'!$O$19</f>
        <v>1.2</v>
      </c>
    </row>
    <row r="119" spans="2:18" ht="13" thickBot="1" x14ac:dyDescent="0.8">
      <c r="B119" s="143" t="s">
        <v>218</v>
      </c>
      <c r="C119" s="181">
        <f>IFERROR(IRR(D118:M118),"n/a")</f>
        <v>0.15509938741731322</v>
      </c>
      <c r="D119" s="146"/>
      <c r="E119" s="146"/>
      <c r="F119" s="146"/>
      <c r="G119" s="146"/>
      <c r="H119" s="146"/>
      <c r="I119" s="146"/>
      <c r="J119" s="146"/>
      <c r="K119" s="146"/>
      <c r="L119" s="146"/>
      <c r="M119" s="151"/>
      <c r="O119" s="3" t="s">
        <v>370</v>
      </c>
      <c r="P119" s="524"/>
      <c r="Q119" s="8"/>
      <c r="R119" s="186">
        <f>-PV('Assumptions-Overall'!$O$15/12,'Assumptions-Overall'!$O$27*12,'CashFlow-Combined'!P113/12/'CashFlow-Combined'!R118,0)</f>
        <v>249770609.21546385</v>
      </c>
    </row>
    <row r="120" spans="2:18" x14ac:dyDescent="0.65">
      <c r="B120" s="3"/>
      <c r="C120" s="158"/>
      <c r="D120" s="146"/>
      <c r="E120" s="146"/>
      <c r="F120" s="146"/>
      <c r="G120" s="146"/>
      <c r="H120" s="146"/>
      <c r="I120" s="146"/>
      <c r="J120" s="146"/>
      <c r="K120" s="146"/>
      <c r="L120" s="146"/>
      <c r="M120" s="151"/>
      <c r="O120" s="3"/>
      <c r="P120" s="524"/>
      <c r="Q120" s="8"/>
      <c r="R120" s="186"/>
    </row>
    <row r="121" spans="2:18" x14ac:dyDescent="0.65">
      <c r="B121" s="36" t="s">
        <v>64</v>
      </c>
      <c r="C121" s="158"/>
      <c r="D121" s="146"/>
      <c r="E121" s="146"/>
      <c r="F121" s="146"/>
      <c r="G121" s="146"/>
      <c r="H121" s="146"/>
      <c r="I121" s="146"/>
      <c r="J121" s="146"/>
      <c r="K121" s="146"/>
      <c r="L121" s="146"/>
      <c r="M121" s="151"/>
      <c r="O121" s="3" t="s">
        <v>371</v>
      </c>
      <c r="P121" s="524"/>
      <c r="Q121" s="8"/>
      <c r="R121" s="186">
        <f>MIN(R116,R119)</f>
        <v>137522316.92843992</v>
      </c>
    </row>
    <row r="122" spans="2:18" x14ac:dyDescent="0.65">
      <c r="B122" s="3" t="s">
        <v>353</v>
      </c>
      <c r="C122" s="158"/>
      <c r="D122" s="146">
        <f>-IF(D118&lt;0,D118*1%,0)</f>
        <v>0</v>
      </c>
      <c r="E122" s="146">
        <f t="shared" ref="E122:M122" si="49">-IF(E118&lt;0,E118*1%,0)</f>
        <v>74139.935588202061</v>
      </c>
      <c r="F122" s="146">
        <f t="shared" si="49"/>
        <v>1031897.3076805598</v>
      </c>
      <c r="G122" s="146">
        <f t="shared" si="49"/>
        <v>621460.52089827601</v>
      </c>
      <c r="H122" s="146">
        <f t="shared" si="49"/>
        <v>0</v>
      </c>
      <c r="I122" s="146">
        <f t="shared" si="49"/>
        <v>0</v>
      </c>
      <c r="J122" s="146">
        <f t="shared" si="49"/>
        <v>0</v>
      </c>
      <c r="K122" s="146">
        <f t="shared" si="49"/>
        <v>0</v>
      </c>
      <c r="L122" s="146">
        <f t="shared" si="49"/>
        <v>0</v>
      </c>
      <c r="M122" s="151">
        <f t="shared" si="49"/>
        <v>0</v>
      </c>
      <c r="O122" s="3" t="s">
        <v>372</v>
      </c>
      <c r="P122" s="524"/>
      <c r="Q122" s="8"/>
      <c r="R122" s="186">
        <f>PMT('Assumptions-Overall'!$O$15/12,'Assumptions-Overall'!$O$27*12,-'CashFlow-Combined'!R121,0)*12</f>
        <v>8361664.531303145</v>
      </c>
    </row>
    <row r="123" spans="2:18" x14ac:dyDescent="0.65">
      <c r="B123" s="3" t="s">
        <v>349</v>
      </c>
      <c r="C123" s="158"/>
      <c r="D123" s="146">
        <f>MAX(-D118-D122,0)</f>
        <v>0</v>
      </c>
      <c r="E123" s="146">
        <f t="shared" ref="E123" si="50">MAX(-E118-E122,0)</f>
        <v>7339853.6232320033</v>
      </c>
      <c r="F123" s="146">
        <f t="shared" ref="F123" si="51">MAX(-F118-F122,0)</f>
        <v>102157833.46037541</v>
      </c>
      <c r="G123" s="146">
        <f t="shared" ref="G123" si="52">MAX(-G118-G122,0)</f>
        <v>61524591.568929322</v>
      </c>
      <c r="H123" s="146">
        <f t="shared" ref="H123" si="53">MAX(-H118-H122,0)</f>
        <v>0</v>
      </c>
      <c r="I123" s="146">
        <f t="shared" ref="I123" si="54">MAX(-I118-I122,0)</f>
        <v>0</v>
      </c>
      <c r="J123" s="146">
        <f t="shared" ref="J123" si="55">MAX(-J118-J122,0)</f>
        <v>0</v>
      </c>
      <c r="K123" s="146">
        <f t="shared" ref="K123" si="56">MAX(-K118-K122,0)</f>
        <v>0</v>
      </c>
      <c r="L123" s="146">
        <f t="shared" ref="L123" si="57">MAX(-L118-L122,0)</f>
        <v>0</v>
      </c>
      <c r="M123" s="151">
        <f t="shared" ref="M123" si="58">MAX(-M118-M122,0)</f>
        <v>0</v>
      </c>
      <c r="O123" s="3" t="s">
        <v>373</v>
      </c>
      <c r="P123" s="524"/>
      <c r="Q123" s="8"/>
      <c r="R123" s="151">
        <f>R121*'Assumptions-Overall'!$O$23</f>
        <v>1375223.1692843991</v>
      </c>
    </row>
    <row r="124" spans="2:18" ht="13" thickBot="1" x14ac:dyDescent="0.8">
      <c r="B124" s="3" t="s">
        <v>350</v>
      </c>
      <c r="C124" s="158"/>
      <c r="D124" s="146">
        <f>+IF(SUM($C124:C124)&lt;$P88,MIN(D123,$P88-SUM($C124:C124)),0)</f>
        <v>0</v>
      </c>
      <c r="E124" s="146">
        <f>+IF(SUM($C124:D124)&lt;$P88,MIN(E123,$P88-SUM($C124:D124)),0)</f>
        <v>7339853.6232320033</v>
      </c>
      <c r="F124" s="146">
        <f>+IF(SUM($C124:E124)&lt;$P88,MIN(F123,$P88-SUM($C124:E124)),0)</f>
        <v>18313488.174648494</v>
      </c>
      <c r="G124" s="146">
        <f>+IF(SUM($C124:F124)&lt;$P88,MIN(G123,$P88-SUM($C124:F124)),0)</f>
        <v>0</v>
      </c>
      <c r="H124" s="146">
        <f>+IF(SUM($C124:G124)&lt;$P88,MIN(H123,$P88-SUM($C124:G124)),0)</f>
        <v>0</v>
      </c>
      <c r="I124" s="146">
        <f>+IF(SUM($C124:H124)&lt;$P88,MIN(I123,$P88-SUM($C124:H124)),0)</f>
        <v>0</v>
      </c>
      <c r="J124" s="146">
        <f>+IF(SUM($C124:I124)&lt;$P88,MIN(J123,$P88-SUM($C124:I124)),0)</f>
        <v>0</v>
      </c>
      <c r="K124" s="146">
        <f>+IF(SUM($C124:J124)&lt;$P88,MIN(K123,$P88-SUM($C124:J124)),0)</f>
        <v>0</v>
      </c>
      <c r="L124" s="146">
        <f>+IF(SUM($C124:K124)&lt;$P88,MIN(L123,$P88-SUM($C124:K124)),0)</f>
        <v>0</v>
      </c>
      <c r="M124" s="151">
        <f>+IF(SUM($C124:L124)&lt;$P88,MIN(M123,$P88-SUM($C124:L124)),0)</f>
        <v>0</v>
      </c>
      <c r="O124" s="5" t="s">
        <v>375</v>
      </c>
      <c r="P124" s="530"/>
      <c r="Q124" s="10"/>
      <c r="R124" s="190">
        <f>-PV('Assumptions-Overall'!$O$15/12,'Assumptions-Overall'!$O$27*12-(YEAR('Assumptions-Overall'!$C$30)-YEAR(PhaseIIRefi)+1),'CashFlow-Combined'!R122/12,0)</f>
        <v>136425499.02800441</v>
      </c>
    </row>
    <row r="125" spans="2:18" x14ac:dyDescent="0.65">
      <c r="B125" s="3" t="s">
        <v>351</v>
      </c>
      <c r="C125" s="158"/>
      <c r="D125" s="146">
        <f>+IF(SUM($C125:C125)&lt;$P89,MIN(D123-D124,$P89-SUM($C125:C125)),0)</f>
        <v>0</v>
      </c>
      <c r="E125" s="146">
        <f>+IF(SUM($C125:D125)&lt;$P89,MIN(E123-E124,$P89-SUM($C125:D125)),0)</f>
        <v>0</v>
      </c>
      <c r="F125" s="146">
        <f>+IF(SUM($C125:E125)&lt;$P89,MIN(F123-F124,$P89-SUM($C125:E125)),0)</f>
        <v>34204455.730507351</v>
      </c>
      <c r="G125" s="146">
        <f>+IF(SUM($C125:F125)&lt;$P89,MIN(G123-G124,$P89-SUM($C125:F125)),0)</f>
        <v>0</v>
      </c>
      <c r="H125" s="146">
        <f>+IF(SUM($C125:G125)&lt;$P89,MIN(H123-H124,$P89-SUM($C125:G125)),0)</f>
        <v>0</v>
      </c>
      <c r="I125" s="146">
        <f>+IF(SUM($C125:H125)&lt;$P89,MIN(I123-I124,$P89-SUM($C125:H125)),0)</f>
        <v>0</v>
      </c>
      <c r="J125" s="146">
        <f>+IF(SUM($C125:I125)&lt;$P89,MIN(J123-J124,$P89-SUM($C125:I125)),0)</f>
        <v>0</v>
      </c>
      <c r="K125" s="146">
        <f>+IF(SUM($C125:J125)&lt;$P89,MIN(K123-K124,$P89-SUM($C125:J125)),0)</f>
        <v>0</v>
      </c>
      <c r="L125" s="146">
        <f>+IF(SUM($C125:K125)&lt;$P89,MIN(L123-L124,$P89-SUM($C125:K125)),0)</f>
        <v>0</v>
      </c>
      <c r="M125" s="151">
        <f>+IF(SUM($C125:L125)&lt;$P89,MIN(M123-M124,$P89-SUM($C125:L125)),0)</f>
        <v>0</v>
      </c>
    </row>
    <row r="126" spans="2:18" x14ac:dyDescent="0.65">
      <c r="B126" s="3" t="s">
        <v>352</v>
      </c>
      <c r="C126" s="158"/>
      <c r="D126" s="146">
        <f t="shared" ref="D126:M126" si="59">D123-D124-D125</f>
        <v>0</v>
      </c>
      <c r="E126" s="146">
        <f t="shared" si="59"/>
        <v>0</v>
      </c>
      <c r="F126" s="146">
        <f t="shared" si="59"/>
        <v>49639889.555219568</v>
      </c>
      <c r="G126" s="146">
        <f t="shared" si="59"/>
        <v>61524591.568929322</v>
      </c>
      <c r="H126" s="146">
        <f t="shared" si="59"/>
        <v>0</v>
      </c>
      <c r="I126" s="146">
        <f t="shared" si="59"/>
        <v>0</v>
      </c>
      <c r="J126" s="146">
        <f t="shared" si="59"/>
        <v>0</v>
      </c>
      <c r="K126" s="146">
        <f t="shared" si="59"/>
        <v>0</v>
      </c>
      <c r="L126" s="146">
        <f t="shared" si="59"/>
        <v>0</v>
      </c>
      <c r="M126" s="151">
        <f t="shared" si="59"/>
        <v>0</v>
      </c>
    </row>
    <row r="127" spans="2:18" x14ac:dyDescent="0.65">
      <c r="B127" s="3"/>
      <c r="C127" s="158"/>
      <c r="D127" s="146"/>
      <c r="E127" s="146"/>
      <c r="F127" s="146"/>
      <c r="G127" s="146"/>
      <c r="H127" s="146"/>
      <c r="I127" s="146"/>
      <c r="J127" s="146"/>
      <c r="K127" s="146"/>
      <c r="L127" s="146"/>
      <c r="M127" s="151"/>
    </row>
    <row r="128" spans="2:18" x14ac:dyDescent="0.65">
      <c r="B128" s="3" t="s">
        <v>367</v>
      </c>
      <c r="C128" s="158"/>
      <c r="D128" s="146">
        <f t="shared" ref="D128:M128" si="60">(D$8&gt;=YEAR(PhaseIIComplete))*SUM(D110:D111)</f>
        <v>0</v>
      </c>
      <c r="E128" s="146">
        <f t="shared" si="60"/>
        <v>0</v>
      </c>
      <c r="F128" s="146">
        <f t="shared" si="60"/>
        <v>0</v>
      </c>
      <c r="G128" s="146">
        <f t="shared" si="60"/>
        <v>66278791.822108939</v>
      </c>
      <c r="H128" s="146">
        <f t="shared" si="60"/>
        <v>8037372.1963429069</v>
      </c>
      <c r="I128" s="146">
        <f t="shared" si="60"/>
        <v>7522303.322871252</v>
      </c>
      <c r="J128" s="146">
        <f t="shared" si="60"/>
        <v>0</v>
      </c>
      <c r="K128" s="146">
        <f t="shared" si="60"/>
        <v>0</v>
      </c>
      <c r="L128" s="146">
        <f t="shared" si="60"/>
        <v>0</v>
      </c>
      <c r="M128" s="151">
        <f t="shared" si="60"/>
        <v>0</v>
      </c>
    </row>
    <row r="129" spans="2:13" x14ac:dyDescent="0.65">
      <c r="B129" s="3"/>
      <c r="C129" s="158"/>
      <c r="D129" s="146"/>
      <c r="E129" s="146"/>
      <c r="F129" s="146"/>
      <c r="G129" s="146"/>
      <c r="H129" s="146"/>
      <c r="I129" s="146"/>
      <c r="J129" s="146"/>
      <c r="K129" s="146"/>
      <c r="L129" s="146"/>
      <c r="M129" s="151"/>
    </row>
    <row r="130" spans="2:13" x14ac:dyDescent="0.65">
      <c r="B130" s="182" t="s">
        <v>67</v>
      </c>
      <c r="C130" s="158"/>
      <c r="D130" s="146"/>
      <c r="E130" s="146"/>
      <c r="F130" s="146"/>
      <c r="G130" s="146"/>
      <c r="H130" s="146"/>
      <c r="I130" s="146"/>
      <c r="J130" s="146"/>
      <c r="K130" s="146"/>
      <c r="L130" s="146"/>
      <c r="M130" s="151"/>
    </row>
    <row r="131" spans="2:13" x14ac:dyDescent="0.65">
      <c r="B131" s="3" t="s">
        <v>355</v>
      </c>
      <c r="C131" s="158"/>
      <c r="D131" s="146">
        <f>C136</f>
        <v>0</v>
      </c>
      <c r="E131" s="146">
        <f t="shared" ref="E131:M131" si="61">D136</f>
        <v>0</v>
      </c>
      <c r="F131" s="146">
        <f t="shared" si="61"/>
        <v>0</v>
      </c>
      <c r="G131" s="146">
        <f t="shared" si="61"/>
        <v>49639889.555219568</v>
      </c>
      <c r="H131" s="146">
        <f t="shared" si="61"/>
        <v>63020370.102820843</v>
      </c>
      <c r="I131" s="146">
        <f t="shared" si="61"/>
        <v>0</v>
      </c>
      <c r="J131" s="146">
        <f t="shared" si="61"/>
        <v>0</v>
      </c>
      <c r="K131" s="146">
        <f t="shared" si="61"/>
        <v>0</v>
      </c>
      <c r="L131" s="146">
        <f t="shared" si="61"/>
        <v>0</v>
      </c>
      <c r="M131" s="151">
        <f t="shared" si="61"/>
        <v>0</v>
      </c>
    </row>
    <row r="132" spans="2:13" x14ac:dyDescent="0.65">
      <c r="B132" s="3" t="s">
        <v>356</v>
      </c>
      <c r="C132" s="158"/>
      <c r="D132" s="146">
        <f>D131*(((1+'Assumptions-Overall'!$M$15/12)^12)-1)</f>
        <v>0</v>
      </c>
      <c r="E132" s="146">
        <f>E131*(((1+'Assumptions-Overall'!$M$15/12)^12)-1)</f>
        <v>0</v>
      </c>
      <c r="F132" s="146">
        <f>F131*(((1+'Assumptions-Overall'!$M$15/12)^12)-1)</f>
        <v>0</v>
      </c>
      <c r="G132" s="146">
        <f>G131*(((1+'Assumptions-Overall'!$M$15/12)^12)-1)</f>
        <v>2539670.960284669</v>
      </c>
      <c r="H132" s="146">
        <f>H131*(((1+'Assumptions-Overall'!$M$15/12)^12)-1)</f>
        <v>3224241.739669566</v>
      </c>
      <c r="I132" s="146">
        <f>I131*(((1+'Assumptions-Overall'!$M$15/12)^12)-1)</f>
        <v>0</v>
      </c>
      <c r="J132" s="146">
        <f>J131*(((1+'Assumptions-Overall'!$M$15/12)^12)-1)</f>
        <v>0</v>
      </c>
      <c r="K132" s="146">
        <f>K131*(((1+'Assumptions-Overall'!$M$15/12)^12)-1)</f>
        <v>0</v>
      </c>
      <c r="L132" s="146">
        <f>L131*(((1+'Assumptions-Overall'!$M$15/12)^12)-1)</f>
        <v>0</v>
      </c>
      <c r="M132" s="151">
        <f>M131*(((1+'Assumptions-Overall'!$M$15/12)^12)-1)</f>
        <v>0</v>
      </c>
    </row>
    <row r="133" spans="2:13" x14ac:dyDescent="0.65">
      <c r="B133" s="3" t="s">
        <v>357</v>
      </c>
      <c r="C133" s="158"/>
      <c r="D133" s="146">
        <f>D126</f>
        <v>0</v>
      </c>
      <c r="E133" s="146">
        <f t="shared" ref="E133:M133" si="62">E126</f>
        <v>0</v>
      </c>
      <c r="F133" s="146">
        <f t="shared" si="62"/>
        <v>49639889.555219568</v>
      </c>
      <c r="G133" s="146">
        <f t="shared" si="62"/>
        <v>61524591.568929322</v>
      </c>
      <c r="H133" s="146">
        <f t="shared" si="62"/>
        <v>0</v>
      </c>
      <c r="I133" s="146">
        <f t="shared" si="62"/>
        <v>0</v>
      </c>
      <c r="J133" s="146">
        <f t="shared" si="62"/>
        <v>0</v>
      </c>
      <c r="K133" s="146">
        <f t="shared" si="62"/>
        <v>0</v>
      </c>
      <c r="L133" s="146">
        <f t="shared" si="62"/>
        <v>0</v>
      </c>
      <c r="M133" s="151">
        <f t="shared" si="62"/>
        <v>0</v>
      </c>
    </row>
    <row r="134" spans="2:13" x14ac:dyDescent="0.65">
      <c r="B134" s="3" t="s">
        <v>368</v>
      </c>
      <c r="C134" s="158"/>
      <c r="D134" s="146">
        <f>-(D131&lt;&gt;0)*D128*$Q90/SUM($Q89:$Q90)</f>
        <v>0</v>
      </c>
      <c r="E134" s="146">
        <f t="shared" ref="E134:M134" si="63">-(E131&lt;&gt;0)*E128*$Q90/SUM($Q89:$Q90)</f>
        <v>0</v>
      </c>
      <c r="F134" s="146">
        <f t="shared" si="63"/>
        <v>0</v>
      </c>
      <c r="G134" s="146">
        <f t="shared" si="63"/>
        <v>-50683781.981612712</v>
      </c>
      <c r="H134" s="146">
        <f t="shared" si="63"/>
        <v>-6146225.7972033992</v>
      </c>
      <c r="I134" s="146">
        <f t="shared" si="63"/>
        <v>0</v>
      </c>
      <c r="J134" s="146">
        <f t="shared" si="63"/>
        <v>0</v>
      </c>
      <c r="K134" s="146">
        <f t="shared" si="63"/>
        <v>0</v>
      </c>
      <c r="L134" s="146">
        <f t="shared" si="63"/>
        <v>0</v>
      </c>
      <c r="M134" s="151">
        <f t="shared" si="63"/>
        <v>0</v>
      </c>
    </row>
    <row r="135" spans="2:13" x14ac:dyDescent="0.65">
      <c r="B135" s="3" t="s">
        <v>359</v>
      </c>
      <c r="C135" s="158"/>
      <c r="D135" s="146">
        <f t="shared" ref="D135:M135" si="64">-(D$8=YEAR(PhaseIIRefi-1))*SUM(D131:D134)</f>
        <v>0</v>
      </c>
      <c r="E135" s="146">
        <f t="shared" si="64"/>
        <v>0</v>
      </c>
      <c r="F135" s="146">
        <f t="shared" si="64"/>
        <v>0</v>
      </c>
      <c r="G135" s="146">
        <f t="shared" si="64"/>
        <v>0</v>
      </c>
      <c r="H135" s="146">
        <f t="shared" si="64"/>
        <v>-60098386.045287013</v>
      </c>
      <c r="I135" s="146">
        <f t="shared" si="64"/>
        <v>0</v>
      </c>
      <c r="J135" s="146">
        <f t="shared" si="64"/>
        <v>0</v>
      </c>
      <c r="K135" s="146">
        <f t="shared" si="64"/>
        <v>0</v>
      </c>
      <c r="L135" s="146">
        <f t="shared" si="64"/>
        <v>0</v>
      </c>
      <c r="M135" s="151">
        <f t="shared" si="64"/>
        <v>0</v>
      </c>
    </row>
    <row r="136" spans="2:13" x14ac:dyDescent="0.65">
      <c r="B136" s="3" t="s">
        <v>358</v>
      </c>
      <c r="C136" s="158"/>
      <c r="D136" s="146">
        <f>SUM(D131:D135)</f>
        <v>0</v>
      </c>
      <c r="E136" s="146">
        <f t="shared" ref="E136" si="65">SUM(E131:E135)</f>
        <v>0</v>
      </c>
      <c r="F136" s="146">
        <f t="shared" ref="F136" si="66">SUM(F131:F135)</f>
        <v>49639889.555219568</v>
      </c>
      <c r="G136" s="146">
        <f t="shared" ref="G136" si="67">SUM(G131:G135)</f>
        <v>63020370.102820843</v>
      </c>
      <c r="H136" s="146">
        <f t="shared" ref="H136" si="68">SUM(H131:H135)</f>
        <v>0</v>
      </c>
      <c r="I136" s="146">
        <f t="shared" ref="I136" si="69">SUM(I131:I135)</f>
        <v>0</v>
      </c>
      <c r="J136" s="146">
        <f t="shared" ref="J136" si="70">SUM(J131:J135)</f>
        <v>0</v>
      </c>
      <c r="K136" s="146">
        <f t="shared" ref="K136" si="71">SUM(K131:K135)</f>
        <v>0</v>
      </c>
      <c r="L136" s="146">
        <f t="shared" ref="L136" si="72">SUM(L131:L135)</f>
        <v>0</v>
      </c>
      <c r="M136" s="151">
        <f t="shared" ref="M136" si="73">SUM(M131:M135)</f>
        <v>0</v>
      </c>
    </row>
    <row r="137" spans="2:13" x14ac:dyDescent="0.65">
      <c r="B137" s="3"/>
      <c r="C137" s="158"/>
      <c r="D137" s="146"/>
      <c r="E137" s="146"/>
      <c r="F137" s="146"/>
      <c r="G137" s="146"/>
      <c r="H137" s="146"/>
      <c r="I137" s="146"/>
      <c r="J137" s="146"/>
      <c r="K137" s="146"/>
      <c r="L137" s="146"/>
      <c r="M137" s="151"/>
    </row>
    <row r="138" spans="2:13" x14ac:dyDescent="0.65">
      <c r="B138" s="182" t="s">
        <v>68</v>
      </c>
      <c r="C138" s="158"/>
      <c r="D138" s="146"/>
      <c r="E138" s="146"/>
      <c r="F138" s="146"/>
      <c r="G138" s="146"/>
      <c r="H138" s="146"/>
      <c r="I138" s="146"/>
      <c r="J138" s="146"/>
      <c r="K138" s="146"/>
      <c r="L138" s="146"/>
      <c r="M138" s="151"/>
    </row>
    <row r="139" spans="2:13" x14ac:dyDescent="0.65">
      <c r="B139" s="3" t="s">
        <v>355</v>
      </c>
      <c r="C139" s="158"/>
      <c r="D139" s="146">
        <f>C144</f>
        <v>0</v>
      </c>
      <c r="E139" s="146">
        <f t="shared" ref="E139:M139" si="74">D144</f>
        <v>0</v>
      </c>
      <c r="F139" s="146">
        <f t="shared" si="74"/>
        <v>0</v>
      </c>
      <c r="G139" s="146">
        <f t="shared" si="74"/>
        <v>34204455.730507351</v>
      </c>
      <c r="H139" s="146">
        <f t="shared" si="74"/>
        <v>22947427.018680356</v>
      </c>
      <c r="I139" s="146">
        <f t="shared" si="74"/>
        <v>0</v>
      </c>
      <c r="J139" s="146">
        <f t="shared" si="74"/>
        <v>0</v>
      </c>
      <c r="K139" s="146">
        <f t="shared" si="74"/>
        <v>0</v>
      </c>
      <c r="L139" s="146">
        <f t="shared" si="74"/>
        <v>0</v>
      </c>
      <c r="M139" s="151">
        <f t="shared" si="74"/>
        <v>0</v>
      </c>
    </row>
    <row r="140" spans="2:13" x14ac:dyDescent="0.65">
      <c r="B140" s="3" t="s">
        <v>356</v>
      </c>
      <c r="C140" s="158"/>
      <c r="D140" s="146">
        <f>D139*(((1+'Assumptions-Overall'!$M$16/12)^12)-1)</f>
        <v>0</v>
      </c>
      <c r="E140" s="146">
        <f>E139*(((1+'Assumptions-Overall'!$M$16/12)^12)-1)</f>
        <v>0</v>
      </c>
      <c r="F140" s="146">
        <f>F139*(((1+'Assumptions-Overall'!$M$16/12)^12)-1)</f>
        <v>0</v>
      </c>
      <c r="G140" s="146">
        <f>G139*(((1+'Assumptions-Overall'!$M$16/12)^12)-1)</f>
        <v>4337981.128669221</v>
      </c>
      <c r="H140" s="146">
        <f>H139*(((1+'Assumptions-Overall'!$M$16/12)^12)-1)</f>
        <v>2910308.1230953136</v>
      </c>
      <c r="I140" s="146">
        <f>I139*(((1+'Assumptions-Overall'!$M$16/12)^12)-1)</f>
        <v>0</v>
      </c>
      <c r="J140" s="146">
        <f>J139*(((1+'Assumptions-Overall'!$M$16/12)^12)-1)</f>
        <v>0</v>
      </c>
      <c r="K140" s="146">
        <f>K139*(((1+'Assumptions-Overall'!$M$16/12)^12)-1)</f>
        <v>0</v>
      </c>
      <c r="L140" s="146">
        <f>L139*(((1+'Assumptions-Overall'!$M$16/12)^12)-1)</f>
        <v>0</v>
      </c>
      <c r="M140" s="151">
        <f>M139*(((1+'Assumptions-Overall'!$M$16/12)^12)-1)</f>
        <v>0</v>
      </c>
    </row>
    <row r="141" spans="2:13" x14ac:dyDescent="0.65">
      <c r="B141" s="3" t="s">
        <v>357</v>
      </c>
      <c r="C141" s="158"/>
      <c r="D141" s="146">
        <f>D125</f>
        <v>0</v>
      </c>
      <c r="E141" s="146">
        <f t="shared" ref="E141:M141" si="75">E125</f>
        <v>0</v>
      </c>
      <c r="F141" s="146">
        <f t="shared" si="75"/>
        <v>34204455.730507351</v>
      </c>
      <c r="G141" s="146">
        <f t="shared" si="75"/>
        <v>0</v>
      </c>
      <c r="H141" s="146">
        <f t="shared" si="75"/>
        <v>0</v>
      </c>
      <c r="I141" s="146">
        <f t="shared" si="75"/>
        <v>0</v>
      </c>
      <c r="J141" s="146">
        <f t="shared" si="75"/>
        <v>0</v>
      </c>
      <c r="K141" s="146">
        <f t="shared" si="75"/>
        <v>0</v>
      </c>
      <c r="L141" s="146">
        <f t="shared" si="75"/>
        <v>0</v>
      </c>
      <c r="M141" s="151">
        <f t="shared" si="75"/>
        <v>0</v>
      </c>
    </row>
    <row r="142" spans="2:13" x14ac:dyDescent="0.65">
      <c r="B142" s="3" t="s">
        <v>368</v>
      </c>
      <c r="C142" s="158"/>
      <c r="D142" s="146">
        <f>-(D139&lt;&gt;0)*D128*$Q89/SUM($Q89:$Q90)</f>
        <v>0</v>
      </c>
      <c r="E142" s="146">
        <f t="shared" ref="E142:M142" si="76">-(E139&lt;&gt;0)*E128*$Q89/SUM($Q89:$Q90)</f>
        <v>0</v>
      </c>
      <c r="F142" s="146">
        <f t="shared" si="76"/>
        <v>0</v>
      </c>
      <c r="G142" s="146">
        <f t="shared" si="76"/>
        <v>-15595009.84049622</v>
      </c>
      <c r="H142" s="146">
        <f t="shared" si="76"/>
        <v>-1891146.3991395074</v>
      </c>
      <c r="I142" s="180">
        <f t="shared" si="76"/>
        <v>0</v>
      </c>
      <c r="J142" s="146">
        <f t="shared" si="76"/>
        <v>0</v>
      </c>
      <c r="K142" s="146">
        <f t="shared" si="76"/>
        <v>0</v>
      </c>
      <c r="L142" s="146">
        <f t="shared" si="76"/>
        <v>0</v>
      </c>
      <c r="M142" s="151">
        <f t="shared" si="76"/>
        <v>0</v>
      </c>
    </row>
    <row r="143" spans="2:13" x14ac:dyDescent="0.65">
      <c r="B143" s="3" t="s">
        <v>359</v>
      </c>
      <c r="C143" s="158"/>
      <c r="D143" s="146">
        <f t="shared" ref="D143:M143" si="77">-(D$8=YEAR(PhaseIIRefi-1))*SUM(D139:D142)</f>
        <v>0</v>
      </c>
      <c r="E143" s="146">
        <f t="shared" si="77"/>
        <v>0</v>
      </c>
      <c r="F143" s="146">
        <f t="shared" si="77"/>
        <v>0</v>
      </c>
      <c r="G143" s="146">
        <f t="shared" si="77"/>
        <v>0</v>
      </c>
      <c r="H143" s="146">
        <f t="shared" si="77"/>
        <v>-23966588.742636163</v>
      </c>
      <c r="I143" s="146">
        <f t="shared" si="77"/>
        <v>0</v>
      </c>
      <c r="J143" s="146">
        <f t="shared" si="77"/>
        <v>0</v>
      </c>
      <c r="K143" s="146">
        <f t="shared" si="77"/>
        <v>0</v>
      </c>
      <c r="L143" s="146">
        <f t="shared" si="77"/>
        <v>0</v>
      </c>
      <c r="M143" s="151">
        <f t="shared" si="77"/>
        <v>0</v>
      </c>
    </row>
    <row r="144" spans="2:13" x14ac:dyDescent="0.65">
      <c r="B144" s="3" t="s">
        <v>358</v>
      </c>
      <c r="C144" s="158"/>
      <c r="D144" s="146">
        <f>SUM(D139:D143)</f>
        <v>0</v>
      </c>
      <c r="E144" s="146">
        <f t="shared" ref="E144" si="78">SUM(E139:E143)</f>
        <v>0</v>
      </c>
      <c r="F144" s="146">
        <f t="shared" ref="F144" si="79">SUM(F139:F143)</f>
        <v>34204455.730507351</v>
      </c>
      <c r="G144" s="146">
        <f t="shared" ref="G144" si="80">SUM(G139:G143)</f>
        <v>22947427.018680356</v>
      </c>
      <c r="H144" s="146">
        <f t="shared" ref="H144" si="81">SUM(H139:H143)</f>
        <v>0</v>
      </c>
      <c r="I144" s="146">
        <f t="shared" ref="I144" si="82">SUM(I139:I143)</f>
        <v>0</v>
      </c>
      <c r="J144" s="146">
        <f t="shared" ref="J144" si="83">SUM(J139:J143)</f>
        <v>0</v>
      </c>
      <c r="K144" s="146">
        <f t="shared" ref="K144" si="84">SUM(K139:K143)</f>
        <v>0</v>
      </c>
      <c r="L144" s="146">
        <f t="shared" ref="L144" si="85">SUM(L139:L143)</f>
        <v>0</v>
      </c>
      <c r="M144" s="151">
        <f t="shared" ref="M144" si="86">SUM(M139:M143)</f>
        <v>0</v>
      </c>
    </row>
    <row r="145" spans="2:18" x14ac:dyDescent="0.65">
      <c r="B145" s="3"/>
      <c r="C145" s="158"/>
      <c r="D145" s="146"/>
      <c r="E145" s="146"/>
      <c r="F145" s="146"/>
      <c r="G145" s="146"/>
      <c r="H145" s="146"/>
      <c r="I145" s="146"/>
      <c r="J145" s="146"/>
      <c r="K145" s="146"/>
      <c r="L145" s="146"/>
      <c r="M145" s="151"/>
    </row>
    <row r="146" spans="2:18" x14ac:dyDescent="0.65">
      <c r="B146" s="36" t="s">
        <v>70</v>
      </c>
      <c r="C146" s="158"/>
      <c r="D146" s="146"/>
      <c r="E146" s="146"/>
      <c r="F146" s="146"/>
      <c r="G146" s="146"/>
      <c r="H146" s="146"/>
      <c r="I146" s="146"/>
      <c r="J146" s="146"/>
      <c r="K146" s="146"/>
      <c r="L146" s="146"/>
      <c r="M146" s="151"/>
    </row>
    <row r="147" spans="2:18" x14ac:dyDescent="0.65">
      <c r="B147" s="3"/>
      <c r="C147" s="158"/>
      <c r="D147" s="146"/>
      <c r="E147" s="146"/>
      <c r="F147" s="146"/>
      <c r="G147" s="146"/>
      <c r="H147" s="146"/>
      <c r="I147" s="146"/>
      <c r="J147" s="146"/>
      <c r="K147" s="146"/>
      <c r="L147" s="146"/>
      <c r="M147" s="151"/>
    </row>
    <row r="148" spans="2:18" x14ac:dyDescent="0.65">
      <c r="B148" s="182" t="s">
        <v>67</v>
      </c>
      <c r="C148" s="158"/>
      <c r="D148" s="146"/>
      <c r="E148" s="146"/>
      <c r="F148" s="146"/>
      <c r="G148" s="146"/>
      <c r="H148" s="146"/>
      <c r="I148" s="146"/>
      <c r="J148" s="146"/>
      <c r="K148" s="146"/>
      <c r="L148" s="146"/>
      <c r="M148" s="151"/>
    </row>
    <row r="149" spans="2:18" x14ac:dyDescent="0.65">
      <c r="B149" s="3" t="s">
        <v>373</v>
      </c>
      <c r="C149" s="158"/>
      <c r="D149" s="146">
        <f t="shared" ref="D149:M149" si="87">-(D$8=YEAR(PhaseIIRefi-1))*$R123</f>
        <v>0</v>
      </c>
      <c r="E149" s="146">
        <f t="shared" si="87"/>
        <v>0</v>
      </c>
      <c r="F149" s="146">
        <f t="shared" si="87"/>
        <v>0</v>
      </c>
      <c r="G149" s="146">
        <f t="shared" si="87"/>
        <v>0</v>
      </c>
      <c r="H149" s="146">
        <f t="shared" si="87"/>
        <v>-1375223.1692843991</v>
      </c>
      <c r="I149" s="146">
        <f t="shared" si="87"/>
        <v>0</v>
      </c>
      <c r="J149" s="146">
        <f t="shared" si="87"/>
        <v>0</v>
      </c>
      <c r="K149" s="146">
        <f t="shared" si="87"/>
        <v>0</v>
      </c>
      <c r="L149" s="146">
        <f t="shared" si="87"/>
        <v>0</v>
      </c>
      <c r="M149" s="151">
        <f t="shared" si="87"/>
        <v>0</v>
      </c>
    </row>
    <row r="150" spans="2:18" x14ac:dyDescent="0.65">
      <c r="B150" s="3" t="s">
        <v>377</v>
      </c>
      <c r="C150" s="158"/>
      <c r="D150" s="146">
        <f t="shared" ref="D150:M150" si="88">(D$8=YEAR(PhaseIIRefi-1))*$R121</f>
        <v>0</v>
      </c>
      <c r="E150" s="146">
        <f t="shared" si="88"/>
        <v>0</v>
      </c>
      <c r="F150" s="146">
        <f t="shared" si="88"/>
        <v>0</v>
      </c>
      <c r="G150" s="146">
        <f t="shared" si="88"/>
        <v>0</v>
      </c>
      <c r="H150" s="146">
        <f t="shared" si="88"/>
        <v>137522316.92843992</v>
      </c>
      <c r="I150" s="146">
        <f t="shared" si="88"/>
        <v>0</v>
      </c>
      <c r="J150" s="146">
        <f t="shared" si="88"/>
        <v>0</v>
      </c>
      <c r="K150" s="146">
        <f t="shared" si="88"/>
        <v>0</v>
      </c>
      <c r="L150" s="146">
        <f t="shared" si="88"/>
        <v>0</v>
      </c>
      <c r="M150" s="151">
        <f t="shared" si="88"/>
        <v>0</v>
      </c>
    </row>
    <row r="151" spans="2:18" x14ac:dyDescent="0.65">
      <c r="B151" s="3" t="s">
        <v>374</v>
      </c>
      <c r="C151" s="158"/>
      <c r="D151" s="146">
        <f t="shared" ref="D151:M151" si="89">(D$8&gt;=YEAR(PhaseIIRefi))*$R122</f>
        <v>0</v>
      </c>
      <c r="E151" s="146">
        <f t="shared" si="89"/>
        <v>0</v>
      </c>
      <c r="F151" s="146">
        <f t="shared" si="89"/>
        <v>0</v>
      </c>
      <c r="G151" s="146">
        <f t="shared" si="89"/>
        <v>0</v>
      </c>
      <c r="H151" s="146">
        <f t="shared" si="89"/>
        <v>8361664.531303145</v>
      </c>
      <c r="I151" s="146">
        <f t="shared" si="89"/>
        <v>8361664.531303145</v>
      </c>
      <c r="J151" s="146">
        <f t="shared" si="89"/>
        <v>8361664.531303145</v>
      </c>
      <c r="K151" s="146">
        <f t="shared" si="89"/>
        <v>8361664.531303145</v>
      </c>
      <c r="L151" s="146">
        <f t="shared" si="89"/>
        <v>8361664.531303145</v>
      </c>
      <c r="M151" s="151">
        <f t="shared" si="89"/>
        <v>8361664.531303145</v>
      </c>
    </row>
    <row r="152" spans="2:18" x14ac:dyDescent="0.65">
      <c r="B152" s="3" t="s">
        <v>376</v>
      </c>
      <c r="C152" s="158"/>
      <c r="D152" s="146">
        <f>-(D$8=YEAR('Assumptions-Overall'!$C$30))*$R124</f>
        <v>0</v>
      </c>
      <c r="E152" s="146">
        <f>-(E$8=YEAR('Assumptions-Overall'!$C$30))*$R124</f>
        <v>0</v>
      </c>
      <c r="F152" s="146">
        <f>-(F$8=YEAR('Assumptions-Overall'!$C$30))*$R124</f>
        <v>0</v>
      </c>
      <c r="G152" s="146">
        <f>-(G$8=YEAR('Assumptions-Overall'!$C$30))*$R124</f>
        <v>0</v>
      </c>
      <c r="H152" s="146">
        <f>-(H$8=YEAR('Assumptions-Overall'!$C$30))*$R124</f>
        <v>0</v>
      </c>
      <c r="I152" s="146">
        <f>-(I$8=YEAR('Assumptions-Overall'!$C$30))*$R124</f>
        <v>0</v>
      </c>
      <c r="J152" s="146">
        <f>-(J$8=YEAR('Assumptions-Overall'!$C$30))*$R124</f>
        <v>0</v>
      </c>
      <c r="K152" s="146">
        <f>-(K$8=YEAR('Assumptions-Overall'!$C$30))*$R124</f>
        <v>0</v>
      </c>
      <c r="L152" s="146">
        <f>-(L$8=YEAR('Assumptions-Overall'!$C$30))*$R124</f>
        <v>0</v>
      </c>
      <c r="M152" s="151">
        <f>-(M$8=YEAR('Assumptions-Overall'!$C$30))*$R124</f>
        <v>-136425499.02800441</v>
      </c>
    </row>
    <row r="153" spans="2:18" x14ac:dyDescent="0.65">
      <c r="B153" s="3"/>
      <c r="C153" s="158"/>
      <c r="D153" s="146"/>
      <c r="E153" s="146"/>
      <c r="F153" s="146"/>
      <c r="G153" s="146"/>
      <c r="H153" s="146"/>
      <c r="I153" s="146"/>
      <c r="J153" s="146"/>
      <c r="K153" s="146"/>
      <c r="L153" s="146"/>
      <c r="M153" s="151"/>
    </row>
    <row r="154" spans="2:18" ht="13" thickBot="1" x14ac:dyDescent="0.8">
      <c r="B154" s="3" t="s">
        <v>378</v>
      </c>
      <c r="C154" s="158"/>
      <c r="D154" s="146">
        <f>D118+D122+D133+D134+D135+D141+D142+D143+D149+D150+D151+D152</f>
        <v>0</v>
      </c>
      <c r="E154" s="146">
        <f t="shared" ref="E154:M154" si="90">E118+E122+E133+E134+E135+E141+E142+E143+E149+E150+E151+E152</f>
        <v>-7339853.6232320033</v>
      </c>
      <c r="F154" s="146">
        <f t="shared" si="90"/>
        <v>-18313488.174648494</v>
      </c>
      <c r="G154" s="146">
        <f t="shared" si="90"/>
        <v>-66278791.822108932</v>
      </c>
      <c r="H154" s="146">
        <f t="shared" si="90"/>
        <v>78667717.688801676</v>
      </c>
      <c r="I154" s="146">
        <f t="shared" si="90"/>
        <v>34654620.06602858</v>
      </c>
      <c r="J154" s="146">
        <f t="shared" si="90"/>
        <v>27695436.309512962</v>
      </c>
      <c r="K154" s="146">
        <f t="shared" si="90"/>
        <v>28275449.462859254</v>
      </c>
      <c r="L154" s="146">
        <f t="shared" si="90"/>
        <v>28872863.010805935</v>
      </c>
      <c r="M154" s="151">
        <f t="shared" si="90"/>
        <v>145298780.66596705</v>
      </c>
    </row>
    <row r="155" spans="2:18" ht="13" thickBot="1" x14ac:dyDescent="0.8">
      <c r="B155" s="143" t="s">
        <v>380</v>
      </c>
      <c r="C155" s="181">
        <f>IFERROR(IRR(D154:M154),"n/a")</f>
        <v>0.44127528315484521</v>
      </c>
      <c r="D155" s="146"/>
      <c r="E155" s="146"/>
      <c r="F155" s="146"/>
      <c r="G155" s="146"/>
      <c r="H155" s="146"/>
      <c r="I155" s="146"/>
      <c r="J155" s="146"/>
      <c r="K155" s="146"/>
      <c r="L155" s="146"/>
      <c r="M155" s="151"/>
    </row>
    <row r="156" spans="2:18" ht="13" thickBot="1" x14ac:dyDescent="0.8">
      <c r="B156" s="143" t="s">
        <v>379</v>
      </c>
      <c r="C156" s="193">
        <f>-SUMIF(D154:M154,"&gt;"&amp;0)/SUMIF(D154:M154,"&lt;"&amp;0)</f>
        <v>3.7360697906101197</v>
      </c>
      <c r="D156" s="178"/>
      <c r="E156" s="178"/>
      <c r="F156" s="178"/>
      <c r="G156" s="178"/>
      <c r="H156" s="178"/>
      <c r="I156" s="178"/>
      <c r="J156" s="178"/>
      <c r="K156" s="178"/>
      <c r="L156" s="178"/>
      <c r="M156" s="167"/>
    </row>
    <row r="157" spans="2:18" ht="13" thickBot="1" x14ac:dyDescent="0.8">
      <c r="B157" s="154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6"/>
    </row>
    <row r="158" spans="2:18" ht="14.25" x14ac:dyDescent="0.9">
      <c r="B158" s="147" t="s">
        <v>198</v>
      </c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9"/>
      <c r="O158" s="961" t="s">
        <v>389</v>
      </c>
      <c r="P158" s="962"/>
      <c r="Q158" s="962"/>
      <c r="R158" s="963"/>
    </row>
    <row r="159" spans="2:18" x14ac:dyDescent="0.65">
      <c r="B159" s="3"/>
      <c r="C159" s="8"/>
      <c r="D159" s="148"/>
      <c r="E159" s="148"/>
      <c r="F159" s="148"/>
      <c r="G159" s="148"/>
      <c r="H159" s="148"/>
      <c r="I159" s="148"/>
      <c r="J159" s="148"/>
      <c r="K159" s="148"/>
      <c r="L159" s="148"/>
      <c r="M159" s="149"/>
      <c r="O159" s="147" t="s">
        <v>383</v>
      </c>
      <c r="P159" s="524"/>
      <c r="Q159" s="174"/>
      <c r="R159" s="9"/>
    </row>
    <row r="160" spans="2:18" x14ac:dyDescent="0.65">
      <c r="B160" s="36" t="s">
        <v>272</v>
      </c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9"/>
      <c r="O160" s="3"/>
      <c r="P160" s="524"/>
      <c r="Q160" s="8"/>
      <c r="R160" s="149"/>
    </row>
    <row r="161" spans="2:18" x14ac:dyDescent="0.65">
      <c r="B161" s="3" t="s">
        <v>273</v>
      </c>
      <c r="C161" s="8"/>
      <c r="D161" s="146">
        <f>'CashFlow-ResRental'!D158</f>
        <v>0</v>
      </c>
      <c r="E161" s="146">
        <f>'CashFlow-ResRental'!E158</f>
        <v>0</v>
      </c>
      <c r="F161" s="146">
        <f>'CashFlow-ResRental'!F158</f>
        <v>0</v>
      </c>
      <c r="G161" s="146">
        <f>'CashFlow-ResRental'!G158</f>
        <v>0</v>
      </c>
      <c r="H161" s="146">
        <f>'CashFlow-ResRental'!H158</f>
        <v>0</v>
      </c>
      <c r="I161" s="146">
        <f>'CashFlow-ResRental'!I158</f>
        <v>0</v>
      </c>
      <c r="J161" s="146">
        <f>'CashFlow-ResRental'!J158</f>
        <v>0</v>
      </c>
      <c r="K161" s="146">
        <f>'CashFlow-ResRental'!K158</f>
        <v>0</v>
      </c>
      <c r="L161" s="146">
        <f>'CashFlow-ResRental'!L158</f>
        <v>0</v>
      </c>
      <c r="M161" s="151">
        <f>'CashFlow-ResRental'!M158</f>
        <v>1952370.1876540272</v>
      </c>
      <c r="O161" s="36" t="s">
        <v>339</v>
      </c>
      <c r="P161" s="529" t="s">
        <v>315</v>
      </c>
      <c r="Q161" s="175" t="s">
        <v>65</v>
      </c>
      <c r="R161" s="109" t="s">
        <v>344</v>
      </c>
    </row>
    <row r="162" spans="2:18" x14ac:dyDescent="0.65">
      <c r="B162" s="56" t="s">
        <v>47</v>
      </c>
      <c r="C162" s="8"/>
      <c r="D162" s="146">
        <f>'CashFlow-Retail'!D197</f>
        <v>0</v>
      </c>
      <c r="E162" s="146">
        <f>'CashFlow-Retail'!E197</f>
        <v>0</v>
      </c>
      <c r="F162" s="146">
        <f>'CashFlow-Retail'!F197</f>
        <v>0</v>
      </c>
      <c r="G162" s="146">
        <f>'CashFlow-Retail'!G197</f>
        <v>0</v>
      </c>
      <c r="H162" s="146">
        <f>'CashFlow-Retail'!H197</f>
        <v>0</v>
      </c>
      <c r="I162" s="146">
        <f>'CashFlow-Retail'!I197</f>
        <v>0</v>
      </c>
      <c r="J162" s="146">
        <f>'CashFlow-Retail'!J197</f>
        <v>0</v>
      </c>
      <c r="K162" s="146">
        <f>'CashFlow-Retail'!K197</f>
        <v>0</v>
      </c>
      <c r="L162" s="146">
        <f>'CashFlow-Retail'!L197</f>
        <v>0</v>
      </c>
      <c r="M162" s="151">
        <f>'CashFlow-Retail'!M197</f>
        <v>8313239.8225660687</v>
      </c>
      <c r="O162" s="3" t="s">
        <v>66</v>
      </c>
      <c r="P162" s="524">
        <f>SUM($D$197:$M$197)*Q162</f>
        <v>43017442.780480072</v>
      </c>
      <c r="Q162" s="176">
        <f>'Assumptions-Overall'!$M$11</f>
        <v>0.14999999999999991</v>
      </c>
      <c r="R162" s="163">
        <f>P162/$P$18</f>
        <v>9.6628442251503868E-2</v>
      </c>
    </row>
    <row r="163" spans="2:18" x14ac:dyDescent="0.65">
      <c r="B163" s="56" t="s">
        <v>30</v>
      </c>
      <c r="C163" s="8"/>
      <c r="D163" s="146">
        <f>'CashFlow-Office'!D142</f>
        <v>0</v>
      </c>
      <c r="E163" s="146">
        <f>'CashFlow-Office'!E142</f>
        <v>0</v>
      </c>
      <c r="F163" s="146">
        <f>'CashFlow-Office'!F142</f>
        <v>0</v>
      </c>
      <c r="G163" s="146">
        <f>'CashFlow-Office'!G142</f>
        <v>0</v>
      </c>
      <c r="H163" s="146">
        <f>'CashFlow-Office'!H142</f>
        <v>0</v>
      </c>
      <c r="I163" s="146">
        <f>'CashFlow-Office'!I142</f>
        <v>0</v>
      </c>
      <c r="J163" s="146">
        <f>'CashFlow-Office'!J142</f>
        <v>0</v>
      </c>
      <c r="K163" s="146">
        <f>'CashFlow-Office'!K142</f>
        <v>0</v>
      </c>
      <c r="L163" s="146">
        <f>'CashFlow-Office'!L142</f>
        <v>0</v>
      </c>
      <c r="M163" s="151">
        <f>'CashFlow-Office'!M142</f>
        <v>2062846.4036340355</v>
      </c>
      <c r="O163" s="56" t="s">
        <v>341</v>
      </c>
      <c r="P163" s="524">
        <f>SUM(D197:M197)*Q163</f>
        <v>57356590.373973466</v>
      </c>
      <c r="Q163" s="176">
        <f>'Assumptions-Overall'!$M$10</f>
        <v>0.2</v>
      </c>
      <c r="R163" s="163">
        <f>P163/$P$18</f>
        <v>0.12883792300200522</v>
      </c>
    </row>
    <row r="164" spans="2:18" x14ac:dyDescent="0.65">
      <c r="B164" s="3" t="s">
        <v>49</v>
      </c>
      <c r="C164" s="8"/>
      <c r="D164" s="146">
        <f>'CashFlow-Hotel'!D188</f>
        <v>0</v>
      </c>
      <c r="E164" s="146">
        <f>'CashFlow-Hotel'!E188</f>
        <v>0</v>
      </c>
      <c r="F164" s="146">
        <f>'CashFlow-Hotel'!F188</f>
        <v>0</v>
      </c>
      <c r="G164" s="146">
        <f>'CashFlow-Hotel'!G188</f>
        <v>0</v>
      </c>
      <c r="H164" s="146">
        <f>'CashFlow-Hotel'!H188</f>
        <v>0</v>
      </c>
      <c r="I164" s="146">
        <f>'CashFlow-Hotel'!I188</f>
        <v>0</v>
      </c>
      <c r="J164" s="146">
        <f>'CashFlow-Hotel'!J188</f>
        <v>0</v>
      </c>
      <c r="K164" s="146">
        <f>'CashFlow-Hotel'!K188</f>
        <v>0</v>
      </c>
      <c r="L164" s="146">
        <f>'CashFlow-Hotel'!L188</f>
        <v>0</v>
      </c>
      <c r="M164" s="151">
        <f>'CashFlow-Hotel'!M188</f>
        <v>22719769.500273496</v>
      </c>
      <c r="O164" s="56" t="s">
        <v>342</v>
      </c>
      <c r="P164" s="524">
        <f>SUM(D197:M197)*Q164</f>
        <v>186408918.71541378</v>
      </c>
      <c r="Q164" s="176">
        <f>'Assumptions-Overall'!$M$9</f>
        <v>0.65</v>
      </c>
      <c r="R164" s="163">
        <f>P164/$P$18</f>
        <v>0.41872324975651704</v>
      </c>
    </row>
    <row r="165" spans="2:18" x14ac:dyDescent="0.65">
      <c r="B165" s="56" t="s">
        <v>274</v>
      </c>
      <c r="C165" s="8"/>
      <c r="D165" s="144">
        <f>'CashFlow-Parking'!D49</f>
        <v>0</v>
      </c>
      <c r="E165" s="144">
        <f>'CashFlow-Parking'!E49</f>
        <v>0</v>
      </c>
      <c r="F165" s="144">
        <f>'CashFlow-Parking'!F49</f>
        <v>0</v>
      </c>
      <c r="G165" s="144">
        <f>'CashFlow-Parking'!G49</f>
        <v>0</v>
      </c>
      <c r="H165" s="144">
        <f>'CashFlow-Parking'!H49</f>
        <v>0</v>
      </c>
      <c r="I165" s="144">
        <f>'CashFlow-Parking'!I49</f>
        <v>0</v>
      </c>
      <c r="J165" s="144">
        <f>'CashFlow-Parking'!J49</f>
        <v>0</v>
      </c>
      <c r="K165" s="144">
        <f>'CashFlow-Parking'!K49</f>
        <v>0</v>
      </c>
      <c r="L165" s="144">
        <f>'CashFlow-Parking'!L49</f>
        <v>0</v>
      </c>
      <c r="M165" s="152">
        <f>'CashFlow-Parking'!M49</f>
        <v>185075.99999999997</v>
      </c>
      <c r="O165" s="56" t="s">
        <v>354</v>
      </c>
      <c r="P165" s="528">
        <f>SUMIF(D$8:M$8,"&lt;"&amp;YEAR(PhaseIIIComplete),D184:M185)</f>
        <v>0</v>
      </c>
      <c r="Q165" s="176" t="s">
        <v>9</v>
      </c>
      <c r="R165" s="177">
        <f>P165/$P$18</f>
        <v>0</v>
      </c>
    </row>
    <row r="166" spans="2:18" x14ac:dyDescent="0.65">
      <c r="B166" s="3" t="s">
        <v>481</v>
      </c>
      <c r="C166" s="8"/>
      <c r="D166" s="146">
        <f>'CashFlow-Infrastructure'!D94</f>
        <v>0</v>
      </c>
      <c r="E166" s="146">
        <f>'CashFlow-Infrastructure'!E94</f>
        <v>0</v>
      </c>
      <c r="F166" s="146">
        <f>'CashFlow-Infrastructure'!F94</f>
        <v>0</v>
      </c>
      <c r="G166" s="146">
        <f>'CashFlow-Infrastructure'!G94</f>
        <v>0</v>
      </c>
      <c r="H166" s="146">
        <f>'CashFlow-Infrastructure'!H94</f>
        <v>0</v>
      </c>
      <c r="I166" s="146">
        <f>'CashFlow-Infrastructure'!I94</f>
        <v>0</v>
      </c>
      <c r="J166" s="146">
        <f>'CashFlow-Infrastructure'!J94</f>
        <v>0</v>
      </c>
      <c r="K166" s="146">
        <f>'CashFlow-Infrastructure'!K94</f>
        <v>0</v>
      </c>
      <c r="L166" s="146">
        <f>'CashFlow-Infrastructure'!L94</f>
        <v>0</v>
      </c>
      <c r="M166" s="151">
        <f>'CashFlow-Infrastructure'!M94</f>
        <v>1828190</v>
      </c>
      <c r="O166" s="3" t="s">
        <v>343</v>
      </c>
      <c r="P166" s="524">
        <f>SUM(P162:P165)</f>
        <v>286782951.86986732</v>
      </c>
      <c r="Q166" s="8"/>
      <c r="R166" s="163">
        <f>P166/$P$18</f>
        <v>0.64418961501002614</v>
      </c>
    </row>
    <row r="167" spans="2:18" x14ac:dyDescent="0.65">
      <c r="B167" s="487" t="s">
        <v>275</v>
      </c>
      <c r="C167" s="568"/>
      <c r="D167" s="465">
        <f t="shared" ref="D167:L167" si="91">SUM(D161:D166)</f>
        <v>0</v>
      </c>
      <c r="E167" s="465">
        <f t="shared" si="91"/>
        <v>0</v>
      </c>
      <c r="F167" s="465">
        <f t="shared" si="91"/>
        <v>0</v>
      </c>
      <c r="G167" s="465">
        <f t="shared" si="91"/>
        <v>0</v>
      </c>
      <c r="H167" s="465">
        <f t="shared" si="91"/>
        <v>0</v>
      </c>
      <c r="I167" s="465">
        <f t="shared" si="91"/>
        <v>0</v>
      </c>
      <c r="J167" s="465">
        <f t="shared" si="91"/>
        <v>0</v>
      </c>
      <c r="K167" s="465">
        <f t="shared" si="91"/>
        <v>0</v>
      </c>
      <c r="L167" s="465">
        <f t="shared" si="91"/>
        <v>0</v>
      </c>
      <c r="M167" s="466">
        <f>SUM(M161:M166)</f>
        <v>37061491.914127626</v>
      </c>
      <c r="O167" s="3"/>
      <c r="P167" s="524"/>
      <c r="Q167" s="8"/>
      <c r="R167" s="151"/>
    </row>
    <row r="168" spans="2:18" ht="17.25" customHeight="1" x14ac:dyDescent="0.65">
      <c r="B168" s="3" t="s">
        <v>280</v>
      </c>
      <c r="C168" s="8"/>
      <c r="D168" s="146">
        <f t="shared" ref="D168:M168" si="92">-(D$8=YEAR(PhaseIIIConEnd))*LandPhaseIII</f>
        <v>0</v>
      </c>
      <c r="E168" s="146">
        <f t="shared" si="92"/>
        <v>0</v>
      </c>
      <c r="F168" s="146">
        <f t="shared" si="92"/>
        <v>0</v>
      </c>
      <c r="G168" s="146">
        <f t="shared" si="92"/>
        <v>0</v>
      </c>
      <c r="H168" s="146">
        <f t="shared" si="92"/>
        <v>0</v>
      </c>
      <c r="I168" s="146">
        <f t="shared" si="92"/>
        <v>0</v>
      </c>
      <c r="J168" s="146">
        <f t="shared" si="92"/>
        <v>0</v>
      </c>
      <c r="K168" s="146">
        <f t="shared" si="92"/>
        <v>0</v>
      </c>
      <c r="L168" s="146">
        <f t="shared" si="92"/>
        <v>-23783400</v>
      </c>
      <c r="M168" s="151">
        <f t="shared" si="92"/>
        <v>0</v>
      </c>
      <c r="O168" s="36" t="s">
        <v>340</v>
      </c>
      <c r="P168" s="529" t="s">
        <v>315</v>
      </c>
      <c r="Q168" s="175"/>
      <c r="R168" s="109" t="s">
        <v>344</v>
      </c>
    </row>
    <row r="169" spans="2:18" x14ac:dyDescent="0.65">
      <c r="B169" s="3"/>
      <c r="C169" s="8"/>
      <c r="D169" s="146"/>
      <c r="E169" s="146"/>
      <c r="F169" s="146"/>
      <c r="G169" s="146"/>
      <c r="H169" s="146"/>
      <c r="I169" s="146"/>
      <c r="J169" s="146"/>
      <c r="K169" s="146"/>
      <c r="L169" s="146"/>
      <c r="M169" s="151"/>
      <c r="O169" s="3" t="s">
        <v>280</v>
      </c>
      <c r="P169" s="524">
        <f>-SUM(D168:M168)</f>
        <v>23783400</v>
      </c>
      <c r="Q169" s="8"/>
      <c r="R169" s="163">
        <f t="shared" ref="R169:R178" si="93">P169/$P$30</f>
        <v>5.2920659789066779E-2</v>
      </c>
    </row>
    <row r="170" spans="2:18" x14ac:dyDescent="0.65">
      <c r="B170" s="36" t="s">
        <v>130</v>
      </c>
      <c r="C170" s="8"/>
      <c r="D170" s="146"/>
      <c r="E170" s="146"/>
      <c r="F170" s="146"/>
      <c r="G170" s="146"/>
      <c r="H170" s="146"/>
      <c r="I170" s="146"/>
      <c r="J170" s="146"/>
      <c r="K170" s="146"/>
      <c r="L170" s="146"/>
      <c r="M170" s="151"/>
      <c r="O170" s="3" t="str">
        <f t="shared" ref="O170:O176" si="94">B171&amp;" Construction Costs"</f>
        <v>Residential Apartments Construction Costs</v>
      </c>
      <c r="P170" s="524">
        <f t="shared" ref="P170:P176" si="95">-SUM(D171:M171)</f>
        <v>34831532.028636515</v>
      </c>
      <c r="Q170" s="8"/>
      <c r="R170" s="163">
        <f t="shared" si="93"/>
        <v>7.7503958913336862E-2</v>
      </c>
    </row>
    <row r="171" spans="2:18" x14ac:dyDescent="0.65">
      <c r="B171" s="3" t="s">
        <v>273</v>
      </c>
      <c r="C171" s="8"/>
      <c r="D171" s="146">
        <f>'CashFlow-ResRental'!D165</f>
        <v>0</v>
      </c>
      <c r="E171" s="146">
        <f>'CashFlow-ResRental'!E165</f>
        <v>0</v>
      </c>
      <c r="F171" s="146">
        <f>'CashFlow-ResRental'!F165</f>
        <v>0</v>
      </c>
      <c r="G171" s="146">
        <f>'CashFlow-ResRental'!G165</f>
        <v>0</v>
      </c>
      <c r="H171" s="146">
        <f>'CashFlow-ResRental'!H165</f>
        <v>0</v>
      </c>
      <c r="I171" s="146">
        <f>'CashFlow-ResRental'!I165</f>
        <v>-1201087.3113322936</v>
      </c>
      <c r="J171" s="146">
        <f>'CashFlow-ResRental'!J165</f>
        <v>-1201087.3113322936</v>
      </c>
      <c r="K171" s="146">
        <f>'CashFlow-ResRental'!K165</f>
        <v>-15992802.968133941</v>
      </c>
      <c r="L171" s="146">
        <f>'CashFlow-ResRental'!L165</f>
        <v>-16436554.43783799</v>
      </c>
      <c r="M171" s="151">
        <f>'CashFlow-ResRental'!M165</f>
        <v>0</v>
      </c>
      <c r="O171" s="3" t="str">
        <f t="shared" si="94"/>
        <v>Residential Condos Construction Costs</v>
      </c>
      <c r="P171" s="524">
        <f t="shared" si="95"/>
        <v>18568099.5566618</v>
      </c>
      <c r="Q171" s="8"/>
      <c r="R171" s="163">
        <f t="shared" si="93"/>
        <v>4.1316047308947446E-2</v>
      </c>
    </row>
    <row r="172" spans="2:18" x14ac:dyDescent="0.65">
      <c r="B172" s="3" t="s">
        <v>276</v>
      </c>
      <c r="C172" s="8"/>
      <c r="D172" s="146">
        <f>'CashFlow-ResCondo'!D99</f>
        <v>0</v>
      </c>
      <c r="E172" s="146">
        <f>'CashFlow-ResCondo'!E99</f>
        <v>0</v>
      </c>
      <c r="F172" s="146">
        <f>'CashFlow-ResCondo'!F99</f>
        <v>0</v>
      </c>
      <c r="G172" s="146">
        <f>'CashFlow-ResCondo'!G99</f>
        <v>0</v>
      </c>
      <c r="H172" s="146">
        <f>'CashFlow-ResCondo'!H99</f>
        <v>0</v>
      </c>
      <c r="I172" s="146">
        <f>'CashFlow-ResCondo'!I99</f>
        <v>-640279.29505730327</v>
      </c>
      <c r="J172" s="146">
        <f>'CashFlow-ResCondo'!J99</f>
        <v>-640279.29505730327</v>
      </c>
      <c r="K172" s="146">
        <f>'CashFlow-ResCondo'!K99</f>
        <v>-8525492.2883738484</v>
      </c>
      <c r="L172" s="146">
        <f>'CashFlow-ResCondo'!L99</f>
        <v>-8762048.6781733446</v>
      </c>
      <c r="M172" s="151">
        <f>'CashFlow-ResCondo'!M99</f>
        <v>0</v>
      </c>
      <c r="O172" s="3" t="str">
        <f t="shared" si="94"/>
        <v>Retail Construction Costs</v>
      </c>
      <c r="P172" s="524">
        <f t="shared" si="95"/>
        <v>18757479.512240961</v>
      </c>
      <c r="Q172" s="8"/>
      <c r="R172" s="163">
        <f t="shared" si="93"/>
        <v>4.1737438371624497E-2</v>
      </c>
    </row>
    <row r="173" spans="2:18" x14ac:dyDescent="0.65">
      <c r="B173" s="3" t="s">
        <v>47</v>
      </c>
      <c r="C173" s="8"/>
      <c r="D173" s="146">
        <f>'CashFlow-Retail'!D209</f>
        <v>0</v>
      </c>
      <c r="E173" s="146">
        <f>'CashFlow-Retail'!E209</f>
        <v>0</v>
      </c>
      <c r="F173" s="146">
        <f>'CashFlow-Retail'!F209</f>
        <v>0</v>
      </c>
      <c r="G173" s="146">
        <f>'CashFlow-Retail'!G209</f>
        <v>0</v>
      </c>
      <c r="H173" s="146">
        <f>'CashFlow-Retail'!H209</f>
        <v>0</v>
      </c>
      <c r="I173" s="146">
        <f>'CashFlow-Retail'!I209</f>
        <v>-621304.52643069439</v>
      </c>
      <c r="J173" s="146">
        <f>'CashFlow-Retail'!J209</f>
        <v>-621304.52643069439</v>
      </c>
      <c r="K173" s="146">
        <f>'CashFlow-Retail'!K209</f>
        <v>-8637196.8449125607</v>
      </c>
      <c r="L173" s="146">
        <f>'CashFlow-Retail'!L209</f>
        <v>-8877673.6144670136</v>
      </c>
      <c r="M173" s="151">
        <f>'CashFlow-Retail'!M209</f>
        <v>0</v>
      </c>
      <c r="O173" s="3" t="str">
        <f t="shared" si="94"/>
        <v>Office Construction Costs</v>
      </c>
      <c r="P173" s="524">
        <f t="shared" si="95"/>
        <v>47818346.345496885</v>
      </c>
      <c r="Q173" s="8"/>
      <c r="R173" s="163">
        <f t="shared" si="93"/>
        <v>0.10640103764078329</v>
      </c>
    </row>
    <row r="174" spans="2:18" x14ac:dyDescent="0.65">
      <c r="B174" s="3" t="s">
        <v>30</v>
      </c>
      <c r="C174" s="8"/>
      <c r="D174" s="146">
        <f>'CashFlow-Office'!D149</f>
        <v>0</v>
      </c>
      <c r="E174" s="146">
        <f>'CashFlow-Office'!E149</f>
        <v>0</v>
      </c>
      <c r="F174" s="146">
        <f>'CashFlow-Office'!F149</f>
        <v>0</v>
      </c>
      <c r="G174" s="146">
        <f>'CashFlow-Office'!G149</f>
        <v>0</v>
      </c>
      <c r="H174" s="146">
        <f>'CashFlow-Office'!H149</f>
        <v>0</v>
      </c>
      <c r="I174" s="146">
        <f>'CashFlow-Office'!I149</f>
        <v>-1648908.4946723063</v>
      </c>
      <c r="J174" s="146">
        <f>'CashFlow-Office'!J149</f>
        <v>-1648908.4946723063</v>
      </c>
      <c r="K174" s="146">
        <f>'CashFlow-Office'!K149</f>
        <v>-21955663.355168693</v>
      </c>
      <c r="L174" s="146">
        <f>'CashFlow-Office'!L149</f>
        <v>-22564866.000983581</v>
      </c>
      <c r="M174" s="151">
        <f>'CashFlow-Office'!M149</f>
        <v>0</v>
      </c>
      <c r="O174" s="3" t="str">
        <f t="shared" si="94"/>
        <v>Hotel Construction Costs</v>
      </c>
      <c r="P174" s="524">
        <f t="shared" si="95"/>
        <v>128838513.82167831</v>
      </c>
      <c r="Q174" s="8"/>
      <c r="R174" s="163">
        <f t="shared" si="93"/>
        <v>0.28667974964412218</v>
      </c>
    </row>
    <row r="175" spans="2:18" x14ac:dyDescent="0.65">
      <c r="B175" s="3" t="s">
        <v>49</v>
      </c>
      <c r="C175" s="8"/>
      <c r="D175" s="146">
        <f>'CashFlow-Hotel'!D195</f>
        <v>0</v>
      </c>
      <c r="E175" s="146">
        <f>'CashFlow-Hotel'!E195</f>
        <v>0</v>
      </c>
      <c r="F175" s="146">
        <f>'CashFlow-Hotel'!F195</f>
        <v>0</v>
      </c>
      <c r="G175" s="146">
        <f>'CashFlow-Hotel'!G195</f>
        <v>0</v>
      </c>
      <c r="H175" s="146">
        <f>'CashFlow-Hotel'!H195</f>
        <v>0</v>
      </c>
      <c r="I175" s="146">
        <f>'CashFlow-Hotel'!I195</f>
        <v>-4442707.3731613215</v>
      </c>
      <c r="J175" s="146">
        <f>'CashFlow-Hotel'!J195</f>
        <v>-4442707.3731613215</v>
      </c>
      <c r="K175" s="146">
        <f>'CashFlow-Hotel'!K195</f>
        <v>-59155852.362832762</v>
      </c>
      <c r="L175" s="146">
        <f>'CashFlow-Hotel'!L195</f>
        <v>-60797246.712522902</v>
      </c>
      <c r="M175" s="151">
        <f>'CashFlow-Hotel'!M195</f>
        <v>0</v>
      </c>
      <c r="O175" s="3" t="str">
        <f t="shared" si="94"/>
        <v>Parking Construction Costs</v>
      </c>
      <c r="P175" s="524">
        <f t="shared" si="95"/>
        <v>12116030.220000001</v>
      </c>
      <c r="Q175" s="8"/>
      <c r="R175" s="163">
        <f t="shared" si="93"/>
        <v>2.6959489108650231E-2</v>
      </c>
    </row>
    <row r="176" spans="2:18" x14ac:dyDescent="0.65">
      <c r="B176" s="3" t="s">
        <v>274</v>
      </c>
      <c r="C176" s="8"/>
      <c r="D176" s="146">
        <f>-'CashFlow-Parking'!D5</f>
        <v>0</v>
      </c>
      <c r="E176" s="146">
        <f>-'CashFlow-Parking'!E56</f>
        <v>0</v>
      </c>
      <c r="F176" s="146">
        <f>-'CashFlow-Parking'!F56</f>
        <v>0</v>
      </c>
      <c r="G176" s="146">
        <f>-'CashFlow-Parking'!G56</f>
        <v>0</v>
      </c>
      <c r="H176" s="146">
        <f>-'CashFlow-Parking'!H56</f>
        <v>0</v>
      </c>
      <c r="I176" s="146">
        <f>-'CashFlow-Parking'!I56</f>
        <v>0</v>
      </c>
      <c r="J176" s="146">
        <f>-'CashFlow-Parking'!J56</f>
        <v>0</v>
      </c>
      <c r="K176" s="146">
        <f>-'CashFlow-Parking'!K56</f>
        <v>-6058015.1100000003</v>
      </c>
      <c r="L176" s="146">
        <f>-'CashFlow-Parking'!L56</f>
        <v>-6058015.1100000003</v>
      </c>
      <c r="M176" s="151">
        <f>-'CashFlow-Parking'!M56</f>
        <v>0</v>
      </c>
      <c r="O176" s="3" t="str">
        <f t="shared" si="94"/>
        <v>Infrastructure Construction Costs</v>
      </c>
      <c r="P176" s="524">
        <f t="shared" si="95"/>
        <v>4966347.8787878789</v>
      </c>
      <c r="Q176" s="8"/>
      <c r="R176" s="163">
        <f t="shared" si="93"/>
        <v>1.1050665863059394E-2</v>
      </c>
    </row>
    <row r="177" spans="2:18" x14ac:dyDescent="0.65">
      <c r="B177" s="56" t="s">
        <v>277</v>
      </c>
      <c r="C177" s="8"/>
      <c r="D177" s="144">
        <f>-(AND(D$8&gt;=YEAR(PhaseIIIConBegin),D$8&lt;=YEAR(PhaseIIIConEnd)))*'Assumptions-Land&amp;Infrastructure'!$G$39/(YEAR(PhaseIIIConEnd)-YEAR(PhaseIIIConBegin)+1)</f>
        <v>0</v>
      </c>
      <c r="E177" s="144">
        <f>-(AND(E$8&gt;=YEAR(PhaseIIIConBegin),E$8&lt;=YEAR(PhaseIIIConEnd)))*'Assumptions-Land&amp;Infrastructure'!$G$39/(YEAR(PhaseIIIConEnd)-YEAR(PhaseIIIConBegin)+1)</f>
        <v>0</v>
      </c>
      <c r="F177" s="144">
        <f>-(AND(F$8&gt;=YEAR(PhaseIIIConBegin),F$8&lt;=YEAR(PhaseIIIConEnd)))*'Assumptions-Land&amp;Infrastructure'!$G$39/(YEAR(PhaseIIIConEnd)-YEAR(PhaseIIIConBegin)+1)</f>
        <v>0</v>
      </c>
      <c r="G177" s="144">
        <f>-(AND(G$8&gt;=YEAR(PhaseIIIConBegin),G$8&lt;=YEAR(PhaseIIIConEnd)))*'Assumptions-Land&amp;Infrastructure'!$G$39/(YEAR(PhaseIIIConEnd)-YEAR(PhaseIIIConBegin)+1)</f>
        <v>0</v>
      </c>
      <c r="H177" s="144">
        <f>-(AND(H$8&gt;=YEAR(PhaseIIIConBegin),H$8&lt;=YEAR(PhaseIIIConEnd)))*'Assumptions-Land&amp;Infrastructure'!$G$39/(YEAR(PhaseIIIConEnd)-YEAR(PhaseIIIConBegin)+1)</f>
        <v>0</v>
      </c>
      <c r="I177" s="144">
        <f>-(AND(I$8&gt;=YEAR(PhaseIIIConBegin),I$8&lt;=YEAR(PhaseIIIConEnd)))*'Assumptions-Land&amp;Infrastructure'!$G$39/(YEAR(PhaseIIIConEnd)-YEAR(PhaseIIIConBegin)+1)</f>
        <v>0</v>
      </c>
      <c r="J177" s="144">
        <f>-(AND(J$8&gt;=YEAR(PhaseIIIConBegin),J$8&lt;=YEAR(PhaseIIIConEnd)))*'Assumptions-Land&amp;Infrastructure'!$G$39/(YEAR(PhaseIIIConEnd)-YEAR(PhaseIIIConBegin)+1)</f>
        <v>0</v>
      </c>
      <c r="K177" s="144">
        <f>-(AND(K$8&gt;=YEAR(PhaseIIIConBegin),K$8&lt;=YEAR(PhaseIIIConEnd)))*'Assumptions-Land&amp;Infrastructure'!$G$39/(YEAR(PhaseIIIConEnd)-YEAR(PhaseIIIConBegin)+1)</f>
        <v>-2483173.9393939395</v>
      </c>
      <c r="L177" s="144">
        <f>-(AND(L$8&gt;=YEAR(PhaseIIIConBegin),L$8&lt;=YEAR(PhaseIIIConEnd)))*'Assumptions-Land&amp;Infrastructure'!$G$39/(YEAR(PhaseIIIConEnd)-YEAR(PhaseIIIConBegin)+1)</f>
        <v>-2483173.9393939395</v>
      </c>
      <c r="M177" s="152">
        <f>-(AND(M$8&gt;=YEAR(PhaseIIIConBegin),M$8&lt;=YEAR(PhaseIIIConEnd)))*'Assumptions-Land&amp;Infrastructure'!$G$39/(YEAR(PhaseIIIConEnd)-YEAR(PhaseIIIConBegin)+1)</f>
        <v>0</v>
      </c>
      <c r="O177" s="3" t="s">
        <v>345</v>
      </c>
      <c r="P177" s="533">
        <f>SUM(D196:M196)</f>
        <v>2896797.493635023</v>
      </c>
      <c r="Q177" s="8"/>
      <c r="R177" s="177">
        <f t="shared" si="93"/>
        <v>6.4456904663959059E-3</v>
      </c>
    </row>
    <row r="178" spans="2:18" ht="13" thickBot="1" x14ac:dyDescent="0.8">
      <c r="B178" s="3" t="s">
        <v>212</v>
      </c>
      <c r="C178" s="8"/>
      <c r="D178" s="146">
        <f>SUM(D171:D177)</f>
        <v>0</v>
      </c>
      <c r="E178" s="146">
        <f t="shared" ref="E178" si="96">SUM(E171:E177)</f>
        <v>0</v>
      </c>
      <c r="F178" s="146">
        <f t="shared" ref="F178" si="97">SUM(F171:F177)</f>
        <v>0</v>
      </c>
      <c r="G178" s="146">
        <f t="shared" ref="G178" si="98">SUM(G171:G177)</f>
        <v>0</v>
      </c>
      <c r="H178" s="146">
        <f t="shared" ref="H178" si="99">SUM(H171:H177)</f>
        <v>0</v>
      </c>
      <c r="I178" s="146">
        <f t="shared" ref="I178" si="100">SUM(I171:I177)</f>
        <v>-8554287.0006539188</v>
      </c>
      <c r="J178" s="146">
        <f>SUM(J171:J177)</f>
        <v>-8554287.0006539188</v>
      </c>
      <c r="K178" s="146">
        <f t="shared" ref="K178" si="101">SUM(K171:K177)</f>
        <v>-122808196.86881573</v>
      </c>
      <c r="L178" s="146">
        <f t="shared" ref="L178" si="102">SUM(L171:L177)</f>
        <v>-125979578.49337877</v>
      </c>
      <c r="M178" s="151">
        <f t="shared" ref="M178" si="103">SUM(M171:M177)</f>
        <v>0</v>
      </c>
      <c r="O178" s="5" t="s">
        <v>346</v>
      </c>
      <c r="P178" s="530">
        <f>SUM(P169:P177)</f>
        <v>292576546.85713738</v>
      </c>
      <c r="Q178" s="10"/>
      <c r="R178" s="179">
        <f t="shared" si="93"/>
        <v>0.65101473710598656</v>
      </c>
    </row>
    <row r="179" spans="2:18" x14ac:dyDescent="0.65">
      <c r="B179" s="3"/>
      <c r="C179" s="8"/>
      <c r="D179" s="146"/>
      <c r="E179" s="146"/>
      <c r="F179" s="146"/>
      <c r="G179" s="146"/>
      <c r="H179" s="128"/>
      <c r="I179" s="146"/>
      <c r="J179" s="146"/>
      <c r="K179" s="146"/>
      <c r="L179" s="146"/>
      <c r="M179" s="151"/>
      <c r="O179" s="147" t="s">
        <v>384</v>
      </c>
      <c r="P179" s="524"/>
      <c r="Q179" s="8"/>
      <c r="R179" s="9"/>
    </row>
    <row r="180" spans="2:18" x14ac:dyDescent="0.65">
      <c r="B180" s="3" t="s">
        <v>571</v>
      </c>
      <c r="C180" s="8"/>
      <c r="D180" s="146">
        <f>'CashFlow-ResRental'!D167</f>
        <v>0</v>
      </c>
      <c r="E180" s="146">
        <f>'CashFlow-ResRental'!E167</f>
        <v>0</v>
      </c>
      <c r="F180" s="146">
        <f>'CashFlow-ResRental'!F167</f>
        <v>0</v>
      </c>
      <c r="G180" s="146">
        <f>'CashFlow-ResRental'!G167</f>
        <v>0</v>
      </c>
      <c r="H180" s="146">
        <f>'CashFlow-ResRental'!H167</f>
        <v>0</v>
      </c>
      <c r="I180" s="146">
        <f>'CashFlow-ResRental'!I167</f>
        <v>0</v>
      </c>
      <c r="J180" s="146">
        <f>'CashFlow-ResRental'!J167</f>
        <v>0</v>
      </c>
      <c r="K180" s="146">
        <f>'CashFlow-ResRental'!K167</f>
        <v>0</v>
      </c>
      <c r="L180" s="146">
        <f>'CashFlow-ResRental'!L167</f>
        <v>0</v>
      </c>
      <c r="M180" s="151">
        <f>'CashFlow-ResRental'!M167</f>
        <v>771550</v>
      </c>
      <c r="O180" s="3"/>
      <c r="P180" s="531" t="s">
        <v>362</v>
      </c>
      <c r="Q180" s="106"/>
      <c r="R180" s="185" t="s">
        <v>364</v>
      </c>
    </row>
    <row r="181" spans="2:18" x14ac:dyDescent="0.65">
      <c r="B181" s="3"/>
      <c r="C181" s="8"/>
      <c r="D181" s="146"/>
      <c r="E181" s="146"/>
      <c r="F181" s="146"/>
      <c r="G181" s="146"/>
      <c r="H181" s="128"/>
      <c r="I181" s="146"/>
      <c r="J181" s="146"/>
      <c r="K181" s="146"/>
      <c r="L181" s="146"/>
      <c r="M181" s="151"/>
      <c r="O181" s="36" t="s">
        <v>117</v>
      </c>
      <c r="P181" s="529" t="s">
        <v>363</v>
      </c>
      <c r="Q181" s="108" t="s">
        <v>360</v>
      </c>
      <c r="R181" s="109" t="s">
        <v>361</v>
      </c>
    </row>
    <row r="182" spans="2:18" x14ac:dyDescent="0.65">
      <c r="B182" s="36" t="s">
        <v>330</v>
      </c>
      <c r="C182" s="8"/>
      <c r="D182" s="146"/>
      <c r="E182" s="146"/>
      <c r="F182" s="146"/>
      <c r="G182" s="146"/>
      <c r="H182" s="146"/>
      <c r="I182" s="146"/>
      <c r="J182" s="146"/>
      <c r="K182" s="146"/>
      <c r="L182" s="146"/>
      <c r="M182" s="151"/>
      <c r="O182" s="3" t="str">
        <f t="shared" ref="O182:O186" si="104">B161</f>
        <v>Residential Apartments</v>
      </c>
      <c r="P182" s="524">
        <f>SUMIF(D$8:M$8,YEAR(PhaseIIIRefi),D161:M161)</f>
        <v>0</v>
      </c>
      <c r="Q182" s="183">
        <f>'Assumptions-Overall'!$V$9</f>
        <v>7.7499999999999999E-2</v>
      </c>
      <c r="R182" s="186">
        <f>P182/Q182</f>
        <v>0</v>
      </c>
    </row>
    <row r="183" spans="2:18" x14ac:dyDescent="0.65">
      <c r="B183" s="3" t="s">
        <v>273</v>
      </c>
      <c r="C183" s="8"/>
      <c r="D183" s="146">
        <f>'CashFlow-ResRental'!D172</f>
        <v>0</v>
      </c>
      <c r="E183" s="146">
        <f>'CashFlow-ResRental'!E172</f>
        <v>0</v>
      </c>
      <c r="F183" s="146">
        <f>'CashFlow-ResRental'!F172</f>
        <v>0</v>
      </c>
      <c r="G183" s="146">
        <f>'CashFlow-ResRental'!G172</f>
        <v>0</v>
      </c>
      <c r="H183" s="146">
        <f>'CashFlow-ResRental'!H172</f>
        <v>0</v>
      </c>
      <c r="I183" s="146">
        <f>'CashFlow-ResRental'!I172</f>
        <v>0</v>
      </c>
      <c r="J183" s="146">
        <f>'CashFlow-ResRental'!J172</f>
        <v>0</v>
      </c>
      <c r="K183" s="146">
        <f>'CashFlow-ResRental'!K172</f>
        <v>0</v>
      </c>
      <c r="L183" s="146">
        <f>'CashFlow-ResRental'!L172</f>
        <v>0</v>
      </c>
      <c r="M183" s="151">
        <f>'CashFlow-ResRental'!M172</f>
        <v>33926145.542457663</v>
      </c>
      <c r="O183" s="3" t="str">
        <f t="shared" si="104"/>
        <v>Retail</v>
      </c>
      <c r="P183" s="524">
        <f>SUMIF(D$8:M$8,YEAR(PhaseIIIRefi),D162:M162)</f>
        <v>0</v>
      </c>
      <c r="Q183" s="183">
        <f>'Assumptions-Overall'!$V$13</f>
        <v>8.2666666666666666E-2</v>
      </c>
      <c r="R183" s="186">
        <f t="shared" ref="R183:R186" si="105">P183/Q183</f>
        <v>0</v>
      </c>
    </row>
    <row r="184" spans="2:18" x14ac:dyDescent="0.65">
      <c r="B184" s="3" t="s">
        <v>276</v>
      </c>
      <c r="C184" s="8"/>
      <c r="D184" s="146">
        <f>'CashFlow-Parking'!D61</f>
        <v>0</v>
      </c>
      <c r="E184" s="146">
        <f>'CashFlow-Parking'!E61</f>
        <v>0</v>
      </c>
      <c r="F184" s="146">
        <f>'CashFlow-Parking'!F61</f>
        <v>0</v>
      </c>
      <c r="G184" s="146">
        <f>'CashFlow-Parking'!G61</f>
        <v>0</v>
      </c>
      <c r="H184" s="146">
        <f>'CashFlow-Parking'!H61</f>
        <v>0</v>
      </c>
      <c r="I184" s="146">
        <f>'CashFlow-Parking'!I61</f>
        <v>0</v>
      </c>
      <c r="J184" s="146">
        <f>'CashFlow-Parking'!J61</f>
        <v>0</v>
      </c>
      <c r="K184" s="146">
        <f>'CashFlow-Parking'!K61</f>
        <v>0</v>
      </c>
      <c r="L184" s="146">
        <f>'CashFlow-Parking'!L61</f>
        <v>0</v>
      </c>
      <c r="M184" s="151">
        <f>'CashFlow-Parking'!M61</f>
        <v>0</v>
      </c>
      <c r="O184" s="3" t="str">
        <f t="shared" si="104"/>
        <v>Office</v>
      </c>
      <c r="P184" s="524">
        <f>SUMIF(D$8:M$8,YEAR(PhaseIIIRefi),D163:M163)</f>
        <v>0</v>
      </c>
      <c r="Q184" s="183">
        <f>'Assumptions-Overall'!$V$18</f>
        <v>9.849999999999999E-2</v>
      </c>
      <c r="R184" s="186">
        <f t="shared" si="105"/>
        <v>0</v>
      </c>
    </row>
    <row r="185" spans="2:18" x14ac:dyDescent="0.65">
      <c r="B185" s="3" t="s">
        <v>338</v>
      </c>
      <c r="C185" s="8"/>
      <c r="D185" s="146">
        <f>'CashFlow-Parking'!D61</f>
        <v>0</v>
      </c>
      <c r="E185" s="146">
        <f>'CashFlow-Parking'!E61</f>
        <v>0</v>
      </c>
      <c r="F185" s="146">
        <f>'CashFlow-Parking'!F61</f>
        <v>0</v>
      </c>
      <c r="G185" s="146">
        <f>'CashFlow-Parking'!G61</f>
        <v>0</v>
      </c>
      <c r="H185" s="146">
        <f>'CashFlow-Parking'!H61</f>
        <v>0</v>
      </c>
      <c r="I185" s="146">
        <f>'CashFlow-Parking'!I61</f>
        <v>0</v>
      </c>
      <c r="J185" s="146">
        <f>'CashFlow-Parking'!J61</f>
        <v>0</v>
      </c>
      <c r="K185" s="146">
        <f>'CashFlow-Parking'!K61</f>
        <v>0</v>
      </c>
      <c r="L185" s="146">
        <f>'CashFlow-Parking'!L61</f>
        <v>0</v>
      </c>
      <c r="M185" s="151">
        <f>'CashFlow-Parking'!M61</f>
        <v>0</v>
      </c>
      <c r="O185" s="3" t="str">
        <f t="shared" si="104"/>
        <v>Hotel</v>
      </c>
      <c r="P185" s="524">
        <f>SUMIF(D$8:M$8,YEAR(PhaseIIIRefi),D164:M164)</f>
        <v>0</v>
      </c>
      <c r="Q185" s="183">
        <f>'Assumptions-Overall'!$V$22</f>
        <v>8.8749999999999996E-2</v>
      </c>
      <c r="R185" s="186">
        <f t="shared" si="105"/>
        <v>0</v>
      </c>
    </row>
    <row r="186" spans="2:18" x14ac:dyDescent="0.65">
      <c r="B186" s="3" t="s">
        <v>47</v>
      </c>
      <c r="C186" s="8"/>
      <c r="D186" s="146">
        <f>'CashFlow-Retail'!D214</f>
        <v>0</v>
      </c>
      <c r="E186" s="146">
        <f>'CashFlow-Retail'!E214</f>
        <v>0</v>
      </c>
      <c r="F186" s="146">
        <f>'CashFlow-Retail'!F214</f>
        <v>0</v>
      </c>
      <c r="G186" s="146">
        <f>'CashFlow-Retail'!G214</f>
        <v>0</v>
      </c>
      <c r="H186" s="146">
        <f>'CashFlow-Retail'!H214</f>
        <v>0</v>
      </c>
      <c r="I186" s="146">
        <f>'CashFlow-Retail'!I214</f>
        <v>0</v>
      </c>
      <c r="J186" s="146">
        <f>'CashFlow-Retail'!J214</f>
        <v>0</v>
      </c>
      <c r="K186" s="146">
        <f>'CashFlow-Retail'!K214</f>
        <v>0</v>
      </c>
      <c r="L186" s="146">
        <f>'CashFlow-Retail'!L214</f>
        <v>0</v>
      </c>
      <c r="M186" s="151">
        <f>'CashFlow-Retail'!M214</f>
        <v>102265468.88963626</v>
      </c>
      <c r="O186" s="3" t="str">
        <f t="shared" si="104"/>
        <v>Parking</v>
      </c>
      <c r="P186" s="528">
        <f>SUMIF(D$8:M$8,YEAR(PhaseIIIRefi),D165:M165)</f>
        <v>0</v>
      </c>
      <c r="Q186" s="183">
        <v>0.05</v>
      </c>
      <c r="R186" s="187">
        <f t="shared" si="105"/>
        <v>0</v>
      </c>
    </row>
    <row r="187" spans="2:18" x14ac:dyDescent="0.65">
      <c r="B187" s="3" t="s">
        <v>30</v>
      </c>
      <c r="C187" s="8"/>
      <c r="D187" s="146">
        <f>'CashFlow-Office'!D154</f>
        <v>0</v>
      </c>
      <c r="E187" s="146">
        <f>'CashFlow-Office'!E154</f>
        <v>0</v>
      </c>
      <c r="F187" s="146">
        <f>'CashFlow-Office'!F154</f>
        <v>0</v>
      </c>
      <c r="G187" s="146">
        <f>'CashFlow-Office'!G154</f>
        <v>0</v>
      </c>
      <c r="H187" s="146">
        <f>'CashFlow-Office'!H154</f>
        <v>0</v>
      </c>
      <c r="I187" s="146">
        <f>'CashFlow-Office'!I154</f>
        <v>0</v>
      </c>
      <c r="J187" s="146">
        <f>'CashFlow-Office'!J154</f>
        <v>0</v>
      </c>
      <c r="K187" s="146">
        <f>'CashFlow-Office'!K154</f>
        <v>0</v>
      </c>
      <c r="L187" s="146">
        <f>'CashFlow-Office'!L154</f>
        <v>0</v>
      </c>
      <c r="M187" s="151">
        <f>'CashFlow-Office'!M154</f>
        <v>38642030.148004293</v>
      </c>
      <c r="O187" s="3" t="str">
        <f>B167</f>
        <v>Total Cash Flow from Operations</v>
      </c>
      <c r="P187" s="524">
        <f t="shared" ref="P187" si="106">SUM(P182:P186)</f>
        <v>0</v>
      </c>
      <c r="Q187" s="8"/>
      <c r="R187" s="186">
        <f>SUM(R182:R186)</f>
        <v>0</v>
      </c>
    </row>
    <row r="188" spans="2:18" x14ac:dyDescent="0.65">
      <c r="B188" s="3" t="s">
        <v>49</v>
      </c>
      <c r="C188" s="8"/>
      <c r="D188" s="146">
        <f>'CashFlow-Hotel'!D200</f>
        <v>0</v>
      </c>
      <c r="E188" s="146">
        <f>'CashFlow-Hotel'!E200</f>
        <v>0</v>
      </c>
      <c r="F188" s="146">
        <f>'CashFlow-Hotel'!F200</f>
        <v>0</v>
      </c>
      <c r="G188" s="146">
        <f>'CashFlow-Hotel'!G200</f>
        <v>0</v>
      </c>
      <c r="H188" s="146">
        <f>'CashFlow-Hotel'!H200</f>
        <v>0</v>
      </c>
      <c r="I188" s="146">
        <f>'CashFlow-Hotel'!I200</f>
        <v>0</v>
      </c>
      <c r="J188" s="146">
        <f>'CashFlow-Hotel'!J200</f>
        <v>0</v>
      </c>
      <c r="K188" s="146">
        <f>'CashFlow-Hotel'!K200</f>
        <v>0</v>
      </c>
      <c r="L188" s="146">
        <f>'CashFlow-Hotel'!L200</f>
        <v>0</v>
      </c>
      <c r="M188" s="151">
        <f>'CashFlow-Hotel'!M200</f>
        <v>256373384.31633967</v>
      </c>
      <c r="O188" s="3"/>
      <c r="P188" s="524"/>
      <c r="Q188" s="8"/>
      <c r="R188" s="151"/>
    </row>
    <row r="189" spans="2:18" x14ac:dyDescent="0.65">
      <c r="B189" s="3" t="s">
        <v>274</v>
      </c>
      <c r="C189" s="8"/>
      <c r="D189" s="446">
        <f>'CashFlow-Parking'!D66</f>
        <v>0</v>
      </c>
      <c r="E189" s="446">
        <f>'CashFlow-Parking'!E66</f>
        <v>0</v>
      </c>
      <c r="F189" s="446">
        <f>'CashFlow-Parking'!F66</f>
        <v>0</v>
      </c>
      <c r="G189" s="446">
        <f>'CashFlow-Parking'!G66</f>
        <v>0</v>
      </c>
      <c r="H189" s="446">
        <f>'CashFlow-Parking'!H66</f>
        <v>0</v>
      </c>
      <c r="I189" s="446">
        <f>'CashFlow-Parking'!I66</f>
        <v>0</v>
      </c>
      <c r="J189" s="446">
        <f>'CashFlow-Parking'!J66</f>
        <v>0</v>
      </c>
      <c r="K189" s="446">
        <f>'CashFlow-Parking'!K66</f>
        <v>0</v>
      </c>
      <c r="L189" s="446">
        <f>'CashFlow-Parking'!L66</f>
        <v>0</v>
      </c>
      <c r="M189" s="450">
        <f>'CashFlow-Parking'!M66</f>
        <v>6045815.9999999991</v>
      </c>
      <c r="O189" s="3" t="s">
        <v>365</v>
      </c>
      <c r="P189" s="532"/>
      <c r="Q189" s="8"/>
      <c r="R189" s="188">
        <f>'Assumptions-Overall'!$O$9</f>
        <v>0.65</v>
      </c>
    </row>
    <row r="190" spans="2:18" x14ac:dyDescent="0.65">
      <c r="B190" s="3" t="s">
        <v>331</v>
      </c>
      <c r="C190" s="8"/>
      <c r="D190" s="146">
        <f>SUM(D183:D189)</f>
        <v>0</v>
      </c>
      <c r="E190" s="146">
        <f t="shared" ref="E190:M190" si="107">SUM(E183:E189)</f>
        <v>0</v>
      </c>
      <c r="F190" s="146">
        <f t="shared" si="107"/>
        <v>0</v>
      </c>
      <c r="G190" s="146">
        <f t="shared" si="107"/>
        <v>0</v>
      </c>
      <c r="H190" s="146">
        <f t="shared" si="107"/>
        <v>0</v>
      </c>
      <c r="I190" s="146">
        <f t="shared" si="107"/>
        <v>0</v>
      </c>
      <c r="J190" s="146">
        <f t="shared" si="107"/>
        <v>0</v>
      </c>
      <c r="K190" s="146">
        <f t="shared" si="107"/>
        <v>0</v>
      </c>
      <c r="L190" s="146">
        <f t="shared" si="107"/>
        <v>0</v>
      </c>
      <c r="M190" s="151">
        <f t="shared" si="107"/>
        <v>437252844.89643788</v>
      </c>
      <c r="O190" s="3" t="s">
        <v>366</v>
      </c>
      <c r="P190" s="532"/>
      <c r="Q190" s="8"/>
      <c r="R190" s="186">
        <f>R187*R189</f>
        <v>0</v>
      </c>
    </row>
    <row r="191" spans="2:18" x14ac:dyDescent="0.65">
      <c r="B191" s="3"/>
      <c r="C191" s="8"/>
      <c r="D191" s="146"/>
      <c r="E191" s="146"/>
      <c r="F191" s="146"/>
      <c r="G191" s="146"/>
      <c r="H191" s="146"/>
      <c r="I191" s="146"/>
      <c r="J191" s="146"/>
      <c r="K191" s="146"/>
      <c r="L191" s="146"/>
      <c r="M191" s="151"/>
      <c r="O191" s="3"/>
      <c r="P191" s="524"/>
      <c r="Q191" s="8"/>
      <c r="R191" s="186"/>
    </row>
    <row r="192" spans="2:18" ht="13" thickBot="1" x14ac:dyDescent="0.8">
      <c r="B192" s="3" t="s">
        <v>214</v>
      </c>
      <c r="C192" s="8"/>
      <c r="D192" s="146">
        <f t="shared" ref="D192:M192" si="108">D167+D168+D178+D180+D190</f>
        <v>0</v>
      </c>
      <c r="E192" s="146">
        <f t="shared" si="108"/>
        <v>0</v>
      </c>
      <c r="F192" s="146">
        <f t="shared" si="108"/>
        <v>0</v>
      </c>
      <c r="G192" s="146">
        <f t="shared" si="108"/>
        <v>0</v>
      </c>
      <c r="H192" s="146">
        <f t="shared" si="108"/>
        <v>0</v>
      </c>
      <c r="I192" s="146">
        <f t="shared" si="108"/>
        <v>-8554287.0006539188</v>
      </c>
      <c r="J192" s="146">
        <f t="shared" si="108"/>
        <v>-8554287.0006539188</v>
      </c>
      <c r="K192" s="146">
        <f t="shared" si="108"/>
        <v>-122808196.86881573</v>
      </c>
      <c r="L192" s="146">
        <f t="shared" si="108"/>
        <v>-149762978.49337876</v>
      </c>
      <c r="M192" s="151">
        <f t="shared" si="108"/>
        <v>475085886.81056553</v>
      </c>
      <c r="O192" s="3" t="s">
        <v>369</v>
      </c>
      <c r="P192" s="524"/>
      <c r="Q192" s="8"/>
      <c r="R192" s="189">
        <f>'Assumptions-Overall'!$O$19</f>
        <v>1.2</v>
      </c>
    </row>
    <row r="193" spans="2:18" ht="13" thickBot="1" x14ac:dyDescent="0.8">
      <c r="B193" s="143" t="s">
        <v>218</v>
      </c>
      <c r="C193" s="181">
        <f>IFERROR(IRR(D192:M192),"n/a")</f>
        <v>0.34939239656857657</v>
      </c>
      <c r="D193" s="146"/>
      <c r="E193" s="146"/>
      <c r="F193" s="146"/>
      <c r="G193" s="146"/>
      <c r="H193" s="146"/>
      <c r="I193" s="146"/>
      <c r="J193" s="146"/>
      <c r="K193" s="146"/>
      <c r="L193" s="146"/>
      <c r="M193" s="151"/>
      <c r="O193" s="3" t="s">
        <v>370</v>
      </c>
      <c r="P193" s="524"/>
      <c r="Q193" s="8"/>
      <c r="R193" s="186">
        <f>-PV('Assumptions-Overall'!$O$15/12,'Assumptions-Overall'!$O$27*12,'CashFlow-Combined'!P187/12/'CashFlow-Combined'!R192,0)</f>
        <v>0</v>
      </c>
    </row>
    <row r="194" spans="2:18" x14ac:dyDescent="0.65">
      <c r="B194" s="3"/>
      <c r="C194" s="158"/>
      <c r="D194" s="146"/>
      <c r="E194" s="146"/>
      <c r="F194" s="146"/>
      <c r="G194" s="146"/>
      <c r="H194" s="146"/>
      <c r="I194" s="146"/>
      <c r="J194" s="146"/>
      <c r="K194" s="146"/>
      <c r="L194" s="146"/>
      <c r="M194" s="151"/>
      <c r="O194" s="3"/>
      <c r="P194" s="524"/>
      <c r="Q194" s="8"/>
      <c r="R194" s="186"/>
    </row>
    <row r="195" spans="2:18" x14ac:dyDescent="0.65">
      <c r="B195" s="36" t="s">
        <v>64</v>
      </c>
      <c r="C195" s="158"/>
      <c r="D195" s="146"/>
      <c r="E195" s="146"/>
      <c r="F195" s="146"/>
      <c r="G195" s="146"/>
      <c r="H195" s="146"/>
      <c r="I195" s="146"/>
      <c r="J195" s="146"/>
      <c r="K195" s="146"/>
      <c r="L195" s="146"/>
      <c r="M195" s="151"/>
      <c r="O195" s="3" t="s">
        <v>371</v>
      </c>
      <c r="P195" s="524"/>
      <c r="Q195" s="8"/>
      <c r="R195" s="186">
        <f>MIN(R190,R193)</f>
        <v>0</v>
      </c>
    </row>
    <row r="196" spans="2:18" x14ac:dyDescent="0.65">
      <c r="B196" s="3" t="s">
        <v>353</v>
      </c>
      <c r="C196" s="158"/>
      <c r="D196" s="146">
        <f>-IF(D192&lt;0,D192*1%,0)</f>
        <v>0</v>
      </c>
      <c r="E196" s="146">
        <f t="shared" ref="E196:M196" si="109">-IF(E192&lt;0,E192*1%,0)</f>
        <v>0</v>
      </c>
      <c r="F196" s="146">
        <f t="shared" si="109"/>
        <v>0</v>
      </c>
      <c r="G196" s="146">
        <f t="shared" si="109"/>
        <v>0</v>
      </c>
      <c r="H196" s="146">
        <f t="shared" si="109"/>
        <v>0</v>
      </c>
      <c r="I196" s="146">
        <f t="shared" si="109"/>
        <v>85542.870006539189</v>
      </c>
      <c r="J196" s="146">
        <f t="shared" si="109"/>
        <v>85542.870006539189</v>
      </c>
      <c r="K196" s="146">
        <f t="shared" si="109"/>
        <v>1228081.9686881574</v>
      </c>
      <c r="L196" s="146">
        <f t="shared" si="109"/>
        <v>1497629.7849337875</v>
      </c>
      <c r="M196" s="151">
        <f t="shared" si="109"/>
        <v>0</v>
      </c>
      <c r="O196" s="3" t="s">
        <v>372</v>
      </c>
      <c r="P196" s="524"/>
      <c r="Q196" s="8"/>
      <c r="R196" s="186">
        <f>PMT('Assumptions-Overall'!$O$15/12,'Assumptions-Overall'!$O$27*12,-'CashFlow-Combined'!R195,0)*12</f>
        <v>0</v>
      </c>
    </row>
    <row r="197" spans="2:18" x14ac:dyDescent="0.65">
      <c r="B197" s="3" t="s">
        <v>349</v>
      </c>
      <c r="C197" s="158"/>
      <c r="D197" s="146">
        <f>MAX(-D192-D196,0)</f>
        <v>0</v>
      </c>
      <c r="E197" s="146">
        <f t="shared" ref="E197" si="110">MAX(-E192-E196,0)</f>
        <v>0</v>
      </c>
      <c r="F197" s="146">
        <f t="shared" ref="F197" si="111">MAX(-F192-F196,0)</f>
        <v>0</v>
      </c>
      <c r="G197" s="146">
        <f t="shared" ref="G197" si="112">MAX(-G192-G196,0)</f>
        <v>0</v>
      </c>
      <c r="H197" s="146">
        <f t="shared" ref="H197" si="113">MAX(-H192-H196,0)</f>
        <v>0</v>
      </c>
      <c r="I197" s="146">
        <f t="shared" ref="I197" si="114">MAX(-I192-I196,0)</f>
        <v>8468744.1306473799</v>
      </c>
      <c r="J197" s="146">
        <f t="shared" ref="J197" si="115">MAX(-J192-J196,0)</f>
        <v>8468744.1306473799</v>
      </c>
      <c r="K197" s="146">
        <f t="shared" ref="K197" si="116">MAX(-K192-K196,0)</f>
        <v>121580114.90012757</v>
      </c>
      <c r="L197" s="146">
        <f t="shared" ref="L197" si="117">MAX(-L192-L196,0)</f>
        <v>148265348.70844498</v>
      </c>
      <c r="M197" s="151">
        <f t="shared" ref="M197" si="118">MAX(-M192-M196,0)</f>
        <v>0</v>
      </c>
      <c r="O197" s="3" t="s">
        <v>373</v>
      </c>
      <c r="P197" s="524"/>
      <c r="Q197" s="8"/>
      <c r="R197" s="151">
        <f>R195*'Assumptions-Overall'!$O$23</f>
        <v>0</v>
      </c>
    </row>
    <row r="198" spans="2:18" ht="13" thickBot="1" x14ac:dyDescent="0.8">
      <c r="B198" s="3" t="s">
        <v>350</v>
      </c>
      <c r="C198" s="158"/>
      <c r="D198" s="146">
        <f>+IF(SUM($C198:C198)&lt;$P162,MIN(D197,$P162-SUM($C198:C198)),0)</f>
        <v>0</v>
      </c>
      <c r="E198" s="146">
        <f>+IF(SUM($C198:D198)&lt;$P162,MIN(E197,$P162-SUM($C198:D198)),0)</f>
        <v>0</v>
      </c>
      <c r="F198" s="146">
        <f>+IF(SUM($C198:E198)&lt;$P162,MIN(F197,$P162-SUM($C198:E198)),0)</f>
        <v>0</v>
      </c>
      <c r="G198" s="146">
        <f>+IF(SUM($C198:F198)&lt;$P162,MIN(G197,$P162-SUM($C198:F198)),0)</f>
        <v>0</v>
      </c>
      <c r="H198" s="146">
        <f>+IF(SUM($C198:G198)&lt;$P162,MIN(H197,$P162-SUM($C198:G198)),0)</f>
        <v>0</v>
      </c>
      <c r="I198" s="146">
        <f>+IF(SUM($C198:H198)&lt;$P162,MIN(I197,$P162-SUM($C198:H198)),0)</f>
        <v>8468744.1306473799</v>
      </c>
      <c r="J198" s="146">
        <f>+IF(SUM($C198:I198)&lt;$P162,MIN(J197,$P162-SUM($C198:I198)),0)</f>
        <v>8468744.1306473799</v>
      </c>
      <c r="K198" s="146">
        <f>+IF(SUM($C198:J198)&lt;$P162,MIN(K197,$P162-SUM($C198:J198)),0)</f>
        <v>26079954.519185312</v>
      </c>
      <c r="L198" s="146">
        <f>+IF(SUM($C198:K198)&lt;$P162,MIN(L197,$P162-SUM($C198:K198)),0)</f>
        <v>0</v>
      </c>
      <c r="M198" s="151">
        <f>+IF(SUM($C198:L198)&lt;$P162,MIN(M197,$P162-SUM($C198:L198)),0)</f>
        <v>0</v>
      </c>
      <c r="O198" s="5" t="s">
        <v>375</v>
      </c>
      <c r="P198" s="530"/>
      <c r="Q198" s="10"/>
      <c r="R198" s="190">
        <f>-PV('Assumptions-Overall'!$O$15/12,'Assumptions-Overall'!$O$27*12-(YEAR('Assumptions-Overall'!$C$30)-YEAR(PhaseIIIRefi)+1),'CashFlow-Combined'!R196/12,0)</f>
        <v>0</v>
      </c>
    </row>
    <row r="199" spans="2:18" x14ac:dyDescent="0.65">
      <c r="B199" s="3" t="s">
        <v>351</v>
      </c>
      <c r="C199" s="158"/>
      <c r="D199" s="146">
        <f>+IF(SUM($C199:C199)&lt;$P163,MIN(D197-D198,$P163-SUM($C199:C199)),0)</f>
        <v>0</v>
      </c>
      <c r="E199" s="146">
        <f>+IF(SUM($C199:D199)&lt;$P163,MIN(E197-E198,$P163-SUM($C199:D199)),0)</f>
        <v>0</v>
      </c>
      <c r="F199" s="146">
        <f>+IF(SUM($C199:E199)&lt;$P163,MIN(F197-F198,$P163-SUM($C199:E199)),0)</f>
        <v>0</v>
      </c>
      <c r="G199" s="146">
        <f>+IF(SUM($C199:F199)&lt;$P163,MIN(G197-G198,$P163-SUM($C199:F199)),0)</f>
        <v>0</v>
      </c>
      <c r="H199" s="146">
        <f>+IF(SUM($C199:G199)&lt;$P163,MIN(H197-H198,$P163-SUM($C199:G199)),0)</f>
        <v>0</v>
      </c>
      <c r="I199" s="146">
        <f>+IF(SUM($C199:H199)&lt;$P163,MIN(I197-I198,$P163-SUM($C199:H199)),0)</f>
        <v>0</v>
      </c>
      <c r="J199" s="146">
        <f>+IF(SUM($C199:I199)&lt;$P163,MIN(J197-J198,$P163-SUM($C199:I199)),0)</f>
        <v>0</v>
      </c>
      <c r="K199" s="146">
        <f>+IF(SUM($C199:J199)&lt;$P163,MIN(K197-K198,$P163-SUM($C199:J199)),0)</f>
        <v>57356590.373973466</v>
      </c>
      <c r="L199" s="146">
        <f>+IF(SUM($C199:K199)&lt;$P163,MIN(L197-L198,$P163-SUM($C199:K199)),0)</f>
        <v>0</v>
      </c>
      <c r="M199" s="151">
        <f>+IF(SUM($C199:L199)&lt;$P163,MIN(M197-M198,$P163-SUM($C199:L199)),0)</f>
        <v>0</v>
      </c>
    </row>
    <row r="200" spans="2:18" x14ac:dyDescent="0.65">
      <c r="B200" s="3" t="s">
        <v>352</v>
      </c>
      <c r="C200" s="158"/>
      <c r="D200" s="146">
        <f t="shared" ref="D200:M200" si="119">D197-D198-D199</f>
        <v>0</v>
      </c>
      <c r="E200" s="146">
        <f t="shared" si="119"/>
        <v>0</v>
      </c>
      <c r="F200" s="146">
        <f t="shared" si="119"/>
        <v>0</v>
      </c>
      <c r="G200" s="146">
        <f t="shared" si="119"/>
        <v>0</v>
      </c>
      <c r="H200" s="146">
        <f t="shared" si="119"/>
        <v>0</v>
      </c>
      <c r="I200" s="146">
        <f t="shared" si="119"/>
        <v>0</v>
      </c>
      <c r="J200" s="146">
        <f t="shared" si="119"/>
        <v>0</v>
      </c>
      <c r="K200" s="146">
        <f t="shared" si="119"/>
        <v>38143570.006968789</v>
      </c>
      <c r="L200" s="146">
        <f t="shared" si="119"/>
        <v>148265348.70844498</v>
      </c>
      <c r="M200" s="151">
        <f t="shared" si="119"/>
        <v>0</v>
      </c>
    </row>
    <row r="201" spans="2:18" x14ac:dyDescent="0.65">
      <c r="B201" s="3"/>
      <c r="C201" s="158"/>
      <c r="D201" s="146"/>
      <c r="E201" s="146"/>
      <c r="F201" s="146"/>
      <c r="G201" s="146"/>
      <c r="H201" s="146"/>
      <c r="I201" s="146"/>
      <c r="J201" s="146"/>
      <c r="K201" s="146"/>
      <c r="L201" s="146"/>
      <c r="M201" s="151"/>
    </row>
    <row r="202" spans="2:18" x14ac:dyDescent="0.65">
      <c r="B202" s="3" t="s">
        <v>367</v>
      </c>
      <c r="C202" s="158"/>
      <c r="D202" s="146">
        <f t="shared" ref="D202:M202" si="120">(D$8&gt;=YEAR(PhaseIIIComplete))*SUM(D184:D185)</f>
        <v>0</v>
      </c>
      <c r="E202" s="146">
        <f t="shared" si="120"/>
        <v>0</v>
      </c>
      <c r="F202" s="146">
        <f t="shared" si="120"/>
        <v>0</v>
      </c>
      <c r="G202" s="146">
        <f t="shared" si="120"/>
        <v>0</v>
      </c>
      <c r="H202" s="146">
        <f t="shared" si="120"/>
        <v>0</v>
      </c>
      <c r="I202" s="146">
        <f t="shared" si="120"/>
        <v>0</v>
      </c>
      <c r="J202" s="146">
        <f t="shared" si="120"/>
        <v>0</v>
      </c>
      <c r="K202" s="146">
        <f t="shared" si="120"/>
        <v>0</v>
      </c>
      <c r="L202" s="146">
        <f t="shared" si="120"/>
        <v>0</v>
      </c>
      <c r="M202" s="151">
        <f t="shared" si="120"/>
        <v>0</v>
      </c>
    </row>
    <row r="203" spans="2:18" x14ac:dyDescent="0.65">
      <c r="B203" s="3"/>
      <c r="C203" s="158"/>
      <c r="D203" s="146"/>
      <c r="E203" s="146"/>
      <c r="F203" s="146"/>
      <c r="G203" s="146"/>
      <c r="H203" s="146"/>
      <c r="I203" s="146"/>
      <c r="J203" s="146"/>
      <c r="K203" s="146"/>
      <c r="L203" s="146"/>
      <c r="M203" s="151"/>
    </row>
    <row r="204" spans="2:18" x14ac:dyDescent="0.65">
      <c r="B204" s="182" t="s">
        <v>67</v>
      </c>
      <c r="C204" s="158"/>
      <c r="D204" s="146"/>
      <c r="E204" s="146"/>
      <c r="F204" s="146"/>
      <c r="G204" s="146"/>
      <c r="H204" s="146"/>
      <c r="I204" s="146"/>
      <c r="J204" s="146"/>
      <c r="K204" s="146"/>
      <c r="L204" s="146"/>
      <c r="M204" s="151"/>
    </row>
    <row r="205" spans="2:18" x14ac:dyDescent="0.65">
      <c r="B205" s="3" t="s">
        <v>355</v>
      </c>
      <c r="C205" s="158"/>
      <c r="D205" s="146">
        <f>C210</f>
        <v>0</v>
      </c>
      <c r="E205" s="146">
        <f t="shared" ref="E205:M205" si="121">D210</f>
        <v>0</v>
      </c>
      <c r="F205" s="146">
        <f t="shared" si="121"/>
        <v>0</v>
      </c>
      <c r="G205" s="146">
        <f t="shared" si="121"/>
        <v>0</v>
      </c>
      <c r="H205" s="146">
        <f t="shared" si="121"/>
        <v>0</v>
      </c>
      <c r="I205" s="146">
        <f t="shared" si="121"/>
        <v>0</v>
      </c>
      <c r="J205" s="146">
        <f>I210</f>
        <v>0</v>
      </c>
      <c r="K205" s="146">
        <f>J210</f>
        <v>0</v>
      </c>
      <c r="L205" s="146">
        <f>K210</f>
        <v>38143570.006968789</v>
      </c>
      <c r="M205" s="151">
        <f t="shared" si="121"/>
        <v>188360416.14895505</v>
      </c>
    </row>
    <row r="206" spans="2:18" x14ac:dyDescent="0.65">
      <c r="B206" s="3" t="s">
        <v>356</v>
      </c>
      <c r="C206" s="158"/>
      <c r="D206" s="146">
        <f>D205*(((1+'Assumptions-Overall'!$M$15/12)^12)-1)</f>
        <v>0</v>
      </c>
      <c r="E206" s="146">
        <f>E205*(((1+'Assumptions-Overall'!$M$15/12)^12)-1)</f>
        <v>0</v>
      </c>
      <c r="F206" s="146">
        <f>F205*(((1+'Assumptions-Overall'!$M$15/12)^12)-1)</f>
        <v>0</v>
      </c>
      <c r="G206" s="146">
        <f>G205*(((1+'Assumptions-Overall'!$M$15/12)^12)-1)</f>
        <v>0</v>
      </c>
      <c r="H206" s="146">
        <f>H205*(((1+'Assumptions-Overall'!$M$15/12)^12)-1)</f>
        <v>0</v>
      </c>
      <c r="I206" s="146">
        <f>I205*(((1+'Assumptions-Overall'!$M$15/12)^12)-1)</f>
        <v>0</v>
      </c>
      <c r="J206" s="146">
        <f>J205*(((1+'Assumptions-Overall'!$M$15/12)^12)-1)</f>
        <v>0</v>
      </c>
      <c r="K206" s="146">
        <f>K205*(((1+'Assumptions-Overall'!$M$15/12)^12)-1)</f>
        <v>0</v>
      </c>
      <c r="L206" s="146">
        <f>L205*(((1+'Assumptions-Overall'!$M$15/12)^12)-1)</f>
        <v>1951497.433541287</v>
      </c>
      <c r="M206" s="151">
        <f>M205*(((1+'Assumptions-Overall'!$M$15/12)^12)-1)</f>
        <v>9636876.3759736493</v>
      </c>
    </row>
    <row r="207" spans="2:18" x14ac:dyDescent="0.65">
      <c r="B207" s="3" t="s">
        <v>357</v>
      </c>
      <c r="C207" s="158"/>
      <c r="D207" s="146">
        <f>D200</f>
        <v>0</v>
      </c>
      <c r="E207" s="146">
        <f t="shared" ref="E207:M207" si="122">E200</f>
        <v>0</v>
      </c>
      <c r="F207" s="146">
        <f t="shared" si="122"/>
        <v>0</v>
      </c>
      <c r="G207" s="146">
        <f t="shared" si="122"/>
        <v>0</v>
      </c>
      <c r="H207" s="146">
        <f t="shared" si="122"/>
        <v>0</v>
      </c>
      <c r="I207" s="146">
        <f t="shared" si="122"/>
        <v>0</v>
      </c>
      <c r="J207" s="146">
        <f t="shared" si="122"/>
        <v>0</v>
      </c>
      <c r="K207" s="146">
        <f t="shared" si="122"/>
        <v>38143570.006968789</v>
      </c>
      <c r="L207" s="146">
        <f t="shared" si="122"/>
        <v>148265348.70844498</v>
      </c>
      <c r="M207" s="151">
        <f t="shared" si="122"/>
        <v>0</v>
      </c>
    </row>
    <row r="208" spans="2:18" x14ac:dyDescent="0.65">
      <c r="B208" s="3" t="s">
        <v>368</v>
      </c>
      <c r="C208" s="158"/>
      <c r="D208" s="146">
        <f>-(D205&lt;&gt;0)*D202*$Q164/SUM($Q163:$Q164)</f>
        <v>0</v>
      </c>
      <c r="E208" s="146">
        <f t="shared" ref="E208:M208" si="123">-(E205&lt;&gt;0)*E202*$Q164/SUM($Q163:$Q164)</f>
        <v>0</v>
      </c>
      <c r="F208" s="146">
        <f t="shared" si="123"/>
        <v>0</v>
      </c>
      <c r="G208" s="146">
        <f t="shared" si="123"/>
        <v>0</v>
      </c>
      <c r="H208" s="146">
        <f t="shared" si="123"/>
        <v>0</v>
      </c>
      <c r="I208" s="146">
        <f t="shared" si="123"/>
        <v>0</v>
      </c>
      <c r="J208" s="146">
        <f t="shared" si="123"/>
        <v>0</v>
      </c>
      <c r="K208" s="146">
        <f t="shared" si="123"/>
        <v>0</v>
      </c>
      <c r="L208" s="146">
        <f t="shared" si="123"/>
        <v>0</v>
      </c>
      <c r="M208" s="151">
        <f t="shared" si="123"/>
        <v>0</v>
      </c>
    </row>
    <row r="209" spans="2:13" x14ac:dyDescent="0.65">
      <c r="B209" s="3" t="s">
        <v>359</v>
      </c>
      <c r="C209" s="158"/>
      <c r="D209" s="146">
        <f t="shared" ref="D209:M209" si="124">-(D$8=YEAR(PhaseIIIRefi-1))*SUM(D205:D208)</f>
        <v>0</v>
      </c>
      <c r="E209" s="146">
        <f t="shared" si="124"/>
        <v>0</v>
      </c>
      <c r="F209" s="146">
        <f t="shared" si="124"/>
        <v>0</v>
      </c>
      <c r="G209" s="146">
        <f t="shared" si="124"/>
        <v>0</v>
      </c>
      <c r="H209" s="146">
        <f t="shared" si="124"/>
        <v>0</v>
      </c>
      <c r="I209" s="146">
        <f t="shared" si="124"/>
        <v>0</v>
      </c>
      <c r="J209" s="146">
        <f t="shared" si="124"/>
        <v>0</v>
      </c>
      <c r="K209" s="146">
        <f t="shared" si="124"/>
        <v>0</v>
      </c>
      <c r="L209" s="146">
        <f t="shared" si="124"/>
        <v>0</v>
      </c>
      <c r="M209" s="151">
        <f t="shared" si="124"/>
        <v>-197997292.52492869</v>
      </c>
    </row>
    <row r="210" spans="2:13" x14ac:dyDescent="0.65">
      <c r="B210" s="3" t="s">
        <v>358</v>
      </c>
      <c r="C210" s="158"/>
      <c r="D210" s="146">
        <f>SUM(D205:D209)</f>
        <v>0</v>
      </c>
      <c r="E210" s="146">
        <f t="shared" ref="E210" si="125">SUM(E205:E209)</f>
        <v>0</v>
      </c>
      <c r="F210" s="146">
        <f t="shared" ref="F210" si="126">SUM(F205:F209)</f>
        <v>0</v>
      </c>
      <c r="G210" s="146">
        <f t="shared" ref="G210" si="127">SUM(G205:G209)</f>
        <v>0</v>
      </c>
      <c r="H210" s="146">
        <f t="shared" ref="H210" si="128">SUM(H205:H209)</f>
        <v>0</v>
      </c>
      <c r="I210" s="146">
        <f t="shared" ref="I210" si="129">SUM(I205:I209)</f>
        <v>0</v>
      </c>
      <c r="J210" s="146">
        <f t="shared" ref="J210" si="130">SUM(J205:J209)</f>
        <v>0</v>
      </c>
      <c r="K210" s="146">
        <f t="shared" ref="K210" si="131">SUM(K205:K209)</f>
        <v>38143570.006968789</v>
      </c>
      <c r="L210" s="146">
        <f t="shared" ref="L210" si="132">SUM(L205:L209)</f>
        <v>188360416.14895505</v>
      </c>
      <c r="M210" s="151">
        <f t="shared" ref="M210" si="133">SUM(M205:M209)</f>
        <v>0</v>
      </c>
    </row>
    <row r="211" spans="2:13" x14ac:dyDescent="0.65">
      <c r="B211" s="3"/>
      <c r="C211" s="158"/>
      <c r="D211" s="146"/>
      <c r="E211" s="146"/>
      <c r="F211" s="146"/>
      <c r="G211" s="146"/>
      <c r="H211" s="146"/>
      <c r="I211" s="146"/>
      <c r="J211" s="146"/>
      <c r="K211" s="146"/>
      <c r="L211" s="146"/>
      <c r="M211" s="151"/>
    </row>
    <row r="212" spans="2:13" x14ac:dyDescent="0.65">
      <c r="B212" s="182" t="s">
        <v>68</v>
      </c>
      <c r="C212" s="158"/>
      <c r="D212" s="146"/>
      <c r="E212" s="146"/>
      <c r="F212" s="146"/>
      <c r="G212" s="146"/>
      <c r="H212" s="146"/>
      <c r="I212" s="146"/>
      <c r="J212" s="146"/>
      <c r="K212" s="146"/>
      <c r="L212" s="146"/>
      <c r="M212" s="151"/>
    </row>
    <row r="213" spans="2:13" x14ac:dyDescent="0.65">
      <c r="B213" s="3" t="s">
        <v>355</v>
      </c>
      <c r="C213" s="158"/>
      <c r="D213" s="146">
        <f>C218</f>
        <v>0</v>
      </c>
      <c r="E213" s="146">
        <f t="shared" ref="E213:M213" si="134">D218</f>
        <v>0</v>
      </c>
      <c r="F213" s="146">
        <f t="shared" si="134"/>
        <v>0</v>
      </c>
      <c r="G213" s="146">
        <f t="shared" si="134"/>
        <v>0</v>
      </c>
      <c r="H213" s="146">
        <f t="shared" si="134"/>
        <v>0</v>
      </c>
      <c r="I213" s="146">
        <f t="shared" si="134"/>
        <v>0</v>
      </c>
      <c r="J213" s="146">
        <f t="shared" si="134"/>
        <v>0</v>
      </c>
      <c r="K213" s="146">
        <f t="shared" si="134"/>
        <v>0</v>
      </c>
      <c r="L213" s="146">
        <f t="shared" si="134"/>
        <v>57356590.373973466</v>
      </c>
      <c r="M213" s="151">
        <f t="shared" si="134"/>
        <v>64630841.676419698</v>
      </c>
    </row>
    <row r="214" spans="2:13" x14ac:dyDescent="0.65">
      <c r="B214" s="3" t="s">
        <v>356</v>
      </c>
      <c r="C214" s="158"/>
      <c r="D214" s="146">
        <f>D213*(((1+'Assumptions-Overall'!$M$16/12)^12)-1)</f>
        <v>0</v>
      </c>
      <c r="E214" s="146">
        <f>E213*(((1+'Assumptions-Overall'!$M$16/12)^12)-1)</f>
        <v>0</v>
      </c>
      <c r="F214" s="146">
        <f>F213*(((1+'Assumptions-Overall'!$M$16/12)^12)-1)</f>
        <v>0</v>
      </c>
      <c r="G214" s="146">
        <f>G213*(((1+'Assumptions-Overall'!$M$16/12)^12)-1)</f>
        <v>0</v>
      </c>
      <c r="H214" s="146">
        <f>H213*(((1+'Assumptions-Overall'!$M$16/12)^12)-1)</f>
        <v>0</v>
      </c>
      <c r="I214" s="146">
        <f>I213*(((1+'Assumptions-Overall'!$M$16/12)^12)-1)</f>
        <v>0</v>
      </c>
      <c r="J214" s="146">
        <f>J213*(((1+'Assumptions-Overall'!$M$16/12)^12)-1)</f>
        <v>0</v>
      </c>
      <c r="K214" s="146">
        <f>K213*(((1+'Assumptions-Overall'!$M$16/12)^12)-1)</f>
        <v>0</v>
      </c>
      <c r="L214" s="146">
        <f>L213*(((1+'Assumptions-Overall'!$M$16/12)^12)-1)</f>
        <v>7274251.3024462322</v>
      </c>
      <c r="M214" s="151">
        <f>M213*(((1+'Assumptions-Overall'!$M$16/12)^12)-1)</f>
        <v>8196808.4430664964</v>
      </c>
    </row>
    <row r="215" spans="2:13" x14ac:dyDescent="0.65">
      <c r="B215" s="3" t="s">
        <v>357</v>
      </c>
      <c r="C215" s="158"/>
      <c r="D215" s="146">
        <f>D199</f>
        <v>0</v>
      </c>
      <c r="E215" s="146">
        <f t="shared" ref="E215:M215" si="135">E199</f>
        <v>0</v>
      </c>
      <c r="F215" s="146">
        <f t="shared" si="135"/>
        <v>0</v>
      </c>
      <c r="G215" s="146">
        <f t="shared" si="135"/>
        <v>0</v>
      </c>
      <c r="H215" s="146">
        <f t="shared" si="135"/>
        <v>0</v>
      </c>
      <c r="I215" s="146">
        <f t="shared" si="135"/>
        <v>0</v>
      </c>
      <c r="J215" s="146">
        <f t="shared" si="135"/>
        <v>0</v>
      </c>
      <c r="K215" s="146">
        <f t="shared" si="135"/>
        <v>57356590.373973466</v>
      </c>
      <c r="L215" s="146">
        <f t="shared" si="135"/>
        <v>0</v>
      </c>
      <c r="M215" s="151">
        <f t="shared" si="135"/>
        <v>0</v>
      </c>
    </row>
    <row r="216" spans="2:13" x14ac:dyDescent="0.65">
      <c r="B216" s="3" t="s">
        <v>368</v>
      </c>
      <c r="C216" s="158"/>
      <c r="D216" s="146">
        <f>-(D213&lt;&gt;0)*D202*$Q163/SUM($Q163:$Q164)</f>
        <v>0</v>
      </c>
      <c r="E216" s="146">
        <f t="shared" ref="E216:M216" si="136">-(E213&lt;&gt;0)*E202*$Q163/SUM($Q163:$Q164)</f>
        <v>0</v>
      </c>
      <c r="F216" s="146">
        <f t="shared" si="136"/>
        <v>0</v>
      </c>
      <c r="G216" s="146">
        <f t="shared" si="136"/>
        <v>0</v>
      </c>
      <c r="H216" s="146">
        <f t="shared" si="136"/>
        <v>0</v>
      </c>
      <c r="I216" s="180">
        <f t="shared" si="136"/>
        <v>0</v>
      </c>
      <c r="J216" s="146">
        <f t="shared" si="136"/>
        <v>0</v>
      </c>
      <c r="K216" s="146">
        <f t="shared" si="136"/>
        <v>0</v>
      </c>
      <c r="L216" s="146">
        <f t="shared" si="136"/>
        <v>0</v>
      </c>
      <c r="M216" s="151">
        <f t="shared" si="136"/>
        <v>0</v>
      </c>
    </row>
    <row r="217" spans="2:13" x14ac:dyDescent="0.65">
      <c r="B217" s="3" t="s">
        <v>359</v>
      </c>
      <c r="C217" s="158"/>
      <c r="D217" s="146">
        <f t="shared" ref="D217:M217" si="137">-(D$8=YEAR(PhaseIIIRefi-1))*SUM(D213:D216)</f>
        <v>0</v>
      </c>
      <c r="E217" s="146">
        <f t="shared" si="137"/>
        <v>0</v>
      </c>
      <c r="F217" s="146">
        <f t="shared" si="137"/>
        <v>0</v>
      </c>
      <c r="G217" s="146">
        <f t="shared" si="137"/>
        <v>0</v>
      </c>
      <c r="H217" s="146">
        <f t="shared" si="137"/>
        <v>0</v>
      </c>
      <c r="I217" s="146">
        <f t="shared" si="137"/>
        <v>0</v>
      </c>
      <c r="J217" s="146">
        <f t="shared" si="137"/>
        <v>0</v>
      </c>
      <c r="K217" s="146">
        <f t="shared" si="137"/>
        <v>0</v>
      </c>
      <c r="L217" s="146">
        <f t="shared" si="137"/>
        <v>0</v>
      </c>
      <c r="M217" s="151">
        <f t="shared" si="137"/>
        <v>-72827650.119486198</v>
      </c>
    </row>
    <row r="218" spans="2:13" x14ac:dyDescent="0.65">
      <c r="B218" s="3" t="s">
        <v>358</v>
      </c>
      <c r="C218" s="158"/>
      <c r="D218" s="146">
        <f>SUM(D213:D217)</f>
        <v>0</v>
      </c>
      <c r="E218" s="146">
        <f t="shared" ref="E218" si="138">SUM(E213:E217)</f>
        <v>0</v>
      </c>
      <c r="F218" s="146">
        <f t="shared" ref="F218" si="139">SUM(F213:F217)</f>
        <v>0</v>
      </c>
      <c r="G218" s="146">
        <f t="shared" ref="G218" si="140">SUM(G213:G217)</f>
        <v>0</v>
      </c>
      <c r="H218" s="146">
        <f t="shared" ref="H218" si="141">SUM(H213:H217)</f>
        <v>0</v>
      </c>
      <c r="I218" s="146">
        <f t="shared" ref="I218" si="142">SUM(I213:I217)</f>
        <v>0</v>
      </c>
      <c r="J218" s="146">
        <f t="shared" ref="J218" si="143">SUM(J213:J217)</f>
        <v>0</v>
      </c>
      <c r="K218" s="146">
        <f t="shared" ref="K218" si="144">SUM(K213:K217)</f>
        <v>57356590.373973466</v>
      </c>
      <c r="L218" s="146">
        <f t="shared" ref="L218" si="145">SUM(L213:L217)</f>
        <v>64630841.676419698</v>
      </c>
      <c r="M218" s="151">
        <f t="shared" ref="M218" si="146">SUM(M213:M217)</f>
        <v>0</v>
      </c>
    </row>
    <row r="219" spans="2:13" x14ac:dyDescent="0.65">
      <c r="B219" s="3"/>
      <c r="C219" s="158"/>
      <c r="D219" s="146"/>
      <c r="E219" s="146"/>
      <c r="F219" s="146"/>
      <c r="G219" s="146"/>
      <c r="H219" s="146"/>
      <c r="I219" s="146"/>
      <c r="J219" s="146"/>
      <c r="K219" s="146"/>
      <c r="L219" s="146"/>
      <c r="M219" s="151"/>
    </row>
    <row r="220" spans="2:13" x14ac:dyDescent="0.65">
      <c r="B220" s="36" t="s">
        <v>70</v>
      </c>
      <c r="C220" s="158"/>
      <c r="D220" s="146"/>
      <c r="E220" s="146"/>
      <c r="F220" s="146"/>
      <c r="G220" s="146"/>
      <c r="H220" s="146"/>
      <c r="I220" s="146"/>
      <c r="J220" s="146"/>
      <c r="K220" s="146"/>
      <c r="L220" s="146"/>
      <c r="M220" s="151"/>
    </row>
    <row r="221" spans="2:13" x14ac:dyDescent="0.65">
      <c r="B221" s="3"/>
      <c r="C221" s="158"/>
      <c r="D221" s="146"/>
      <c r="E221" s="146"/>
      <c r="F221" s="146"/>
      <c r="G221" s="146"/>
      <c r="H221" s="146"/>
      <c r="I221" s="146"/>
      <c r="J221" s="146"/>
      <c r="K221" s="146"/>
      <c r="L221" s="146"/>
      <c r="M221" s="151"/>
    </row>
    <row r="222" spans="2:13" x14ac:dyDescent="0.65">
      <c r="B222" s="182" t="s">
        <v>67</v>
      </c>
      <c r="C222" s="158"/>
      <c r="D222" s="146"/>
      <c r="E222" s="146"/>
      <c r="F222" s="146"/>
      <c r="G222" s="146"/>
      <c r="H222" s="146"/>
      <c r="I222" s="146"/>
      <c r="J222" s="146"/>
      <c r="K222" s="146"/>
      <c r="L222" s="146"/>
      <c r="M222" s="151"/>
    </row>
    <row r="223" spans="2:13" x14ac:dyDescent="0.65">
      <c r="B223" s="3" t="s">
        <v>373</v>
      </c>
      <c r="C223" s="158"/>
      <c r="D223" s="146">
        <f t="shared" ref="D223:M223" si="147">-(D$8=YEAR(PhaseIIIRefi-1))*$R197</f>
        <v>0</v>
      </c>
      <c r="E223" s="146">
        <f t="shared" si="147"/>
        <v>0</v>
      </c>
      <c r="F223" s="146">
        <f t="shared" si="147"/>
        <v>0</v>
      </c>
      <c r="G223" s="146">
        <f t="shared" si="147"/>
        <v>0</v>
      </c>
      <c r="H223" s="146">
        <f t="shared" si="147"/>
        <v>0</v>
      </c>
      <c r="I223" s="146">
        <f t="shared" si="147"/>
        <v>0</v>
      </c>
      <c r="J223" s="146">
        <f t="shared" si="147"/>
        <v>0</v>
      </c>
      <c r="K223" s="146">
        <f t="shared" si="147"/>
        <v>0</v>
      </c>
      <c r="L223" s="146">
        <f t="shared" si="147"/>
        <v>0</v>
      </c>
      <c r="M223" s="151">
        <f t="shared" si="147"/>
        <v>0</v>
      </c>
    </row>
    <row r="224" spans="2:13" x14ac:dyDescent="0.65">
      <c r="B224" s="3" t="s">
        <v>377</v>
      </c>
      <c r="C224" s="158"/>
      <c r="D224" s="146">
        <f t="shared" ref="D224:M224" si="148">(D$8=YEAR(PhaseIIIRefi-1))*$R195</f>
        <v>0</v>
      </c>
      <c r="E224" s="146">
        <f t="shared" si="148"/>
        <v>0</v>
      </c>
      <c r="F224" s="146">
        <f t="shared" si="148"/>
        <v>0</v>
      </c>
      <c r="G224" s="146">
        <f t="shared" si="148"/>
        <v>0</v>
      </c>
      <c r="H224" s="146">
        <f t="shared" si="148"/>
        <v>0</v>
      </c>
      <c r="I224" s="146">
        <f t="shared" si="148"/>
        <v>0</v>
      </c>
      <c r="J224" s="146">
        <f t="shared" si="148"/>
        <v>0</v>
      </c>
      <c r="K224" s="146">
        <f t="shared" si="148"/>
        <v>0</v>
      </c>
      <c r="L224" s="146">
        <f t="shared" si="148"/>
        <v>0</v>
      </c>
      <c r="M224" s="151">
        <f t="shared" si="148"/>
        <v>0</v>
      </c>
    </row>
    <row r="225" spans="2:13" x14ac:dyDescent="0.65">
      <c r="B225" s="3" t="s">
        <v>374</v>
      </c>
      <c r="C225" s="158"/>
      <c r="D225" s="146">
        <f t="shared" ref="D225:M225" si="149">(D$8&gt;=YEAR(PhaseIIIRefi))*$R196</f>
        <v>0</v>
      </c>
      <c r="E225" s="146">
        <f t="shared" si="149"/>
        <v>0</v>
      </c>
      <c r="F225" s="146">
        <f t="shared" si="149"/>
        <v>0</v>
      </c>
      <c r="G225" s="146">
        <f t="shared" si="149"/>
        <v>0</v>
      </c>
      <c r="H225" s="146">
        <f t="shared" si="149"/>
        <v>0</v>
      </c>
      <c r="I225" s="146">
        <f t="shared" si="149"/>
        <v>0</v>
      </c>
      <c r="J225" s="146">
        <f t="shared" si="149"/>
        <v>0</v>
      </c>
      <c r="K225" s="146">
        <f t="shared" si="149"/>
        <v>0</v>
      </c>
      <c r="L225" s="146">
        <f t="shared" si="149"/>
        <v>0</v>
      </c>
      <c r="M225" s="151">
        <f t="shared" si="149"/>
        <v>0</v>
      </c>
    </row>
    <row r="226" spans="2:13" x14ac:dyDescent="0.65">
      <c r="B226" s="3" t="s">
        <v>376</v>
      </c>
      <c r="C226" s="158"/>
      <c r="D226" s="146">
        <f>-(D$8=YEAR('Assumptions-Overall'!$C$30))*$R198</f>
        <v>0</v>
      </c>
      <c r="E226" s="146">
        <f>-(E$8=YEAR('Assumptions-Overall'!$C$30))*$R198</f>
        <v>0</v>
      </c>
      <c r="F226" s="146">
        <f>-(F$8=YEAR('Assumptions-Overall'!$C$30))*$R198</f>
        <v>0</v>
      </c>
      <c r="G226" s="146">
        <f>-(G$8=YEAR('Assumptions-Overall'!$C$30))*$R198</f>
        <v>0</v>
      </c>
      <c r="H226" s="146">
        <f>-(H$8=YEAR('Assumptions-Overall'!$C$30))*$R198</f>
        <v>0</v>
      </c>
      <c r="I226" s="146">
        <f>-(I$8=YEAR('Assumptions-Overall'!$C$30))*$R198</f>
        <v>0</v>
      </c>
      <c r="J226" s="146">
        <f>-(J$8=YEAR('Assumptions-Overall'!$C$30))*$R198</f>
        <v>0</v>
      </c>
      <c r="K226" s="146">
        <f>-(K$8=YEAR('Assumptions-Overall'!$C$30))*$R198</f>
        <v>0</v>
      </c>
      <c r="L226" s="146">
        <f>-(L$8=YEAR('Assumptions-Overall'!$C$30))*$R198</f>
        <v>0</v>
      </c>
      <c r="M226" s="151">
        <f>-(M$8=YEAR('Assumptions-Overall'!$C$30))*$R198</f>
        <v>0</v>
      </c>
    </row>
    <row r="227" spans="2:13" x14ac:dyDescent="0.65">
      <c r="B227" s="3"/>
      <c r="C227" s="158"/>
      <c r="D227" s="146"/>
      <c r="E227" s="146"/>
      <c r="F227" s="146"/>
      <c r="G227" s="146"/>
      <c r="H227" s="146"/>
      <c r="I227" s="146"/>
      <c r="J227" s="146"/>
      <c r="K227" s="146"/>
      <c r="L227" s="146"/>
      <c r="M227" s="151"/>
    </row>
    <row r="228" spans="2:13" ht="13" thickBot="1" x14ac:dyDescent="0.8">
      <c r="B228" s="3" t="s">
        <v>378</v>
      </c>
      <c r="C228" s="158"/>
      <c r="D228" s="146">
        <f>D192+D196+D207+D208+D209+D215+D216+D217+D223+D224+D225+D226</f>
        <v>0</v>
      </c>
      <c r="E228" s="146">
        <f t="shared" ref="E228:M228" si="150">E192+E196+E207+E208+E209+E215+E216+E217+E223+E224+E225+E226</f>
        <v>0</v>
      </c>
      <c r="F228" s="146">
        <f t="shared" si="150"/>
        <v>0</v>
      </c>
      <c r="G228" s="146">
        <f t="shared" si="150"/>
        <v>0</v>
      </c>
      <c r="H228" s="146">
        <f t="shared" si="150"/>
        <v>0</v>
      </c>
      <c r="I228" s="146">
        <f t="shared" si="150"/>
        <v>-8468744.1306473799</v>
      </c>
      <c r="J228" s="146">
        <f t="shared" si="150"/>
        <v>-8468744.1306473799</v>
      </c>
      <c r="K228" s="146">
        <f t="shared" si="150"/>
        <v>-26079954.519185327</v>
      </c>
      <c r="L228" s="146">
        <f t="shared" si="150"/>
        <v>0</v>
      </c>
      <c r="M228" s="151">
        <f t="shared" si="150"/>
        <v>204260944.16615063</v>
      </c>
    </row>
    <row r="229" spans="2:13" ht="13" thickBot="1" x14ac:dyDescent="0.8">
      <c r="B229" s="143" t="s">
        <v>380</v>
      </c>
      <c r="C229" s="181">
        <f>IFERROR(IRR(D228:M228),"n/a")</f>
        <v>0.74879082303328603</v>
      </c>
      <c r="D229" s="146"/>
      <c r="E229" s="146"/>
      <c r="F229" s="146"/>
      <c r="G229" s="146"/>
      <c r="H229" s="146"/>
      <c r="I229" s="146"/>
      <c r="J229" s="146"/>
      <c r="K229" s="146"/>
      <c r="L229" s="146"/>
      <c r="M229" s="151"/>
    </row>
    <row r="230" spans="2:13" ht="13" thickBot="1" x14ac:dyDescent="0.8">
      <c r="B230" s="143" t="s">
        <v>379</v>
      </c>
      <c r="C230" s="193">
        <f>-SUMIF(D228:M228,"&gt;"&amp;0)/SUMIF(D228:M228,"&lt;"&amp;0)</f>
        <v>4.7483283748060821</v>
      </c>
      <c r="D230" s="178"/>
      <c r="E230" s="178"/>
      <c r="F230" s="178"/>
      <c r="G230" s="178"/>
      <c r="H230" s="178"/>
      <c r="I230" s="178"/>
      <c r="J230" s="178"/>
      <c r="K230" s="178"/>
      <c r="L230" s="178"/>
      <c r="M230" s="167"/>
    </row>
    <row r="231" spans="2:13" x14ac:dyDescent="0.65">
      <c r="B231" s="154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6"/>
    </row>
    <row r="232" spans="2:13" x14ac:dyDescent="0.65">
      <c r="B232" s="147" t="s">
        <v>337</v>
      </c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9"/>
    </row>
    <row r="233" spans="2:13" x14ac:dyDescent="0.65">
      <c r="B233" s="3"/>
      <c r="C233" s="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9"/>
    </row>
    <row r="234" spans="2:13" x14ac:dyDescent="0.65">
      <c r="B234" s="36" t="s">
        <v>272</v>
      </c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9"/>
    </row>
    <row r="235" spans="2:13" x14ac:dyDescent="0.65">
      <c r="B235" s="3" t="s">
        <v>273</v>
      </c>
      <c r="C235" s="8"/>
      <c r="D235" s="146">
        <f t="shared" ref="D235:M235" si="151">D13+D87+D161</f>
        <v>0</v>
      </c>
      <c r="E235" s="146">
        <f t="shared" si="151"/>
        <v>0</v>
      </c>
      <c r="F235" s="146">
        <f t="shared" si="151"/>
        <v>0</v>
      </c>
      <c r="G235" s="146">
        <f t="shared" si="151"/>
        <v>778043.8743469062</v>
      </c>
      <c r="H235" s="146">
        <f t="shared" si="151"/>
        <v>12672763.849873086</v>
      </c>
      <c r="I235" s="146">
        <f t="shared" si="151"/>
        <v>16623728.369542778</v>
      </c>
      <c r="J235" s="146">
        <f t="shared" si="151"/>
        <v>17122440.220629055</v>
      </c>
      <c r="K235" s="146">
        <f t="shared" si="151"/>
        <v>17636113.42724793</v>
      </c>
      <c r="L235" s="146">
        <f t="shared" si="151"/>
        <v>18165196.830065373</v>
      </c>
      <c r="M235" s="151">
        <f t="shared" si="151"/>
        <v>20662522.922621358</v>
      </c>
    </row>
    <row r="236" spans="2:13" x14ac:dyDescent="0.65">
      <c r="B236" s="56" t="s">
        <v>47</v>
      </c>
      <c r="C236" s="8"/>
      <c r="D236" s="146">
        <f t="shared" ref="D236:M236" si="152">D14+D88+D162</f>
        <v>0</v>
      </c>
      <c r="E236" s="146">
        <f t="shared" si="152"/>
        <v>0</v>
      </c>
      <c r="F236" s="146">
        <f t="shared" si="152"/>
        <v>0</v>
      </c>
      <c r="G236" s="146">
        <f t="shared" si="152"/>
        <v>11120868.442589998</v>
      </c>
      <c r="H236" s="146">
        <f t="shared" si="152"/>
        <v>14737051.29491375</v>
      </c>
      <c r="I236" s="146">
        <f t="shared" si="152"/>
        <v>15179162.833761161</v>
      </c>
      <c r="J236" s="146">
        <f t="shared" si="152"/>
        <v>15634537.718774</v>
      </c>
      <c r="K236" s="146">
        <f t="shared" si="152"/>
        <v>16103573.850337222</v>
      </c>
      <c r="L236" s="146">
        <f t="shared" si="152"/>
        <v>16586681.065847335</v>
      </c>
      <c r="M236" s="151">
        <f t="shared" si="152"/>
        <v>25397521.320388824</v>
      </c>
    </row>
    <row r="237" spans="2:13" x14ac:dyDescent="0.65">
      <c r="B237" s="56" t="s">
        <v>30</v>
      </c>
      <c r="C237" s="8"/>
      <c r="D237" s="146">
        <f t="shared" ref="D237:M237" si="153">D15+D89+D163</f>
        <v>0</v>
      </c>
      <c r="E237" s="146">
        <f t="shared" si="153"/>
        <v>0</v>
      </c>
      <c r="F237" s="146">
        <f t="shared" si="153"/>
        <v>0</v>
      </c>
      <c r="G237" s="146">
        <f t="shared" si="153"/>
        <v>3000802.9597746003</v>
      </c>
      <c r="H237" s="146">
        <f t="shared" si="153"/>
        <v>5583429.5070902873</v>
      </c>
      <c r="I237" s="146">
        <f t="shared" si="153"/>
        <v>5750932.3923029965</v>
      </c>
      <c r="J237" s="146">
        <f t="shared" si="153"/>
        <v>5923460.3640720854</v>
      </c>
      <c r="K237" s="146">
        <f t="shared" si="153"/>
        <v>6101164.1749942489</v>
      </c>
      <c r="L237" s="146">
        <f t="shared" si="153"/>
        <v>6284199.100244076</v>
      </c>
      <c r="M237" s="151">
        <f t="shared" si="153"/>
        <v>8535571.4768854324</v>
      </c>
    </row>
    <row r="238" spans="2:13" x14ac:dyDescent="0.65">
      <c r="B238" s="3" t="s">
        <v>49</v>
      </c>
      <c r="C238" s="8"/>
      <c r="D238" s="146">
        <f t="shared" ref="D238:M238" si="154">D16+D90+D164</f>
        <v>0</v>
      </c>
      <c r="E238" s="146">
        <f t="shared" si="154"/>
        <v>0</v>
      </c>
      <c r="F238" s="146">
        <f t="shared" si="154"/>
        <v>0</v>
      </c>
      <c r="G238" s="146">
        <f t="shared" si="154"/>
        <v>0</v>
      </c>
      <c r="H238" s="146">
        <f t="shared" si="154"/>
        <v>26148807.604457784</v>
      </c>
      <c r="I238" s="146">
        <f t="shared" si="154"/>
        <v>27147501.479153663</v>
      </c>
      <c r="J238" s="146">
        <f t="shared" si="154"/>
        <v>27741269.987569265</v>
      </c>
      <c r="K238" s="146">
        <f t="shared" si="154"/>
        <v>28573508.08719635</v>
      </c>
      <c r="L238" s="146">
        <f t="shared" si="154"/>
        <v>29430713.329812236</v>
      </c>
      <c r="M238" s="151">
        <f t="shared" si="154"/>
        <v>53274521.584548965</v>
      </c>
    </row>
    <row r="239" spans="2:13" x14ac:dyDescent="0.65">
      <c r="B239" s="56" t="s">
        <v>274</v>
      </c>
      <c r="C239" s="8"/>
      <c r="D239" s="144">
        <f t="shared" ref="D239:M239" si="155">D17+D91+D165</f>
        <v>0</v>
      </c>
      <c r="E239" s="144">
        <f t="shared" si="155"/>
        <v>0</v>
      </c>
      <c r="F239" s="144">
        <f t="shared" si="155"/>
        <v>0</v>
      </c>
      <c r="G239" s="144">
        <f t="shared" si="155"/>
        <v>139875</v>
      </c>
      <c r="H239" s="144">
        <f t="shared" si="155"/>
        <v>144071.25</v>
      </c>
      <c r="I239" s="144">
        <f t="shared" si="155"/>
        <v>148393.38750000001</v>
      </c>
      <c r="J239" s="144">
        <f t="shared" si="155"/>
        <v>152845.189125</v>
      </c>
      <c r="K239" s="144">
        <f t="shared" si="155"/>
        <v>157430.54479875002</v>
      </c>
      <c r="L239" s="144">
        <f t="shared" si="155"/>
        <v>162153.46114271253</v>
      </c>
      <c r="M239" s="152">
        <f t="shared" si="155"/>
        <v>352094.06497699389</v>
      </c>
    </row>
    <row r="240" spans="2:13" x14ac:dyDescent="0.65">
      <c r="B240" s="3" t="s">
        <v>481</v>
      </c>
      <c r="C240" s="8"/>
      <c r="D240" s="146">
        <f>D18+D92+D166</f>
        <v>0</v>
      </c>
      <c r="E240" s="146">
        <f t="shared" ref="E240:M240" si="156">E18+E92+E166</f>
        <v>0</v>
      </c>
      <c r="F240" s="146">
        <f t="shared" si="156"/>
        <v>0</v>
      </c>
      <c r="G240" s="146">
        <f t="shared" si="156"/>
        <v>0</v>
      </c>
      <c r="H240" s="146">
        <f t="shared" si="156"/>
        <v>13376090</v>
      </c>
      <c r="I240" s="146">
        <f t="shared" si="156"/>
        <v>13777372.699999999</v>
      </c>
      <c r="J240" s="146">
        <f t="shared" si="156"/>
        <v>14190693.880999999</v>
      </c>
      <c r="K240" s="146">
        <f t="shared" si="156"/>
        <v>14616414.697430002</v>
      </c>
      <c r="L240" s="146">
        <f t="shared" si="156"/>
        <v>15054907.138352901</v>
      </c>
      <c r="M240" s="151">
        <f t="shared" si="156"/>
        <v>17334744.352503486</v>
      </c>
    </row>
    <row r="241" spans="2:13" x14ac:dyDescent="0.65">
      <c r="B241" s="391" t="s">
        <v>275</v>
      </c>
      <c r="C241" s="366"/>
      <c r="D241" s="450">
        <f>SUM(D235:D240)</f>
        <v>0</v>
      </c>
      <c r="E241" s="450">
        <f>SUM(E235:E240)</f>
        <v>0</v>
      </c>
      <c r="F241" s="450">
        <f t="shared" ref="F241:M241" si="157">SUM(F235:F240)</f>
        <v>0</v>
      </c>
      <c r="G241" s="450">
        <f t="shared" si="157"/>
        <v>15039590.276711505</v>
      </c>
      <c r="H241" s="450">
        <f t="shared" si="157"/>
        <v>72662213.506334901</v>
      </c>
      <c r="I241" s="450">
        <f t="shared" si="157"/>
        <v>78627091.162260607</v>
      </c>
      <c r="J241" s="450">
        <f t="shared" si="157"/>
        <v>80765247.361169413</v>
      </c>
      <c r="K241" s="450">
        <f t="shared" si="157"/>
        <v>83188204.78200449</v>
      </c>
      <c r="L241" s="450">
        <f t="shared" si="157"/>
        <v>85683850.92546463</v>
      </c>
      <c r="M241" s="450">
        <f t="shared" si="157"/>
        <v>125556975.72192505</v>
      </c>
    </row>
    <row r="242" spans="2:13" x14ac:dyDescent="0.65">
      <c r="B242" s="3" t="s">
        <v>280</v>
      </c>
      <c r="C242" s="8"/>
      <c r="D242" s="146">
        <f t="shared" ref="D242:M242" si="158">D20+D94+D168</f>
        <v>0</v>
      </c>
      <c r="E242" s="146">
        <f t="shared" si="158"/>
        <v>0</v>
      </c>
      <c r="F242" s="146">
        <f t="shared" si="158"/>
        <v>0</v>
      </c>
      <c r="G242" s="146">
        <f t="shared" si="158"/>
        <v>-46165890</v>
      </c>
      <c r="H242" s="146">
        <f t="shared" si="158"/>
        <v>0</v>
      </c>
      <c r="I242" s="146">
        <f t="shared" si="158"/>
        <v>0</v>
      </c>
      <c r="J242" s="146">
        <f t="shared" si="158"/>
        <v>0</v>
      </c>
      <c r="K242" s="146">
        <f t="shared" si="158"/>
        <v>0</v>
      </c>
      <c r="L242" s="146">
        <f t="shared" si="158"/>
        <v>-23783400</v>
      </c>
      <c r="M242" s="151">
        <f t="shared" si="158"/>
        <v>0</v>
      </c>
    </row>
    <row r="243" spans="2:13" x14ac:dyDescent="0.65">
      <c r="B243" s="3"/>
      <c r="C243" s="8"/>
      <c r="D243" s="146"/>
      <c r="E243" s="146"/>
      <c r="F243" s="146"/>
      <c r="G243" s="146"/>
      <c r="H243" s="146"/>
      <c r="I243" s="146"/>
      <c r="J243" s="146"/>
      <c r="K243" s="146"/>
      <c r="L243" s="146"/>
      <c r="M243" s="151"/>
    </row>
    <row r="244" spans="2:13" x14ac:dyDescent="0.65">
      <c r="B244" s="36" t="s">
        <v>130</v>
      </c>
      <c r="C244" s="8"/>
      <c r="D244" s="146"/>
      <c r="E244" s="146"/>
      <c r="F244" s="146"/>
      <c r="G244" s="146"/>
      <c r="H244" s="146"/>
      <c r="I244" s="146"/>
      <c r="J244" s="146"/>
      <c r="K244" s="146"/>
      <c r="L244" s="146"/>
      <c r="M244" s="151"/>
    </row>
    <row r="245" spans="2:13" x14ac:dyDescent="0.65">
      <c r="B245" s="3" t="s">
        <v>273</v>
      </c>
      <c r="C245" s="8"/>
      <c r="D245" s="146">
        <f t="shared" ref="D245:M245" si="159">D23+D97+D171</f>
        <v>-6994346.575892549</v>
      </c>
      <c r="E245" s="146">
        <f t="shared" si="159"/>
        <v>-7693476.9535789732</v>
      </c>
      <c r="F245" s="146">
        <f t="shared" si="159"/>
        <v>-100288235.07128055</v>
      </c>
      <c r="G245" s="146">
        <f t="shared" si="159"/>
        <v>-103066077.8148116</v>
      </c>
      <c r="H245" s="146">
        <f t="shared" si="159"/>
        <v>0</v>
      </c>
      <c r="I245" s="146">
        <f t="shared" si="159"/>
        <v>-1201087.3113322936</v>
      </c>
      <c r="J245" s="146">
        <f t="shared" si="159"/>
        <v>-1201087.3113322936</v>
      </c>
      <c r="K245" s="146">
        <f t="shared" si="159"/>
        <v>-15992802.968133941</v>
      </c>
      <c r="L245" s="146">
        <f t="shared" si="159"/>
        <v>-16436554.43783799</v>
      </c>
      <c r="M245" s="151">
        <f t="shared" si="159"/>
        <v>0</v>
      </c>
    </row>
    <row r="246" spans="2:13" x14ac:dyDescent="0.65">
      <c r="B246" s="3" t="s">
        <v>276</v>
      </c>
      <c r="C246" s="8"/>
      <c r="D246" s="146">
        <f t="shared" ref="D246:M246" si="160">D24+D98+D172</f>
        <v>-3060213.4256081404</v>
      </c>
      <c r="E246" s="146">
        <f t="shared" si="160"/>
        <v>-5581042.5251486581</v>
      </c>
      <c r="F246" s="146">
        <f t="shared" si="160"/>
        <v>-66551919.991448268</v>
      </c>
      <c r="G246" s="146">
        <f t="shared" si="160"/>
        <v>-68381046.315437257</v>
      </c>
      <c r="H246" s="146">
        <f t="shared" si="160"/>
        <v>0</v>
      </c>
      <c r="I246" s="146">
        <f t="shared" si="160"/>
        <v>-640279.29505730327</v>
      </c>
      <c r="J246" s="146">
        <f t="shared" si="160"/>
        <v>-640279.29505730327</v>
      </c>
      <c r="K246" s="146">
        <f t="shared" si="160"/>
        <v>-8525492.2883738484</v>
      </c>
      <c r="L246" s="146">
        <f t="shared" si="160"/>
        <v>-8762048.6781733446</v>
      </c>
      <c r="M246" s="151">
        <f t="shared" si="160"/>
        <v>0</v>
      </c>
    </row>
    <row r="247" spans="2:13" x14ac:dyDescent="0.65">
      <c r="B247" s="3" t="s">
        <v>47</v>
      </c>
      <c r="C247" s="8"/>
      <c r="D247" s="146">
        <f t="shared" ref="D247:M247" si="161">D25+D99+D173</f>
        <v>-458274.4889026499</v>
      </c>
      <c r="E247" s="146">
        <f t="shared" si="161"/>
        <v>-2100768.2712306497</v>
      </c>
      <c r="F247" s="146">
        <f t="shared" si="161"/>
        <v>-23906530.741480649</v>
      </c>
      <c r="G247" s="146">
        <f t="shared" si="161"/>
        <v>-24560703.615588151</v>
      </c>
      <c r="H247" s="146">
        <f t="shared" si="161"/>
        <v>0</v>
      </c>
      <c r="I247" s="146">
        <f t="shared" si="161"/>
        <v>-621304.52643069439</v>
      </c>
      <c r="J247" s="146">
        <f t="shared" si="161"/>
        <v>-621304.52643069439</v>
      </c>
      <c r="K247" s="146">
        <f t="shared" si="161"/>
        <v>-8637196.8449125607</v>
      </c>
      <c r="L247" s="146">
        <f t="shared" si="161"/>
        <v>-8877673.6144670136</v>
      </c>
      <c r="M247" s="151">
        <f t="shared" si="161"/>
        <v>0</v>
      </c>
    </row>
    <row r="248" spans="2:13" x14ac:dyDescent="0.65">
      <c r="B248" s="3" t="s">
        <v>30</v>
      </c>
      <c r="C248" s="8"/>
      <c r="D248" s="146">
        <f t="shared" ref="D248:M248" si="162">D26+D100+D174</f>
        <v>0</v>
      </c>
      <c r="E248" s="146">
        <f t="shared" si="162"/>
        <v>-3294147.9740279596</v>
      </c>
      <c r="F248" s="146">
        <f t="shared" si="162"/>
        <v>-33720391.576502956</v>
      </c>
      <c r="G248" s="146">
        <f t="shared" si="162"/>
        <v>-34633178.884577207</v>
      </c>
      <c r="H248" s="146">
        <f t="shared" si="162"/>
        <v>0</v>
      </c>
      <c r="I248" s="146">
        <f t="shared" si="162"/>
        <v>-1648908.4946723063</v>
      </c>
      <c r="J248" s="146">
        <f t="shared" si="162"/>
        <v>-1648908.4946723063</v>
      </c>
      <c r="K248" s="146">
        <f t="shared" si="162"/>
        <v>-21955663.355168693</v>
      </c>
      <c r="L248" s="146">
        <f t="shared" si="162"/>
        <v>-22564866.000983581</v>
      </c>
      <c r="M248" s="151">
        <f t="shared" si="162"/>
        <v>0</v>
      </c>
    </row>
    <row r="249" spans="2:13" x14ac:dyDescent="0.65">
      <c r="B249" s="3" t="s">
        <v>49</v>
      </c>
      <c r="C249" s="8"/>
      <c r="D249" s="146">
        <f t="shared" ref="D249:M249" si="163">D27+D101+D175</f>
        <v>-2826635.4375</v>
      </c>
      <c r="E249" s="146">
        <f t="shared" si="163"/>
        <v>-2826635.4375</v>
      </c>
      <c r="F249" s="146">
        <f t="shared" si="163"/>
        <v>-37637416.6875</v>
      </c>
      <c r="G249" s="146">
        <f t="shared" si="163"/>
        <v>-38681740.125</v>
      </c>
      <c r="H249" s="146">
        <f t="shared" si="163"/>
        <v>0</v>
      </c>
      <c r="I249" s="146">
        <f t="shared" si="163"/>
        <v>-4442707.3731613215</v>
      </c>
      <c r="J249" s="146">
        <f t="shared" si="163"/>
        <v>-4442707.3731613215</v>
      </c>
      <c r="K249" s="146">
        <f t="shared" si="163"/>
        <v>-59155852.362832762</v>
      </c>
      <c r="L249" s="146">
        <f t="shared" si="163"/>
        <v>-60797246.712522902</v>
      </c>
      <c r="M249" s="151">
        <f t="shared" si="163"/>
        <v>0</v>
      </c>
    </row>
    <row r="250" spans="2:13" x14ac:dyDescent="0.65">
      <c r="B250" s="3" t="s">
        <v>274</v>
      </c>
      <c r="C250" s="8"/>
      <c r="D250" s="146">
        <f t="shared" ref="D250:M250" si="164">D28+D102+D176</f>
        <v>0</v>
      </c>
      <c r="E250" s="146">
        <f t="shared" si="164"/>
        <v>0</v>
      </c>
      <c r="F250" s="146">
        <f t="shared" si="164"/>
        <v>-2808129.87</v>
      </c>
      <c r="G250" s="146">
        <f t="shared" si="164"/>
        <v>-2808129.87</v>
      </c>
      <c r="H250" s="146">
        <f t="shared" si="164"/>
        <v>0</v>
      </c>
      <c r="I250" s="146">
        <f t="shared" si="164"/>
        <v>0</v>
      </c>
      <c r="J250" s="146">
        <f t="shared" si="164"/>
        <v>0</v>
      </c>
      <c r="K250" s="146">
        <f t="shared" si="164"/>
        <v>-6058015.1100000003</v>
      </c>
      <c r="L250" s="146">
        <f t="shared" si="164"/>
        <v>-6058015.1100000003</v>
      </c>
      <c r="M250" s="151">
        <f t="shared" si="164"/>
        <v>0</v>
      </c>
    </row>
    <row r="251" spans="2:13" x14ac:dyDescent="0.65">
      <c r="B251" s="56" t="s">
        <v>277</v>
      </c>
      <c r="C251" s="8"/>
      <c r="D251" s="144">
        <f t="shared" ref="D251:M251" si="165">D29+D103+D177</f>
        <v>0</v>
      </c>
      <c r="E251" s="144">
        <f t="shared" si="165"/>
        <v>0</v>
      </c>
      <c r="F251" s="144">
        <f t="shared" si="165"/>
        <v>-41857234.530303031</v>
      </c>
      <c r="G251" s="144">
        <f t="shared" si="165"/>
        <v>-41857234.530303031</v>
      </c>
      <c r="H251" s="144">
        <f t="shared" si="165"/>
        <v>0</v>
      </c>
      <c r="I251" s="144">
        <f t="shared" si="165"/>
        <v>0</v>
      </c>
      <c r="J251" s="144">
        <f t="shared" si="165"/>
        <v>0</v>
      </c>
      <c r="K251" s="144">
        <f t="shared" si="165"/>
        <v>-2483173.9393939395</v>
      </c>
      <c r="L251" s="144">
        <f t="shared" si="165"/>
        <v>-2483173.9393939395</v>
      </c>
      <c r="M251" s="152">
        <f t="shared" si="165"/>
        <v>0</v>
      </c>
    </row>
    <row r="252" spans="2:13" x14ac:dyDescent="0.65">
      <c r="B252" s="3" t="s">
        <v>212</v>
      </c>
      <c r="C252" s="8"/>
      <c r="D252" s="146">
        <f>SUM(D245:D251)</f>
        <v>-13339469.927903339</v>
      </c>
      <c r="E252" s="146">
        <f t="shared" ref="E252" si="166">SUM(E245:E251)</f>
        <v>-21496071.161486238</v>
      </c>
      <c r="F252" s="146">
        <f t="shared" ref="F252" si="167">SUM(F245:F251)</f>
        <v>-306769858.46851546</v>
      </c>
      <c r="G252" s="146">
        <f t="shared" ref="G252" si="168">SUM(G245:G251)</f>
        <v>-313988111.15571725</v>
      </c>
      <c r="H252" s="146">
        <f t="shared" ref="H252" si="169">SUM(H245:H251)</f>
        <v>0</v>
      </c>
      <c r="I252" s="146">
        <f t="shared" ref="I252" si="170">SUM(I245:I251)</f>
        <v>-8554287.0006539188</v>
      </c>
      <c r="J252" s="146">
        <f t="shared" ref="J252" si="171">SUM(J245:J251)</f>
        <v>-8554287.0006539188</v>
      </c>
      <c r="K252" s="146">
        <f t="shared" ref="K252" si="172">SUM(K245:K251)</f>
        <v>-122808196.86881573</v>
      </c>
      <c r="L252" s="146">
        <f t="shared" ref="L252" si="173">SUM(L245:L251)</f>
        <v>-125979578.49337877</v>
      </c>
      <c r="M252" s="151">
        <f t="shared" ref="M252" si="174">SUM(M245:M251)</f>
        <v>0</v>
      </c>
    </row>
    <row r="253" spans="2:13" x14ac:dyDescent="0.65">
      <c r="B253" s="3"/>
      <c r="C253" s="8"/>
      <c r="D253" s="146"/>
      <c r="E253" s="146"/>
      <c r="F253" s="146"/>
      <c r="G253" s="146"/>
      <c r="H253" s="128"/>
      <c r="I253" s="146"/>
      <c r="J253" s="146"/>
      <c r="K253" s="146"/>
      <c r="L253" s="146"/>
      <c r="M253" s="151"/>
    </row>
    <row r="254" spans="2:13" x14ac:dyDescent="0.65">
      <c r="B254" s="3" t="s">
        <v>571</v>
      </c>
      <c r="C254" s="8"/>
      <c r="D254" s="146">
        <f t="shared" ref="D254:M254" si="175">D32+D106+D180</f>
        <v>0</v>
      </c>
      <c r="E254" s="146">
        <f t="shared" si="175"/>
        <v>0</v>
      </c>
      <c r="F254" s="146">
        <f t="shared" si="175"/>
        <v>0</v>
      </c>
      <c r="G254" s="146">
        <f t="shared" si="175"/>
        <v>617240</v>
      </c>
      <c r="H254" s="146">
        <f t="shared" si="175"/>
        <v>7252570</v>
      </c>
      <c r="I254" s="146">
        <f t="shared" si="175"/>
        <v>0</v>
      </c>
      <c r="J254" s="146">
        <f t="shared" si="175"/>
        <v>0</v>
      </c>
      <c r="K254" s="146">
        <f t="shared" si="175"/>
        <v>0</v>
      </c>
      <c r="L254" s="146">
        <f t="shared" si="175"/>
        <v>0</v>
      </c>
      <c r="M254" s="151">
        <f t="shared" si="175"/>
        <v>771550</v>
      </c>
    </row>
    <row r="255" spans="2:13" x14ac:dyDescent="0.65">
      <c r="B255" s="3"/>
      <c r="C255" s="8"/>
      <c r="D255" s="146"/>
      <c r="E255" s="146"/>
      <c r="F255" s="146"/>
      <c r="G255" s="146"/>
      <c r="H255" s="128"/>
      <c r="I255" s="146"/>
      <c r="J255" s="146"/>
      <c r="K255" s="146"/>
      <c r="L255" s="146"/>
      <c r="M255" s="151"/>
    </row>
    <row r="256" spans="2:13" x14ac:dyDescent="0.65">
      <c r="B256" s="36" t="s">
        <v>330</v>
      </c>
      <c r="C256" s="8"/>
      <c r="D256" s="146"/>
      <c r="E256" s="146"/>
      <c r="F256" s="146"/>
      <c r="G256" s="146"/>
      <c r="H256" s="146"/>
      <c r="I256" s="146"/>
      <c r="J256" s="146"/>
      <c r="K256" s="146"/>
      <c r="L256" s="146"/>
      <c r="M256" s="151"/>
    </row>
    <row r="257" spans="2:13" x14ac:dyDescent="0.65">
      <c r="B257" s="3" t="s">
        <v>273</v>
      </c>
      <c r="C257" s="8"/>
      <c r="D257" s="146">
        <f t="shared" ref="D257:M257" si="176">D35+D109+D183</f>
        <v>0</v>
      </c>
      <c r="E257" s="146">
        <f t="shared" si="176"/>
        <v>0</v>
      </c>
      <c r="F257" s="146">
        <f t="shared" si="176"/>
        <v>0</v>
      </c>
      <c r="G257" s="146">
        <f t="shared" si="176"/>
        <v>0</v>
      </c>
      <c r="H257" s="146">
        <f t="shared" si="176"/>
        <v>0</v>
      </c>
      <c r="I257" s="146">
        <f t="shared" si="176"/>
        <v>0</v>
      </c>
      <c r="J257" s="146">
        <f t="shared" si="176"/>
        <v>0</v>
      </c>
      <c r="K257" s="146">
        <f t="shared" si="176"/>
        <v>0</v>
      </c>
      <c r="L257" s="146">
        <f t="shared" si="176"/>
        <v>0</v>
      </c>
      <c r="M257" s="151">
        <f t="shared" si="176"/>
        <v>283418596.65917951</v>
      </c>
    </row>
    <row r="258" spans="2:13" x14ac:dyDescent="0.65">
      <c r="B258" s="3" t="s">
        <v>276</v>
      </c>
      <c r="C258" s="8"/>
      <c r="D258" s="146">
        <f t="shared" ref="D258:M258" si="177">D36+D110+D184</f>
        <v>601178.25261282129</v>
      </c>
      <c r="E258" s="146">
        <f t="shared" si="177"/>
        <v>1361821.2749539011</v>
      </c>
      <c r="F258" s="146">
        <f t="shared" si="177"/>
        <v>10076388.972265549</v>
      </c>
      <c r="G258" s="146">
        <f t="shared" si="177"/>
        <v>78103418.574080244</v>
      </c>
      <c r="H258" s="146">
        <f t="shared" si="177"/>
        <v>93576587.074472979</v>
      </c>
      <c r="I258" s="146">
        <f t="shared" si="177"/>
        <v>7522303.322871252</v>
      </c>
      <c r="J258" s="146">
        <f t="shared" si="177"/>
        <v>0</v>
      </c>
      <c r="K258" s="146">
        <f t="shared" si="177"/>
        <v>0</v>
      </c>
      <c r="L258" s="146">
        <f t="shared" si="177"/>
        <v>0</v>
      </c>
      <c r="M258" s="151">
        <f t="shared" si="177"/>
        <v>0</v>
      </c>
    </row>
    <row r="259" spans="2:13" x14ac:dyDescent="0.65">
      <c r="B259" s="3" t="s">
        <v>338</v>
      </c>
      <c r="C259" s="8"/>
      <c r="D259" s="146">
        <f t="shared" ref="D259:M259" si="178">D37+D111+D185</f>
        <v>0</v>
      </c>
      <c r="E259" s="146">
        <f t="shared" si="178"/>
        <v>0</v>
      </c>
      <c r="F259" s="146">
        <f t="shared" si="178"/>
        <v>0</v>
      </c>
      <c r="G259" s="146">
        <f t="shared" si="178"/>
        <v>0</v>
      </c>
      <c r="H259" s="146">
        <f t="shared" si="178"/>
        <v>4714200</v>
      </c>
      <c r="I259" s="146">
        <f t="shared" si="178"/>
        <v>0</v>
      </c>
      <c r="J259" s="146">
        <f t="shared" si="178"/>
        <v>0</v>
      </c>
      <c r="K259" s="146">
        <f t="shared" si="178"/>
        <v>0</v>
      </c>
      <c r="L259" s="146">
        <f t="shared" si="178"/>
        <v>0</v>
      </c>
      <c r="M259" s="151">
        <f t="shared" si="178"/>
        <v>0</v>
      </c>
    </row>
    <row r="260" spans="2:13" x14ac:dyDescent="0.65">
      <c r="B260" s="3" t="s">
        <v>47</v>
      </c>
      <c r="C260" s="8"/>
      <c r="D260" s="146">
        <f t="shared" ref="D260:M260" si="179">D38+D112+D186</f>
        <v>0</v>
      </c>
      <c r="E260" s="146">
        <f t="shared" si="179"/>
        <v>0</v>
      </c>
      <c r="F260" s="146">
        <f t="shared" si="179"/>
        <v>0</v>
      </c>
      <c r="G260" s="146">
        <f t="shared" si="179"/>
        <v>0</v>
      </c>
      <c r="H260" s="146">
        <f t="shared" si="179"/>
        <v>0</v>
      </c>
      <c r="I260" s="146">
        <f t="shared" si="179"/>
        <v>0</v>
      </c>
      <c r="J260" s="146">
        <f t="shared" si="179"/>
        <v>0</v>
      </c>
      <c r="K260" s="146">
        <f t="shared" si="179"/>
        <v>0</v>
      </c>
      <c r="L260" s="146">
        <f t="shared" si="179"/>
        <v>0</v>
      </c>
      <c r="M260" s="151">
        <f t="shared" si="179"/>
        <v>312476531.56490982</v>
      </c>
    </row>
    <row r="261" spans="2:13" x14ac:dyDescent="0.65">
      <c r="B261" s="3" t="s">
        <v>30</v>
      </c>
      <c r="C261" s="8"/>
      <c r="D261" s="146">
        <f t="shared" ref="D261:M261" si="180">D39+D113+D187</f>
        <v>0</v>
      </c>
      <c r="E261" s="146">
        <f t="shared" si="180"/>
        <v>0</v>
      </c>
      <c r="F261" s="146">
        <f t="shared" si="180"/>
        <v>0</v>
      </c>
      <c r="G261" s="146">
        <f t="shared" si="180"/>
        <v>0</v>
      </c>
      <c r="H261" s="146">
        <f t="shared" si="180"/>
        <v>0</v>
      </c>
      <c r="I261" s="146">
        <f t="shared" si="180"/>
        <v>0</v>
      </c>
      <c r="J261" s="146">
        <f t="shared" si="180"/>
        <v>0</v>
      </c>
      <c r="K261" s="146">
        <f t="shared" si="180"/>
        <v>0</v>
      </c>
      <c r="L261" s="146">
        <f t="shared" si="180"/>
        <v>0</v>
      </c>
      <c r="M261" s="151">
        <f t="shared" si="180"/>
        <v>105762327.29084894</v>
      </c>
    </row>
    <row r="262" spans="2:13" x14ac:dyDescent="0.65">
      <c r="B262" s="3" t="s">
        <v>49</v>
      </c>
      <c r="C262" s="8"/>
      <c r="D262" s="146">
        <f t="shared" ref="D262:M262" si="181">D40+D114+D188</f>
        <v>0</v>
      </c>
      <c r="E262" s="146">
        <f t="shared" si="181"/>
        <v>0</v>
      </c>
      <c r="F262" s="146">
        <f t="shared" si="181"/>
        <v>0</v>
      </c>
      <c r="G262" s="146">
        <f t="shared" si="181"/>
        <v>0</v>
      </c>
      <c r="H262" s="146">
        <f t="shared" si="181"/>
        <v>0</v>
      </c>
      <c r="I262" s="146">
        <f t="shared" si="181"/>
        <v>0</v>
      </c>
      <c r="J262" s="146">
        <f t="shared" si="181"/>
        <v>0</v>
      </c>
      <c r="K262" s="146">
        <f t="shared" si="181"/>
        <v>0</v>
      </c>
      <c r="L262" s="146">
        <f t="shared" si="181"/>
        <v>0</v>
      </c>
      <c r="M262" s="151">
        <f t="shared" si="181"/>
        <v>344994659.49953681</v>
      </c>
    </row>
    <row r="263" spans="2:13" x14ac:dyDescent="0.65">
      <c r="B263" s="3" t="s">
        <v>274</v>
      </c>
      <c r="C263" s="8"/>
      <c r="D263" s="144">
        <f t="shared" ref="D263:M263" si="182">D41+D115+D189</f>
        <v>0</v>
      </c>
      <c r="E263" s="144">
        <f t="shared" si="182"/>
        <v>0</v>
      </c>
      <c r="F263" s="144">
        <f t="shared" si="182"/>
        <v>0</v>
      </c>
      <c r="G263" s="144">
        <f t="shared" si="182"/>
        <v>0</v>
      </c>
      <c r="H263" s="144">
        <f t="shared" si="182"/>
        <v>0</v>
      </c>
      <c r="I263" s="144">
        <f t="shared" si="182"/>
        <v>0</v>
      </c>
      <c r="J263" s="144">
        <f t="shared" si="182"/>
        <v>0</v>
      </c>
      <c r="K263" s="144">
        <f t="shared" si="182"/>
        <v>0</v>
      </c>
      <c r="L263" s="144">
        <f t="shared" si="182"/>
        <v>0</v>
      </c>
      <c r="M263" s="152">
        <f t="shared" si="182"/>
        <v>11665417.159592588</v>
      </c>
    </row>
    <row r="264" spans="2:13" x14ac:dyDescent="0.65">
      <c r="B264" s="3" t="s">
        <v>331</v>
      </c>
      <c r="C264" s="8"/>
      <c r="D264" s="146">
        <f>SUM(D257:D263)</f>
        <v>601178.25261282129</v>
      </c>
      <c r="E264" s="146">
        <f t="shared" ref="E264:M264" si="183">SUM(E257:E263)</f>
        <v>1361821.2749539011</v>
      </c>
      <c r="F264" s="146">
        <f t="shared" si="183"/>
        <v>10076388.972265549</v>
      </c>
      <c r="G264" s="146">
        <f t="shared" si="183"/>
        <v>78103418.574080244</v>
      </c>
      <c r="H264" s="146">
        <f t="shared" si="183"/>
        <v>98290787.074472979</v>
      </c>
      <c r="I264" s="146">
        <f t="shared" si="183"/>
        <v>7522303.322871252</v>
      </c>
      <c r="J264" s="146">
        <f t="shared" si="183"/>
        <v>0</v>
      </c>
      <c r="K264" s="146">
        <f t="shared" si="183"/>
        <v>0</v>
      </c>
      <c r="L264" s="146">
        <f t="shared" si="183"/>
        <v>0</v>
      </c>
      <c r="M264" s="151">
        <f t="shared" si="183"/>
        <v>1058317532.1740677</v>
      </c>
    </row>
    <row r="265" spans="2:13" x14ac:dyDescent="0.65">
      <c r="B265" s="3"/>
      <c r="C265" s="8"/>
      <c r="D265" s="146"/>
      <c r="E265" s="146"/>
      <c r="F265" s="146"/>
      <c r="G265" s="146"/>
      <c r="H265" s="146"/>
      <c r="I265" s="146"/>
      <c r="J265" s="146"/>
      <c r="K265" s="146"/>
      <c r="L265" s="146"/>
      <c r="M265" s="151"/>
    </row>
    <row r="266" spans="2:13" ht="13" thickBot="1" x14ac:dyDescent="0.8">
      <c r="B266" s="3" t="s">
        <v>214</v>
      </c>
      <c r="C266" s="8"/>
      <c r="D266" s="146">
        <f t="shared" ref="D266:M266" si="184">D241+D242+D252+D254+D264</f>
        <v>-12738291.675290518</v>
      </c>
      <c r="E266" s="146">
        <f t="shared" si="184"/>
        <v>-20134249.886532336</v>
      </c>
      <c r="F266" s="146">
        <f t="shared" si="184"/>
        <v>-296693469.49624991</v>
      </c>
      <c r="G266" s="146">
        <f t="shared" si="184"/>
        <v>-266393752.3049255</v>
      </c>
      <c r="H266" s="146">
        <f t="shared" si="184"/>
        <v>178205570.58080786</v>
      </c>
      <c r="I266" s="146">
        <f t="shared" si="184"/>
        <v>77595107.484477937</v>
      </c>
      <c r="J266" s="146">
        <f t="shared" si="184"/>
        <v>72210960.36051549</v>
      </c>
      <c r="K266" s="146">
        <f t="shared" si="184"/>
        <v>-39619992.086811244</v>
      </c>
      <c r="L266" s="146">
        <f t="shared" si="184"/>
        <v>-64079127.567914143</v>
      </c>
      <c r="M266" s="151">
        <f t="shared" si="184"/>
        <v>1184646057.8959928</v>
      </c>
    </row>
    <row r="267" spans="2:13" ht="13" thickBot="1" x14ac:dyDescent="0.8">
      <c r="B267" s="143" t="s">
        <v>218</v>
      </c>
      <c r="C267" s="181">
        <f>IFERROR(IRR(D266:M266),"n/a")</f>
        <v>0.17139463717343206</v>
      </c>
      <c r="D267" s="146"/>
      <c r="E267" s="146"/>
      <c r="F267" s="146"/>
      <c r="G267" s="146"/>
      <c r="H267" s="146"/>
      <c r="I267" s="146"/>
      <c r="J267" s="146"/>
      <c r="K267" s="146"/>
      <c r="L267" s="146"/>
      <c r="M267" s="151"/>
    </row>
    <row r="268" spans="2:13" x14ac:dyDescent="0.65">
      <c r="B268" s="3"/>
      <c r="C268" s="158"/>
      <c r="D268" s="146"/>
      <c r="E268" s="146"/>
      <c r="F268" s="146"/>
      <c r="G268" s="146"/>
      <c r="H268" s="146"/>
      <c r="I268" s="146"/>
      <c r="J268" s="146"/>
      <c r="K268" s="146"/>
      <c r="L268" s="146"/>
      <c r="M268" s="151"/>
    </row>
    <row r="269" spans="2:13" x14ac:dyDescent="0.65">
      <c r="B269" s="36" t="s">
        <v>64</v>
      </c>
      <c r="C269" s="158"/>
      <c r="D269" s="146"/>
      <c r="E269" s="146"/>
      <c r="F269" s="146"/>
      <c r="G269" s="146"/>
      <c r="H269" s="146"/>
      <c r="I269" s="146"/>
      <c r="J269" s="146"/>
      <c r="K269" s="146"/>
      <c r="L269" s="146"/>
      <c r="M269" s="151"/>
    </row>
    <row r="270" spans="2:13" x14ac:dyDescent="0.65">
      <c r="B270" s="3" t="s">
        <v>353</v>
      </c>
      <c r="C270" s="158"/>
      <c r="D270" s="146">
        <f>D48+D122+D196</f>
        <v>127382.91675290518</v>
      </c>
      <c r="E270" s="146">
        <f t="shared" ref="E270:M270" si="185">E48+E122+E196</f>
        <v>201342.4988653234</v>
      </c>
      <c r="F270" s="146">
        <f t="shared" si="185"/>
        <v>2966934.6949624992</v>
      </c>
      <c r="G270" s="146">
        <f t="shared" si="185"/>
        <v>2663937.5230492554</v>
      </c>
      <c r="H270" s="146">
        <f t="shared" si="185"/>
        <v>0</v>
      </c>
      <c r="I270" s="146">
        <f t="shared" si="185"/>
        <v>85542.870006539189</v>
      </c>
      <c r="J270" s="146">
        <f t="shared" si="185"/>
        <v>85542.870006539189</v>
      </c>
      <c r="K270" s="146">
        <f t="shared" si="185"/>
        <v>1228081.9686881574</v>
      </c>
      <c r="L270" s="146">
        <f t="shared" si="185"/>
        <v>1497629.7849337875</v>
      </c>
      <c r="M270" s="151">
        <f t="shared" si="185"/>
        <v>0</v>
      </c>
    </row>
    <row r="271" spans="2:13" x14ac:dyDescent="0.65">
      <c r="B271" s="3" t="s">
        <v>349</v>
      </c>
      <c r="C271" s="158"/>
      <c r="D271" s="146">
        <f>D49+D123+D197</f>
        <v>12610908.758537613</v>
      </c>
      <c r="E271" s="146">
        <f t="shared" ref="E271:M271" si="186">E49+E123+E197</f>
        <v>19932907.387667015</v>
      </c>
      <c r="F271" s="146">
        <f t="shared" si="186"/>
        <v>293726534.80128741</v>
      </c>
      <c r="G271" s="146">
        <f t="shared" si="186"/>
        <v>263729814.78187627</v>
      </c>
      <c r="H271" s="146">
        <f t="shared" si="186"/>
        <v>0</v>
      </c>
      <c r="I271" s="146">
        <f t="shared" si="186"/>
        <v>8468744.1306473799</v>
      </c>
      <c r="J271" s="146">
        <f t="shared" si="186"/>
        <v>8468744.1306473799</v>
      </c>
      <c r="K271" s="146">
        <f t="shared" si="186"/>
        <v>121580114.90012757</v>
      </c>
      <c r="L271" s="146">
        <f t="shared" si="186"/>
        <v>148265348.70844498</v>
      </c>
      <c r="M271" s="151">
        <f t="shared" si="186"/>
        <v>0</v>
      </c>
    </row>
    <row r="272" spans="2:13" x14ac:dyDescent="0.65">
      <c r="B272" s="3" t="s">
        <v>350</v>
      </c>
      <c r="C272" s="158"/>
      <c r="D272" s="146">
        <f>D50+D124+D198</f>
        <v>12610908.758537613</v>
      </c>
      <c r="E272" s="146">
        <f t="shared" ref="E272:M272" si="187">E50+E124+E198</f>
        <v>19932907.387667015</v>
      </c>
      <c r="F272" s="146">
        <f t="shared" si="187"/>
        <v>55956208.713200569</v>
      </c>
      <c r="G272" s="146">
        <f t="shared" si="187"/>
        <v>0</v>
      </c>
      <c r="H272" s="146">
        <f t="shared" si="187"/>
        <v>0</v>
      </c>
      <c r="I272" s="146">
        <f t="shared" si="187"/>
        <v>8468744.1306473799</v>
      </c>
      <c r="J272" s="146">
        <f t="shared" si="187"/>
        <v>8468744.1306473799</v>
      </c>
      <c r="K272" s="146">
        <f t="shared" si="187"/>
        <v>26079954.519185312</v>
      </c>
      <c r="L272" s="146">
        <f t="shared" si="187"/>
        <v>0</v>
      </c>
      <c r="M272" s="151">
        <f t="shared" si="187"/>
        <v>0</v>
      </c>
    </row>
    <row r="273" spans="2:13" x14ac:dyDescent="0.65">
      <c r="B273" s="3" t="s">
        <v>351</v>
      </c>
      <c r="C273" s="158"/>
      <c r="D273" s="146">
        <f t="shared" ref="D273:M273" si="188">D51+D125+D199</f>
        <v>0</v>
      </c>
      <c r="E273" s="146">
        <f t="shared" si="188"/>
        <v>0</v>
      </c>
      <c r="F273" s="146">
        <f t="shared" si="188"/>
        <v>122232133.0153366</v>
      </c>
      <c r="G273" s="146">
        <f t="shared" si="188"/>
        <v>0</v>
      </c>
      <c r="H273" s="146">
        <f t="shared" si="188"/>
        <v>0</v>
      </c>
      <c r="I273" s="146">
        <f t="shared" si="188"/>
        <v>0</v>
      </c>
      <c r="J273" s="146">
        <f t="shared" si="188"/>
        <v>0</v>
      </c>
      <c r="K273" s="146">
        <f t="shared" si="188"/>
        <v>57356590.373973466</v>
      </c>
      <c r="L273" s="146">
        <f t="shared" si="188"/>
        <v>0</v>
      </c>
      <c r="M273" s="151">
        <f t="shared" si="188"/>
        <v>0</v>
      </c>
    </row>
    <row r="274" spans="2:13" x14ac:dyDescent="0.65">
      <c r="B274" s="3" t="s">
        <v>352</v>
      </c>
      <c r="C274" s="158"/>
      <c r="D274" s="146">
        <f t="shared" ref="D274:M274" si="189">D52+D126+D200</f>
        <v>0</v>
      </c>
      <c r="E274" s="146">
        <f t="shared" si="189"/>
        <v>0</v>
      </c>
      <c r="F274" s="146">
        <f t="shared" si="189"/>
        <v>115538193.07275021</v>
      </c>
      <c r="G274" s="146">
        <f t="shared" si="189"/>
        <v>263729814.78187627</v>
      </c>
      <c r="H274" s="146">
        <f t="shared" si="189"/>
        <v>0</v>
      </c>
      <c r="I274" s="146">
        <f t="shared" si="189"/>
        <v>0</v>
      </c>
      <c r="J274" s="146">
        <f t="shared" si="189"/>
        <v>0</v>
      </c>
      <c r="K274" s="146">
        <f t="shared" si="189"/>
        <v>38143570.006968789</v>
      </c>
      <c r="L274" s="146">
        <f t="shared" si="189"/>
        <v>148265348.70844498</v>
      </c>
      <c r="M274" s="151">
        <f t="shared" si="189"/>
        <v>0</v>
      </c>
    </row>
    <row r="275" spans="2:13" x14ac:dyDescent="0.65">
      <c r="B275" s="3"/>
      <c r="C275" s="158"/>
      <c r="D275" s="146"/>
      <c r="E275" s="146"/>
      <c r="F275" s="146"/>
      <c r="G275" s="146"/>
      <c r="H275" s="146"/>
      <c r="I275" s="146"/>
      <c r="J275" s="146"/>
      <c r="K275" s="146"/>
      <c r="L275" s="146"/>
      <c r="M275" s="151"/>
    </row>
    <row r="276" spans="2:13" x14ac:dyDescent="0.65">
      <c r="B276" s="3" t="s">
        <v>367</v>
      </c>
      <c r="C276" s="158"/>
      <c r="D276" s="146">
        <f>D54+D128+D202</f>
        <v>0</v>
      </c>
      <c r="E276" s="146">
        <f t="shared" ref="E276:M276" si="190">E54+E128+E202</f>
        <v>0</v>
      </c>
      <c r="F276" s="146">
        <f t="shared" si="190"/>
        <v>0</v>
      </c>
      <c r="G276" s="146">
        <f t="shared" si="190"/>
        <v>66278791.822108939</v>
      </c>
      <c r="H276" s="146">
        <f t="shared" si="190"/>
        <v>98290787.074472979</v>
      </c>
      <c r="I276" s="146">
        <f t="shared" si="190"/>
        <v>7522303.322871252</v>
      </c>
      <c r="J276" s="146">
        <f t="shared" si="190"/>
        <v>0</v>
      </c>
      <c r="K276" s="146">
        <f t="shared" si="190"/>
        <v>0</v>
      </c>
      <c r="L276" s="146">
        <f t="shared" si="190"/>
        <v>0</v>
      </c>
      <c r="M276" s="151">
        <f t="shared" si="190"/>
        <v>0</v>
      </c>
    </row>
    <row r="277" spans="2:13" x14ac:dyDescent="0.65">
      <c r="B277" s="3"/>
      <c r="C277" s="158"/>
      <c r="D277" s="146"/>
      <c r="E277" s="146"/>
      <c r="F277" s="146"/>
      <c r="G277" s="146"/>
      <c r="H277" s="146"/>
      <c r="I277" s="146"/>
      <c r="J277" s="146"/>
      <c r="K277" s="146"/>
      <c r="L277" s="146"/>
      <c r="M277" s="151"/>
    </row>
    <row r="278" spans="2:13" x14ac:dyDescent="0.65">
      <c r="B278" s="182" t="s">
        <v>67</v>
      </c>
      <c r="C278" s="158"/>
      <c r="D278" s="146"/>
      <c r="E278" s="146"/>
      <c r="F278" s="146"/>
      <c r="G278" s="146"/>
      <c r="H278" s="146"/>
      <c r="I278" s="146"/>
      <c r="J278" s="146"/>
      <c r="K278" s="146"/>
      <c r="L278" s="146"/>
      <c r="M278" s="151"/>
    </row>
    <row r="279" spans="2:13" x14ac:dyDescent="0.65">
      <c r="B279" s="3" t="s">
        <v>355</v>
      </c>
      <c r="C279" s="158"/>
      <c r="D279" s="146">
        <f t="shared" ref="D279:M279" si="191">D57+D131+D205</f>
        <v>0</v>
      </c>
      <c r="E279" s="146">
        <f t="shared" si="191"/>
        <v>0</v>
      </c>
      <c r="F279" s="146">
        <f t="shared" si="191"/>
        <v>0</v>
      </c>
      <c r="G279" s="146">
        <f t="shared" si="191"/>
        <v>115538193.07275021</v>
      </c>
      <c r="H279" s="146">
        <f t="shared" si="191"/>
        <v>334495379.10844183</v>
      </c>
      <c r="I279" s="146">
        <f t="shared" si="191"/>
        <v>0</v>
      </c>
      <c r="J279" s="146">
        <f t="shared" si="191"/>
        <v>0</v>
      </c>
      <c r="K279" s="146">
        <f t="shared" si="191"/>
        <v>0</v>
      </c>
      <c r="L279" s="146">
        <f t="shared" si="191"/>
        <v>38143570.006968789</v>
      </c>
      <c r="M279" s="151">
        <f t="shared" si="191"/>
        <v>188360416.14895505</v>
      </c>
    </row>
    <row r="280" spans="2:13" x14ac:dyDescent="0.65">
      <c r="B280" s="3" t="s">
        <v>356</v>
      </c>
      <c r="C280" s="158"/>
      <c r="D280" s="146">
        <f t="shared" ref="D280:M280" si="192">D58+D132+D206</f>
        <v>0</v>
      </c>
      <c r="E280" s="146">
        <f t="shared" si="192"/>
        <v>0</v>
      </c>
      <c r="F280" s="146">
        <f t="shared" si="192"/>
        <v>0</v>
      </c>
      <c r="G280" s="146">
        <f t="shared" si="192"/>
        <v>5911153.2354280464</v>
      </c>
      <c r="H280" s="146">
        <f t="shared" si="192"/>
        <v>17113418.427857805</v>
      </c>
      <c r="I280" s="146">
        <f t="shared" si="192"/>
        <v>0</v>
      </c>
      <c r="J280" s="146">
        <f t="shared" si="192"/>
        <v>0</v>
      </c>
      <c r="K280" s="146">
        <f t="shared" si="192"/>
        <v>0</v>
      </c>
      <c r="L280" s="146">
        <f t="shared" si="192"/>
        <v>1951497.433541287</v>
      </c>
      <c r="M280" s="151">
        <f t="shared" si="192"/>
        <v>9636876.3759736493</v>
      </c>
    </row>
    <row r="281" spans="2:13" x14ac:dyDescent="0.65">
      <c r="B281" s="3" t="s">
        <v>357</v>
      </c>
      <c r="C281" s="158"/>
      <c r="D281" s="146">
        <f t="shared" ref="D281:M281" si="193">D59+D133+D207</f>
        <v>0</v>
      </c>
      <c r="E281" s="146">
        <f t="shared" si="193"/>
        <v>0</v>
      </c>
      <c r="F281" s="146">
        <f t="shared" si="193"/>
        <v>115538193.07275021</v>
      </c>
      <c r="G281" s="146">
        <f t="shared" si="193"/>
        <v>263729814.78187627</v>
      </c>
      <c r="H281" s="146">
        <f t="shared" si="193"/>
        <v>0</v>
      </c>
      <c r="I281" s="146">
        <f t="shared" si="193"/>
        <v>0</v>
      </c>
      <c r="J281" s="146">
        <f t="shared" si="193"/>
        <v>0</v>
      </c>
      <c r="K281" s="146">
        <f t="shared" si="193"/>
        <v>38143570.006968789</v>
      </c>
      <c r="L281" s="146">
        <f t="shared" si="193"/>
        <v>148265348.70844498</v>
      </c>
      <c r="M281" s="151">
        <f t="shared" si="193"/>
        <v>0</v>
      </c>
    </row>
    <row r="282" spans="2:13" x14ac:dyDescent="0.65">
      <c r="B282" s="3" t="s">
        <v>368</v>
      </c>
      <c r="C282" s="158"/>
      <c r="D282" s="146">
        <f t="shared" ref="D282:M282" si="194">D60+D134+D208</f>
        <v>0</v>
      </c>
      <c r="E282" s="146">
        <f t="shared" si="194"/>
        <v>0</v>
      </c>
      <c r="F282" s="146">
        <f t="shared" si="194"/>
        <v>0</v>
      </c>
      <c r="G282" s="146">
        <f t="shared" si="194"/>
        <v>-50683781.981612712</v>
      </c>
      <c r="H282" s="146">
        <f t="shared" si="194"/>
        <v>-75163543.056949914</v>
      </c>
      <c r="I282" s="146">
        <f t="shared" si="194"/>
        <v>0</v>
      </c>
      <c r="J282" s="146">
        <f t="shared" si="194"/>
        <v>0</v>
      </c>
      <c r="K282" s="146">
        <f t="shared" si="194"/>
        <v>0</v>
      </c>
      <c r="L282" s="146">
        <f t="shared" si="194"/>
        <v>0</v>
      </c>
      <c r="M282" s="151">
        <f t="shared" si="194"/>
        <v>0</v>
      </c>
    </row>
    <row r="283" spans="2:13" x14ac:dyDescent="0.65">
      <c r="B283" s="3" t="s">
        <v>359</v>
      </c>
      <c r="C283" s="158"/>
      <c r="D283" s="146">
        <f t="shared" ref="D283:M283" si="195">D61+D135+D209</f>
        <v>0</v>
      </c>
      <c r="E283" s="146">
        <f t="shared" si="195"/>
        <v>0</v>
      </c>
      <c r="F283" s="146">
        <f t="shared" si="195"/>
        <v>0</v>
      </c>
      <c r="G283" s="146">
        <f t="shared" si="195"/>
        <v>0</v>
      </c>
      <c r="H283" s="146">
        <f t="shared" si="195"/>
        <v>-276445254.47934973</v>
      </c>
      <c r="I283" s="146">
        <f t="shared" si="195"/>
        <v>0</v>
      </c>
      <c r="J283" s="146">
        <f t="shared" si="195"/>
        <v>0</v>
      </c>
      <c r="K283" s="146">
        <f t="shared" si="195"/>
        <v>0</v>
      </c>
      <c r="L283" s="146">
        <f t="shared" si="195"/>
        <v>0</v>
      </c>
      <c r="M283" s="151">
        <f t="shared" si="195"/>
        <v>-197997292.52492869</v>
      </c>
    </row>
    <row r="284" spans="2:13" x14ac:dyDescent="0.65">
      <c r="B284" s="3" t="s">
        <v>358</v>
      </c>
      <c r="C284" s="158"/>
      <c r="D284" s="146">
        <f t="shared" ref="D284:M284" si="196">D62+D136+D210</f>
        <v>0</v>
      </c>
      <c r="E284" s="146">
        <f t="shared" si="196"/>
        <v>0</v>
      </c>
      <c r="F284" s="146">
        <f t="shared" si="196"/>
        <v>115538193.07275021</v>
      </c>
      <c r="G284" s="146">
        <f t="shared" si="196"/>
        <v>334495379.10844183</v>
      </c>
      <c r="H284" s="146">
        <f t="shared" si="196"/>
        <v>0</v>
      </c>
      <c r="I284" s="146">
        <f t="shared" si="196"/>
        <v>0</v>
      </c>
      <c r="J284" s="146">
        <f t="shared" si="196"/>
        <v>0</v>
      </c>
      <c r="K284" s="146">
        <f t="shared" si="196"/>
        <v>38143570.006968789</v>
      </c>
      <c r="L284" s="146">
        <f t="shared" si="196"/>
        <v>188360416.14895505</v>
      </c>
      <c r="M284" s="151">
        <f t="shared" si="196"/>
        <v>0</v>
      </c>
    </row>
    <row r="285" spans="2:13" x14ac:dyDescent="0.65">
      <c r="B285" s="3"/>
      <c r="C285" s="158"/>
      <c r="D285" s="146"/>
      <c r="E285" s="146"/>
      <c r="F285" s="146"/>
      <c r="G285" s="146"/>
      <c r="H285" s="146"/>
      <c r="I285" s="146"/>
      <c r="J285" s="146"/>
      <c r="K285" s="146"/>
      <c r="L285" s="146"/>
      <c r="M285" s="151"/>
    </row>
    <row r="286" spans="2:13" x14ac:dyDescent="0.65">
      <c r="B286" s="182" t="s">
        <v>68</v>
      </c>
      <c r="C286" s="158"/>
      <c r="D286" s="146"/>
      <c r="E286" s="146"/>
      <c r="F286" s="146"/>
      <c r="G286" s="146"/>
      <c r="H286" s="146"/>
      <c r="I286" s="146"/>
      <c r="J286" s="146"/>
      <c r="K286" s="146"/>
      <c r="L286" s="146"/>
      <c r="M286" s="151"/>
    </row>
    <row r="287" spans="2:13" x14ac:dyDescent="0.65">
      <c r="B287" s="3" t="s">
        <v>355</v>
      </c>
      <c r="C287" s="158"/>
      <c r="D287" s="146">
        <f t="shared" ref="D287:M287" si="197">D65+D139+D213</f>
        <v>0</v>
      </c>
      <c r="E287" s="146">
        <f t="shared" si="197"/>
        <v>0</v>
      </c>
      <c r="F287" s="146">
        <f t="shared" si="197"/>
        <v>0</v>
      </c>
      <c r="G287" s="146">
        <f t="shared" si="197"/>
        <v>122232133.0153366</v>
      </c>
      <c r="H287" s="146">
        <f t="shared" si="197"/>
        <v>122139217.12760541</v>
      </c>
      <c r="I287" s="146">
        <f t="shared" si="197"/>
        <v>0</v>
      </c>
      <c r="J287" s="146">
        <f t="shared" si="197"/>
        <v>0</v>
      </c>
      <c r="K287" s="146">
        <f t="shared" si="197"/>
        <v>0</v>
      </c>
      <c r="L287" s="146">
        <f t="shared" si="197"/>
        <v>57356590.373973466</v>
      </c>
      <c r="M287" s="151">
        <f t="shared" si="197"/>
        <v>64630841.676419698</v>
      </c>
    </row>
    <row r="288" spans="2:13" x14ac:dyDescent="0.65">
      <c r="B288" s="3" t="s">
        <v>356</v>
      </c>
      <c r="C288" s="158"/>
      <c r="D288" s="146">
        <f t="shared" ref="D288:M288" si="198">D66+D140+D214</f>
        <v>0</v>
      </c>
      <c r="E288" s="146">
        <f t="shared" si="198"/>
        <v>0</v>
      </c>
      <c r="F288" s="146">
        <f t="shared" si="198"/>
        <v>0</v>
      </c>
      <c r="G288" s="146">
        <f t="shared" si="198"/>
        <v>15502093.952765003</v>
      </c>
      <c r="H288" s="146">
        <f t="shared" si="198"/>
        <v>15490309.892503753</v>
      </c>
      <c r="I288" s="146">
        <f t="shared" si="198"/>
        <v>0</v>
      </c>
      <c r="J288" s="146">
        <f t="shared" si="198"/>
        <v>0</v>
      </c>
      <c r="K288" s="146">
        <f t="shared" si="198"/>
        <v>0</v>
      </c>
      <c r="L288" s="146">
        <f t="shared" si="198"/>
        <v>7274251.3024462322</v>
      </c>
      <c r="M288" s="151">
        <f t="shared" si="198"/>
        <v>8196808.4430664964</v>
      </c>
    </row>
    <row r="289" spans="2:15" x14ac:dyDescent="0.65">
      <c r="B289" s="3" t="s">
        <v>357</v>
      </c>
      <c r="C289" s="158"/>
      <c r="D289" s="146">
        <f t="shared" ref="D289:M289" si="199">D67+D141+D215</f>
        <v>0</v>
      </c>
      <c r="E289" s="146">
        <f t="shared" si="199"/>
        <v>0</v>
      </c>
      <c r="F289" s="146">
        <f t="shared" si="199"/>
        <v>122232133.0153366</v>
      </c>
      <c r="G289" s="146">
        <f t="shared" si="199"/>
        <v>0</v>
      </c>
      <c r="H289" s="146">
        <f t="shared" si="199"/>
        <v>0</v>
      </c>
      <c r="I289" s="146">
        <f t="shared" si="199"/>
        <v>0</v>
      </c>
      <c r="J289" s="146">
        <f t="shared" si="199"/>
        <v>0</v>
      </c>
      <c r="K289" s="146">
        <f t="shared" si="199"/>
        <v>57356590.373973466</v>
      </c>
      <c r="L289" s="146">
        <f t="shared" si="199"/>
        <v>0</v>
      </c>
      <c r="M289" s="151">
        <f t="shared" si="199"/>
        <v>0</v>
      </c>
    </row>
    <row r="290" spans="2:15" x14ac:dyDescent="0.65">
      <c r="B290" s="3" t="s">
        <v>368</v>
      </c>
      <c r="C290" s="158"/>
      <c r="D290" s="146">
        <f t="shared" ref="D290:M290" si="200">D68+D142+D216</f>
        <v>0</v>
      </c>
      <c r="E290" s="146">
        <f t="shared" si="200"/>
        <v>0</v>
      </c>
      <c r="F290" s="146">
        <f t="shared" si="200"/>
        <v>0</v>
      </c>
      <c r="G290" s="146">
        <f t="shared" si="200"/>
        <v>-15595009.84049622</v>
      </c>
      <c r="H290" s="146">
        <f t="shared" si="200"/>
        <v>-23127244.017523058</v>
      </c>
      <c r="I290" s="180">
        <f t="shared" si="200"/>
        <v>0</v>
      </c>
      <c r="J290" s="146">
        <f t="shared" si="200"/>
        <v>0</v>
      </c>
      <c r="K290" s="146">
        <f t="shared" si="200"/>
        <v>0</v>
      </c>
      <c r="L290" s="146">
        <f t="shared" si="200"/>
        <v>0</v>
      </c>
      <c r="M290" s="151">
        <f t="shared" si="200"/>
        <v>0</v>
      </c>
    </row>
    <row r="291" spans="2:15" x14ac:dyDescent="0.65">
      <c r="B291" s="3" t="s">
        <v>359</v>
      </c>
      <c r="C291" s="158"/>
      <c r="D291" s="146">
        <f t="shared" ref="D291:M291" si="201">D69+D143+D217</f>
        <v>0</v>
      </c>
      <c r="E291" s="146">
        <f t="shared" si="201"/>
        <v>0</v>
      </c>
      <c r="F291" s="146">
        <f t="shared" si="201"/>
        <v>0</v>
      </c>
      <c r="G291" s="146">
        <f t="shared" si="201"/>
        <v>0</v>
      </c>
      <c r="H291" s="146">
        <f t="shared" si="201"/>
        <v>-114502283.00258608</v>
      </c>
      <c r="I291" s="146">
        <f t="shared" si="201"/>
        <v>0</v>
      </c>
      <c r="J291" s="146">
        <f t="shared" si="201"/>
        <v>0</v>
      </c>
      <c r="K291" s="146">
        <f t="shared" si="201"/>
        <v>0</v>
      </c>
      <c r="L291" s="146">
        <f t="shared" si="201"/>
        <v>0</v>
      </c>
      <c r="M291" s="151">
        <f t="shared" si="201"/>
        <v>-72827650.119486198</v>
      </c>
    </row>
    <row r="292" spans="2:15" x14ac:dyDescent="0.65">
      <c r="B292" s="3" t="s">
        <v>358</v>
      </c>
      <c r="C292" s="158"/>
      <c r="D292" s="146">
        <f t="shared" ref="D292:M292" si="202">D70+D144+D218</f>
        <v>0</v>
      </c>
      <c r="E292" s="146">
        <f t="shared" si="202"/>
        <v>0</v>
      </c>
      <c r="F292" s="146">
        <f>F70+F144+F218</f>
        <v>122232133.0153366</v>
      </c>
      <c r="G292" s="146">
        <f t="shared" si="202"/>
        <v>122139217.12760541</v>
      </c>
      <c r="H292" s="146">
        <f t="shared" si="202"/>
        <v>0</v>
      </c>
      <c r="I292" s="146">
        <f t="shared" si="202"/>
        <v>0</v>
      </c>
      <c r="J292" s="146">
        <f t="shared" si="202"/>
        <v>0</v>
      </c>
      <c r="K292" s="146">
        <f t="shared" si="202"/>
        <v>57356590.373973466</v>
      </c>
      <c r="L292" s="146">
        <f t="shared" si="202"/>
        <v>64630841.676419698</v>
      </c>
      <c r="M292" s="151">
        <f t="shared" si="202"/>
        <v>0</v>
      </c>
    </row>
    <row r="293" spans="2:15" x14ac:dyDescent="0.65">
      <c r="B293" s="3"/>
      <c r="C293" s="158"/>
      <c r="D293" s="146"/>
      <c r="E293" s="146"/>
      <c r="F293" s="146"/>
      <c r="G293" s="146"/>
      <c r="H293" s="146"/>
      <c r="I293" s="146"/>
      <c r="J293" s="146"/>
      <c r="K293" s="146"/>
      <c r="L293" s="146"/>
      <c r="M293" s="151"/>
    </row>
    <row r="294" spans="2:15" x14ac:dyDescent="0.65">
      <c r="B294" s="36" t="s">
        <v>70</v>
      </c>
      <c r="C294" s="158"/>
      <c r="D294" s="146"/>
      <c r="E294" s="146"/>
      <c r="F294" s="146"/>
      <c r="G294" s="146"/>
      <c r="H294" s="146"/>
      <c r="I294" s="146"/>
      <c r="J294" s="146"/>
      <c r="K294" s="146"/>
      <c r="L294" s="146"/>
      <c r="M294" s="151"/>
    </row>
    <row r="295" spans="2:15" x14ac:dyDescent="0.65">
      <c r="B295" s="3"/>
      <c r="C295" s="158"/>
      <c r="D295" s="146"/>
      <c r="E295" s="146"/>
      <c r="F295" s="146"/>
      <c r="G295" s="146"/>
      <c r="H295" s="146"/>
      <c r="I295" s="146"/>
      <c r="J295" s="146"/>
      <c r="K295" s="146"/>
      <c r="L295" s="146"/>
      <c r="M295" s="151"/>
    </row>
    <row r="296" spans="2:15" x14ac:dyDescent="0.65">
      <c r="B296" s="182" t="s">
        <v>67</v>
      </c>
      <c r="C296" s="158"/>
      <c r="D296" s="146"/>
      <c r="E296" s="146"/>
      <c r="F296" s="146"/>
      <c r="G296" s="146"/>
      <c r="H296" s="146"/>
      <c r="I296" s="146"/>
      <c r="J296" s="146"/>
      <c r="K296" s="146"/>
      <c r="L296" s="146"/>
      <c r="M296" s="151"/>
    </row>
    <row r="297" spans="2:15" x14ac:dyDescent="0.65">
      <c r="B297" s="3" t="s">
        <v>373</v>
      </c>
      <c r="C297" s="158"/>
      <c r="D297" s="146">
        <f>D75+D149+D223</f>
        <v>0</v>
      </c>
      <c r="E297" s="146">
        <f t="shared" ref="E297:M297" si="203">E75+E149+E223</f>
        <v>0</v>
      </c>
      <c r="F297" s="146">
        <f t="shared" si="203"/>
        <v>0</v>
      </c>
      <c r="G297" s="146">
        <f t="shared" si="203"/>
        <v>0</v>
      </c>
      <c r="H297" s="146">
        <f t="shared" si="203"/>
        <v>-4523939.9123427272</v>
      </c>
      <c r="I297" s="146">
        <f t="shared" si="203"/>
        <v>0</v>
      </c>
      <c r="J297" s="146">
        <f t="shared" si="203"/>
        <v>0</v>
      </c>
      <c r="K297" s="146">
        <f t="shared" si="203"/>
        <v>0</v>
      </c>
      <c r="L297" s="146">
        <f t="shared" si="203"/>
        <v>0</v>
      </c>
      <c r="M297" s="151">
        <f t="shared" si="203"/>
        <v>0</v>
      </c>
    </row>
    <row r="298" spans="2:15" x14ac:dyDescent="0.65">
      <c r="B298" s="3" t="s">
        <v>377</v>
      </c>
      <c r="C298" s="158"/>
      <c r="D298" s="146">
        <f t="shared" ref="D298:M298" si="204">D76+D150+D224</f>
        <v>0</v>
      </c>
      <c r="E298" s="146">
        <f t="shared" si="204"/>
        <v>0</v>
      </c>
      <c r="F298" s="146">
        <f t="shared" si="204"/>
        <v>0</v>
      </c>
      <c r="G298" s="146">
        <f t="shared" si="204"/>
        <v>0</v>
      </c>
      <c r="H298" s="146">
        <f t="shared" si="204"/>
        <v>452393991.23427266</v>
      </c>
      <c r="I298" s="146">
        <f t="shared" si="204"/>
        <v>0</v>
      </c>
      <c r="J298" s="146">
        <f t="shared" si="204"/>
        <v>0</v>
      </c>
      <c r="K298" s="146">
        <f t="shared" si="204"/>
        <v>0</v>
      </c>
      <c r="L298" s="146">
        <f t="shared" si="204"/>
        <v>0</v>
      </c>
      <c r="M298" s="151">
        <f t="shared" si="204"/>
        <v>0</v>
      </c>
    </row>
    <row r="299" spans="2:15" x14ac:dyDescent="0.65">
      <c r="B299" s="3" t="s">
        <v>374</v>
      </c>
      <c r="C299" s="158"/>
      <c r="D299" s="146">
        <f t="shared" ref="D299:M299" si="205">D77+D151+D225</f>
        <v>0</v>
      </c>
      <c r="E299" s="146">
        <f t="shared" si="205"/>
        <v>0</v>
      </c>
      <c r="F299" s="146">
        <f t="shared" si="205"/>
        <v>0</v>
      </c>
      <c r="G299" s="146">
        <f t="shared" si="205"/>
        <v>0</v>
      </c>
      <c r="H299" s="146">
        <f t="shared" si="205"/>
        <v>-10783237.690822214</v>
      </c>
      <c r="I299" s="146">
        <f t="shared" si="205"/>
        <v>-10783237.690822214</v>
      </c>
      <c r="J299" s="146">
        <f t="shared" si="205"/>
        <v>-10783237.690822214</v>
      </c>
      <c r="K299" s="146">
        <f t="shared" si="205"/>
        <v>-10783237.690822214</v>
      </c>
      <c r="L299" s="146">
        <f t="shared" si="205"/>
        <v>-10783237.690822214</v>
      </c>
      <c r="M299" s="151">
        <f t="shared" si="205"/>
        <v>-10783237.690822214</v>
      </c>
    </row>
    <row r="300" spans="2:15" x14ac:dyDescent="0.65">
      <c r="B300" s="3" t="s">
        <v>376</v>
      </c>
      <c r="C300" s="158"/>
      <c r="D300" s="146">
        <f t="shared" ref="D300:M300" si="206">D78+D152+D226</f>
        <v>0</v>
      </c>
      <c r="E300" s="146">
        <f t="shared" si="206"/>
        <v>0</v>
      </c>
      <c r="F300" s="146">
        <f t="shared" si="206"/>
        <v>0</v>
      </c>
      <c r="G300" s="146">
        <f t="shared" si="206"/>
        <v>0</v>
      </c>
      <c r="H300" s="146">
        <f t="shared" si="206"/>
        <v>0</v>
      </c>
      <c r="I300" s="146">
        <f t="shared" si="206"/>
        <v>0</v>
      </c>
      <c r="J300" s="146">
        <f t="shared" si="206"/>
        <v>0</v>
      </c>
      <c r="K300" s="146">
        <f t="shared" si="206"/>
        <v>0</v>
      </c>
      <c r="L300" s="146">
        <f t="shared" si="206"/>
        <v>0</v>
      </c>
      <c r="M300" s="151">
        <f t="shared" si="206"/>
        <v>-448785894.46337968</v>
      </c>
      <c r="O300" s="171"/>
    </row>
    <row r="301" spans="2:15" x14ac:dyDescent="0.65">
      <c r="B301" s="3"/>
      <c r="C301" s="158"/>
      <c r="D301" s="146"/>
      <c r="E301" s="146"/>
      <c r="F301" s="146"/>
      <c r="G301" s="146"/>
      <c r="H301" s="146"/>
      <c r="I301" s="146"/>
      <c r="J301" s="146"/>
      <c r="K301" s="146"/>
      <c r="L301" s="146"/>
      <c r="M301" s="151"/>
    </row>
    <row r="302" spans="2:15" ht="13" thickBot="1" x14ac:dyDescent="0.8">
      <c r="B302" s="3" t="s">
        <v>378</v>
      </c>
      <c r="C302" s="158"/>
      <c r="D302" s="146">
        <f>D266+D270+D281+D282+D283+D289+D290+D291+D297+D298+D299+D300</f>
        <v>-12610908.758537613</v>
      </c>
      <c r="E302" s="146">
        <f t="shared" ref="E302:M302" si="207">E266+E270+E281+E282+E283+E289+E290+E291+E297+E298+E299+E300</f>
        <v>-19932907.387667011</v>
      </c>
      <c r="F302" s="146">
        <f t="shared" si="207"/>
        <v>-55956208.713200599</v>
      </c>
      <c r="G302" s="146">
        <f t="shared" si="207"/>
        <v>-66278791.822108902</v>
      </c>
      <c r="H302" s="146">
        <f t="shared" si="207"/>
        <v>126054059.65550682</v>
      </c>
      <c r="I302" s="146">
        <f t="shared" si="207"/>
        <v>66897412.66366227</v>
      </c>
      <c r="J302" s="146">
        <f t="shared" si="207"/>
        <v>61513265.539699823</v>
      </c>
      <c r="K302" s="146">
        <f t="shared" si="207"/>
        <v>46325012.571996957</v>
      </c>
      <c r="L302" s="146">
        <f t="shared" si="207"/>
        <v>74900613.234642416</v>
      </c>
      <c r="M302" s="151">
        <f t="shared" si="207"/>
        <v>454251983.09737593</v>
      </c>
    </row>
    <row r="303" spans="2:15" ht="13" thickBot="1" x14ac:dyDescent="0.8">
      <c r="B303" s="143" t="s">
        <v>380</v>
      </c>
      <c r="C303" s="181">
        <f>IFERROR(IRR(D302:M302),"n/a")</f>
        <v>0.42178395607958774</v>
      </c>
      <c r="D303" s="146"/>
      <c r="E303" s="146"/>
      <c r="F303" s="146"/>
      <c r="G303" s="146"/>
      <c r="H303" s="146"/>
      <c r="I303" s="146"/>
      <c r="J303" s="146"/>
      <c r="K303" s="146"/>
      <c r="L303" s="146"/>
      <c r="M303" s="151"/>
    </row>
    <row r="304" spans="2:15" ht="13" thickBot="1" x14ac:dyDescent="0.8">
      <c r="B304" s="143" t="s">
        <v>379</v>
      </c>
      <c r="C304" s="193">
        <f>-SUMIF(D302:M302,"&gt;"&amp;0)/SUMIF(D302:M302,"&lt;"&amp;0)</f>
        <v>5.3621184381493441</v>
      </c>
      <c r="D304" s="178"/>
      <c r="E304" s="178"/>
      <c r="F304" s="178"/>
      <c r="G304" s="178"/>
      <c r="H304" s="178"/>
      <c r="I304" s="178"/>
      <c r="J304" s="178"/>
      <c r="K304" s="178"/>
      <c r="L304" s="178"/>
      <c r="M304" s="167"/>
    </row>
  </sheetData>
  <mergeCells count="5">
    <mergeCell ref="B2:C2"/>
    <mergeCell ref="B6:M6"/>
    <mergeCell ref="O10:R10"/>
    <mergeCell ref="O84:R84"/>
    <mergeCell ref="O158:R158"/>
  </mergeCells>
  <pageMargins left="0.25" right="0.25" top="0.75" bottom="0.75" header="0.3" footer="0.3"/>
  <pageSetup paperSize="138" scale="19" fitToWidth="0" orientation="landscape" r:id="rId1"/>
  <ignoredErrors>
    <ignoredError sqref="D24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5887C-6758-429F-B5C8-BA2AEF06AF15}">
  <sheetPr>
    <tabColor rgb="FFFFF1AB"/>
  </sheetPr>
  <dimension ref="B1:AH66"/>
  <sheetViews>
    <sheetView zoomScale="70" zoomScaleNormal="70" zoomScaleSheetLayoutView="98" workbookViewId="0">
      <selection activeCell="N8" sqref="N1:O8"/>
    </sheetView>
  </sheetViews>
  <sheetFormatPr defaultColWidth="9.08984375" defaultRowHeight="12.25" x14ac:dyDescent="0.65"/>
  <cols>
    <col min="1" max="1" width="2.76953125" style="365" customWidth="1"/>
    <col min="2" max="2" width="27.453125" style="365" customWidth="1"/>
    <col min="3" max="3" width="13.453125" style="365" customWidth="1"/>
    <col min="4" max="4" width="8.08984375" style="365" customWidth="1"/>
    <col min="5" max="6" width="9.08984375" style="365" customWidth="1"/>
    <col min="7" max="7" width="8.453125" style="365" customWidth="1"/>
    <col min="8" max="8" width="9.76953125" style="365" customWidth="1"/>
    <col min="9" max="9" width="8.08984375" style="365" customWidth="1"/>
    <col min="10" max="11" width="9.08984375" style="365" customWidth="1"/>
    <col min="12" max="12" width="8.453125" style="365" customWidth="1"/>
    <col min="13" max="13" width="10.453125" style="365" customWidth="1"/>
    <col min="14" max="14" width="11" style="365" customWidth="1"/>
    <col min="15" max="15" width="10" style="365" customWidth="1"/>
    <col min="16" max="16" width="12.08984375" style="365" customWidth="1"/>
    <col min="17" max="17" width="11.31640625" style="365" customWidth="1"/>
    <col min="18" max="18" width="11.08984375" style="365" customWidth="1"/>
    <col min="19" max="20" width="9.76953125" style="365" customWidth="1"/>
    <col min="21" max="21" width="10.08984375" style="365" customWidth="1"/>
    <col min="22" max="25" width="9.08984375" style="365"/>
    <col min="26" max="26" width="11.08984375" style="365" customWidth="1"/>
    <col min="27" max="16384" width="9.08984375" style="365"/>
  </cols>
  <sheetData>
    <row r="1" spans="2:33" ht="13" thickBot="1" x14ac:dyDescent="0.8">
      <c r="D1" s="443"/>
      <c r="H1" s="372"/>
      <c r="I1" s="372"/>
      <c r="N1" s="372"/>
      <c r="O1" s="372"/>
      <c r="P1" s="372"/>
      <c r="R1" s="372"/>
      <c r="S1" s="372"/>
    </row>
    <row r="2" spans="2:33" ht="12" customHeight="1" thickBot="1" x14ac:dyDescent="1.05">
      <c r="B2" s="739" t="s">
        <v>37</v>
      </c>
      <c r="C2" s="698"/>
      <c r="D2" s="452"/>
      <c r="E2" s="364"/>
      <c r="F2" s="364"/>
      <c r="G2" s="364"/>
      <c r="H2" s="364"/>
      <c r="I2" s="364"/>
      <c r="J2" s="364"/>
      <c r="K2" s="364"/>
      <c r="L2" s="364"/>
      <c r="M2" s="364"/>
      <c r="N2" s="372"/>
      <c r="O2" s="372"/>
      <c r="P2" s="372"/>
      <c r="Q2" s="372"/>
    </row>
    <row r="3" spans="2:33" ht="13.1" customHeight="1" x14ac:dyDescent="0.65">
      <c r="B3" s="391" t="s">
        <v>36</v>
      </c>
      <c r="C3" s="386" t="s">
        <v>398</v>
      </c>
      <c r="D3" s="364"/>
      <c r="E3" s="364"/>
      <c r="F3" s="364"/>
      <c r="G3" s="364"/>
      <c r="H3" s="364"/>
      <c r="I3" s="364"/>
      <c r="J3" s="364"/>
      <c r="K3" s="372"/>
      <c r="L3" s="372"/>
      <c r="M3" s="372"/>
      <c r="N3" s="372"/>
    </row>
    <row r="4" spans="2:33" ht="13.1" customHeight="1" thickBot="1" x14ac:dyDescent="0.8">
      <c r="B4" s="392" t="s">
        <v>35</v>
      </c>
      <c r="C4" s="406">
        <v>192021</v>
      </c>
      <c r="D4" s="364"/>
      <c r="E4" s="364"/>
      <c r="F4" s="364"/>
      <c r="G4" s="364"/>
      <c r="H4" s="364"/>
      <c r="I4" s="364"/>
      <c r="J4" s="364"/>
      <c r="K4" s="372"/>
      <c r="L4" s="372"/>
      <c r="M4" s="372"/>
      <c r="N4" s="372"/>
    </row>
    <row r="5" spans="2:33" ht="13.1" customHeight="1" thickBot="1" x14ac:dyDescent="0.8">
      <c r="D5" s="479"/>
      <c r="E5" s="364"/>
      <c r="F5" s="364"/>
      <c r="G5" s="364"/>
      <c r="H5" s="364"/>
      <c r="I5" s="364"/>
      <c r="J5" s="364"/>
      <c r="K5" s="364"/>
      <c r="L5" s="364"/>
      <c r="M5" s="364"/>
      <c r="N5" s="372"/>
      <c r="O5" s="372"/>
      <c r="P5" s="372"/>
      <c r="Q5" s="372"/>
    </row>
    <row r="6" spans="2:33" ht="14.6" customHeight="1" thickBot="1" x14ac:dyDescent="1.05">
      <c r="B6" s="968" t="s">
        <v>34</v>
      </c>
      <c r="C6" s="969"/>
      <c r="D6" s="452"/>
      <c r="E6" s="452"/>
      <c r="F6" s="366"/>
      <c r="G6" s="366"/>
      <c r="H6" s="480"/>
      <c r="I6" s="366"/>
      <c r="N6" s="372"/>
      <c r="O6" s="372"/>
      <c r="P6" s="372"/>
      <c r="R6" s="372"/>
      <c r="S6" s="372"/>
    </row>
    <row r="7" spans="2:33" ht="13.1" customHeight="1" x14ac:dyDescent="0.9">
      <c r="B7" s="622" t="s">
        <v>33</v>
      </c>
      <c r="C7" s="744">
        <f>SUM('Assumptions-Land&amp;Infrastructure'!D15:D17)</f>
        <v>567447</v>
      </c>
      <c r="D7" s="366"/>
      <c r="E7" s="366"/>
      <c r="F7" s="366"/>
      <c r="G7" s="366"/>
      <c r="H7" s="366"/>
      <c r="I7" s="366"/>
      <c r="K7" s="372"/>
      <c r="L7" s="372"/>
      <c r="M7" s="372"/>
      <c r="O7" s="478"/>
    </row>
    <row r="8" spans="2:33" ht="13.1" customHeight="1" x14ac:dyDescent="0.9">
      <c r="B8" s="623" t="s">
        <v>43</v>
      </c>
      <c r="C8" s="624">
        <f>Y30</f>
        <v>4462148.2315725498</v>
      </c>
      <c r="D8" s="366"/>
      <c r="E8" s="481"/>
      <c r="F8" s="481"/>
      <c r="G8" s="481"/>
      <c r="H8" s="366"/>
      <c r="I8" s="366"/>
      <c r="K8" s="372"/>
      <c r="L8" s="453"/>
      <c r="M8" s="372"/>
      <c r="O8" s="478"/>
    </row>
    <row r="9" spans="2:33" ht="13.1" customHeight="1" thickBot="1" x14ac:dyDescent="1.05">
      <c r="B9" s="662" t="s">
        <v>32</v>
      </c>
      <c r="C9" s="663">
        <f>C8/C7</f>
        <v>7.8635506603657257</v>
      </c>
      <c r="D9" s="366"/>
      <c r="E9" s="481"/>
      <c r="F9" s="481"/>
      <c r="G9" s="481"/>
      <c r="H9" s="366"/>
      <c r="I9" s="366"/>
      <c r="K9" s="372"/>
      <c r="L9" s="453"/>
      <c r="M9" s="372"/>
      <c r="O9" s="478"/>
    </row>
    <row r="10" spans="2:33" ht="58.95" customHeight="1" thickBot="1" x14ac:dyDescent="1.05">
      <c r="B10" s="774" t="s">
        <v>54</v>
      </c>
      <c r="C10" s="665"/>
      <c r="D10" s="666"/>
      <c r="E10" s="665"/>
      <c r="F10" s="665"/>
      <c r="G10" s="665"/>
      <c r="H10" s="667"/>
      <c r="I10" s="667"/>
      <c r="J10" s="665"/>
      <c r="K10" s="665"/>
      <c r="L10" s="665"/>
      <c r="M10" s="665"/>
      <c r="N10" s="667"/>
      <c r="O10" s="668"/>
      <c r="P10" s="667"/>
      <c r="Q10" s="665"/>
      <c r="R10" s="667"/>
      <c r="S10" s="667"/>
      <c r="T10" s="665"/>
      <c r="U10" s="669"/>
      <c r="AC10" s="443"/>
      <c r="AD10" s="443"/>
      <c r="AE10" s="443"/>
      <c r="AF10" s="443"/>
      <c r="AG10" s="443"/>
    </row>
    <row r="11" spans="2:33" s="459" customFormat="1" ht="31.1" customHeight="1" thickBot="1" x14ac:dyDescent="0.8">
      <c r="B11" s="664" t="s">
        <v>555</v>
      </c>
      <c r="C11" s="749" t="s">
        <v>453</v>
      </c>
      <c r="D11" s="749" t="s">
        <v>452</v>
      </c>
      <c r="E11" s="749" t="s">
        <v>443</v>
      </c>
      <c r="F11" s="749" t="s">
        <v>450</v>
      </c>
      <c r="G11" s="749" t="s">
        <v>451</v>
      </c>
      <c r="H11" s="749" t="s">
        <v>445</v>
      </c>
      <c r="I11" s="749" t="s">
        <v>446</v>
      </c>
      <c r="J11" s="749" t="s">
        <v>491</v>
      </c>
      <c r="K11" s="749" t="s">
        <v>490</v>
      </c>
      <c r="L11" s="749" t="s">
        <v>454</v>
      </c>
      <c r="M11" s="749" t="s">
        <v>447</v>
      </c>
      <c r="N11" s="749" t="s">
        <v>494</v>
      </c>
      <c r="O11" s="749" t="s">
        <v>465</v>
      </c>
      <c r="P11" s="749" t="s">
        <v>449</v>
      </c>
      <c r="Q11" s="749" t="s">
        <v>448</v>
      </c>
      <c r="R11" s="749" t="s">
        <v>444</v>
      </c>
      <c r="S11" s="749" t="s">
        <v>471</v>
      </c>
      <c r="T11" s="749" t="s">
        <v>453</v>
      </c>
      <c r="U11" s="750" t="s">
        <v>455</v>
      </c>
      <c r="V11" s="625"/>
      <c r="W11" s="625"/>
      <c r="X11" s="625"/>
      <c r="Y11" s="626"/>
      <c r="Z11" s="365"/>
      <c r="AA11" s="365"/>
      <c r="AB11" s="365"/>
      <c r="AC11" s="443"/>
      <c r="AD11" s="443"/>
      <c r="AE11" s="443"/>
      <c r="AF11" s="443"/>
      <c r="AG11" s="443"/>
    </row>
    <row r="12" spans="2:33" ht="13.1" customHeight="1" x14ac:dyDescent="0.65">
      <c r="B12" s="52" t="s">
        <v>401</v>
      </c>
      <c r="C12" s="367" t="s">
        <v>495</v>
      </c>
      <c r="D12" s="367" t="s">
        <v>419</v>
      </c>
      <c r="E12" s="367" t="s">
        <v>402</v>
      </c>
      <c r="F12" s="367" t="s">
        <v>403</v>
      </c>
      <c r="G12" s="367" t="s">
        <v>404</v>
      </c>
      <c r="H12" s="367" t="s">
        <v>410</v>
      </c>
      <c r="I12" s="367" t="s">
        <v>411</v>
      </c>
      <c r="J12" s="367" t="s">
        <v>414</v>
      </c>
      <c r="K12" s="367" t="s">
        <v>415</v>
      </c>
      <c r="L12" s="367" t="s">
        <v>406</v>
      </c>
      <c r="M12" s="367" t="s">
        <v>407</v>
      </c>
      <c r="N12" s="367" t="s">
        <v>408</v>
      </c>
      <c r="O12" s="367" t="s">
        <v>409</v>
      </c>
      <c r="P12" s="367" t="s">
        <v>464</v>
      </c>
      <c r="Q12" s="367" t="s">
        <v>405</v>
      </c>
      <c r="R12" s="367" t="s">
        <v>423</v>
      </c>
      <c r="S12" s="367" t="s">
        <v>480</v>
      </c>
      <c r="T12" s="367" t="s">
        <v>412</v>
      </c>
      <c r="U12" s="367" t="s">
        <v>413</v>
      </c>
      <c r="V12" s="12"/>
      <c r="W12" s="13"/>
      <c r="X12" s="14"/>
      <c r="Y12" s="51"/>
      <c r="Z12" s="372"/>
      <c r="AA12" s="372"/>
      <c r="AB12" s="372"/>
      <c r="AC12" s="443"/>
      <c r="AD12" s="443"/>
      <c r="AE12" s="443"/>
      <c r="AF12" s="443"/>
      <c r="AG12" s="443"/>
    </row>
    <row r="13" spans="2:33" ht="13.1" customHeight="1" x14ac:dyDescent="0.65">
      <c r="B13" s="52" t="s">
        <v>44</v>
      </c>
      <c r="C13" s="367" t="s">
        <v>499</v>
      </c>
      <c r="D13" s="367" t="s">
        <v>31</v>
      </c>
      <c r="E13" s="367" t="s">
        <v>31</v>
      </c>
      <c r="F13" s="367" t="s">
        <v>31</v>
      </c>
      <c r="G13" s="367" t="s">
        <v>31</v>
      </c>
      <c r="H13" s="367" t="s">
        <v>422</v>
      </c>
      <c r="I13" s="367" t="s">
        <v>458</v>
      </c>
      <c r="J13" s="367" t="s">
        <v>31</v>
      </c>
      <c r="K13" s="367" t="s">
        <v>31</v>
      </c>
      <c r="L13" s="367" t="s">
        <v>47</v>
      </c>
      <c r="M13" s="367" t="s">
        <v>31</v>
      </c>
      <c r="N13" s="367" t="s">
        <v>31</v>
      </c>
      <c r="O13" s="367" t="s">
        <v>47</v>
      </c>
      <c r="P13" s="367" t="s">
        <v>422</v>
      </c>
      <c r="Q13" s="367" t="s">
        <v>47</v>
      </c>
      <c r="R13" s="367" t="s">
        <v>49</v>
      </c>
      <c r="S13" s="367" t="s">
        <v>481</v>
      </c>
      <c r="T13" s="367" t="s">
        <v>424</v>
      </c>
      <c r="U13" s="367" t="s">
        <v>31</v>
      </c>
      <c r="V13" s="15"/>
      <c r="W13" s="16"/>
      <c r="X13" s="17"/>
      <c r="Y13" s="53"/>
      <c r="Z13" s="372"/>
      <c r="AA13" s="372"/>
      <c r="AB13" s="372"/>
      <c r="AC13" s="372"/>
      <c r="AD13" s="372"/>
    </row>
    <row r="14" spans="2:33" ht="13.1" customHeight="1" x14ac:dyDescent="0.65">
      <c r="B14" s="52" t="s">
        <v>45</v>
      </c>
      <c r="C14" s="367" t="s">
        <v>429</v>
      </c>
      <c r="D14" s="367" t="s">
        <v>47</v>
      </c>
      <c r="E14" s="367" t="s">
        <v>49</v>
      </c>
      <c r="F14" s="367" t="s">
        <v>47</v>
      </c>
      <c r="G14" s="367" t="s">
        <v>47</v>
      </c>
      <c r="H14" s="367" t="s">
        <v>47</v>
      </c>
      <c r="I14" s="367"/>
      <c r="J14" s="367" t="s">
        <v>47</v>
      </c>
      <c r="K14" s="367" t="s">
        <v>47</v>
      </c>
      <c r="L14" s="367" t="s">
        <v>30</v>
      </c>
      <c r="M14" s="367"/>
      <c r="N14" s="367" t="s">
        <v>47</v>
      </c>
      <c r="O14" s="367" t="s">
        <v>30</v>
      </c>
      <c r="P14" s="367"/>
      <c r="Q14" s="367" t="s">
        <v>30</v>
      </c>
      <c r="R14" s="457" t="s">
        <v>425</v>
      </c>
      <c r="S14" s="454"/>
      <c r="T14" s="367" t="s">
        <v>47</v>
      </c>
      <c r="U14" s="367" t="s">
        <v>47</v>
      </c>
      <c r="V14" s="15"/>
      <c r="W14" s="16"/>
      <c r="X14" s="17"/>
      <c r="Y14" s="53"/>
      <c r="Z14" s="372"/>
      <c r="AA14" s="372"/>
      <c r="AB14" s="372"/>
      <c r="AC14" s="372"/>
      <c r="AD14" s="372"/>
    </row>
    <row r="15" spans="2:33" ht="13.1" customHeight="1" x14ac:dyDescent="0.65">
      <c r="B15" s="52" t="s">
        <v>46</v>
      </c>
      <c r="C15" s="367"/>
      <c r="D15" s="367"/>
      <c r="E15" s="367" t="s">
        <v>47</v>
      </c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 t="s">
        <v>31</v>
      </c>
      <c r="R15" s="367" t="s">
        <v>47</v>
      </c>
      <c r="S15" s="367"/>
      <c r="T15" s="367"/>
      <c r="U15" s="367" t="s">
        <v>425</v>
      </c>
      <c r="V15" s="15"/>
      <c r="W15" s="16"/>
      <c r="X15" s="17"/>
      <c r="Y15" s="53"/>
      <c r="Z15" s="372"/>
      <c r="AA15" s="372"/>
      <c r="AB15" s="372"/>
      <c r="AC15" s="372"/>
      <c r="AD15" s="372"/>
    </row>
    <row r="16" spans="2:33" ht="13.1" customHeight="1" x14ac:dyDescent="0.65">
      <c r="B16" s="52" t="s">
        <v>29</v>
      </c>
      <c r="C16" s="458">
        <v>0.6</v>
      </c>
      <c r="D16" s="367">
        <v>10</v>
      </c>
      <c r="E16" s="367">
        <v>60</v>
      </c>
      <c r="F16" s="367">
        <v>10</v>
      </c>
      <c r="G16" s="367">
        <v>10</v>
      </c>
      <c r="H16" s="367">
        <v>2</v>
      </c>
      <c r="I16" s="367">
        <v>2</v>
      </c>
      <c r="J16" s="367">
        <v>6</v>
      </c>
      <c r="K16" s="367">
        <v>10</v>
      </c>
      <c r="L16" s="367">
        <v>7</v>
      </c>
      <c r="M16" s="367">
        <v>5</v>
      </c>
      <c r="N16" s="367">
        <v>5</v>
      </c>
      <c r="O16" s="367">
        <v>9</v>
      </c>
      <c r="P16" s="367">
        <v>2</v>
      </c>
      <c r="Q16" s="367">
        <v>7</v>
      </c>
      <c r="R16" s="367">
        <v>24</v>
      </c>
      <c r="S16" s="367">
        <v>1</v>
      </c>
      <c r="T16" s="367">
        <v>5</v>
      </c>
      <c r="U16" s="367">
        <v>10</v>
      </c>
      <c r="V16" s="15" t="s">
        <v>50</v>
      </c>
      <c r="W16" s="16" t="s">
        <v>50</v>
      </c>
      <c r="X16" s="17" t="s">
        <v>50</v>
      </c>
      <c r="Y16" s="53" t="s">
        <v>50</v>
      </c>
      <c r="Z16" s="481"/>
      <c r="AA16" s="372"/>
      <c r="AB16" s="372"/>
      <c r="AC16" s="372"/>
      <c r="AD16" s="372"/>
    </row>
    <row r="17" spans="2:34" ht="13.1" customHeight="1" x14ac:dyDescent="0.65">
      <c r="B17" s="52" t="s">
        <v>27</v>
      </c>
      <c r="C17" s="368" t="s">
        <v>593</v>
      </c>
      <c r="D17" s="368" t="s">
        <v>459</v>
      </c>
      <c r="E17" s="368" t="s">
        <v>532</v>
      </c>
      <c r="F17" s="368" t="s">
        <v>460</v>
      </c>
      <c r="G17" s="368" t="s">
        <v>459</v>
      </c>
      <c r="H17" s="368" t="s">
        <v>461</v>
      </c>
      <c r="I17" s="368" t="s">
        <v>461</v>
      </c>
      <c r="J17" s="368" t="s">
        <v>426</v>
      </c>
      <c r="K17" s="368">
        <v>120</v>
      </c>
      <c r="L17" s="368">
        <v>92</v>
      </c>
      <c r="M17" s="368">
        <v>75</v>
      </c>
      <c r="N17" s="368" t="s">
        <v>421</v>
      </c>
      <c r="O17" s="368">
        <v>150</v>
      </c>
      <c r="P17" s="368">
        <v>40</v>
      </c>
      <c r="Q17" s="368" t="s">
        <v>462</v>
      </c>
      <c r="R17" s="368" t="s">
        <v>463</v>
      </c>
      <c r="S17" s="368" t="s">
        <v>482</v>
      </c>
      <c r="T17" s="368">
        <v>75</v>
      </c>
      <c r="U17" s="368">
        <v>130</v>
      </c>
      <c r="V17" s="15" t="s">
        <v>51</v>
      </c>
      <c r="W17" s="16" t="s">
        <v>51</v>
      </c>
      <c r="X17" s="17" t="s">
        <v>51</v>
      </c>
      <c r="Y17" s="53" t="s">
        <v>52</v>
      </c>
      <c r="Z17" s="481"/>
      <c r="AA17" s="372"/>
      <c r="AB17" s="372"/>
      <c r="AC17" s="372"/>
      <c r="AD17" s="372"/>
    </row>
    <row r="18" spans="2:34" ht="13.1" customHeight="1" x14ac:dyDescent="0.65">
      <c r="B18" s="52" t="s">
        <v>26</v>
      </c>
      <c r="C18" s="367" t="s">
        <v>25</v>
      </c>
      <c r="D18" s="367" t="s">
        <v>25</v>
      </c>
      <c r="E18" s="367" t="s">
        <v>25</v>
      </c>
      <c r="F18" s="367" t="s">
        <v>25</v>
      </c>
      <c r="G18" s="367" t="s">
        <v>25</v>
      </c>
      <c r="H18" s="367" t="s">
        <v>25</v>
      </c>
      <c r="I18" s="367" t="s">
        <v>25</v>
      </c>
      <c r="J18" s="367" t="s">
        <v>24</v>
      </c>
      <c r="K18" s="367" t="s">
        <v>24</v>
      </c>
      <c r="L18" s="367" t="s">
        <v>24</v>
      </c>
      <c r="M18" s="367" t="s">
        <v>24</v>
      </c>
      <c r="N18" s="367" t="s">
        <v>24</v>
      </c>
      <c r="O18" s="367" t="s">
        <v>24</v>
      </c>
      <c r="P18" s="367" t="s">
        <v>24</v>
      </c>
      <c r="Q18" s="367" t="s">
        <v>23</v>
      </c>
      <c r="R18" s="367" t="s">
        <v>23</v>
      </c>
      <c r="S18" s="367" t="s">
        <v>25</v>
      </c>
      <c r="T18" s="367" t="s">
        <v>23</v>
      </c>
      <c r="U18" s="367" t="s">
        <v>23</v>
      </c>
      <c r="V18" s="18" t="s">
        <v>25</v>
      </c>
      <c r="W18" s="19" t="s">
        <v>24</v>
      </c>
      <c r="X18" s="20" t="s">
        <v>23</v>
      </c>
      <c r="Y18" s="54" t="s">
        <v>53</v>
      </c>
      <c r="Z18" s="481"/>
      <c r="AA18" s="372"/>
      <c r="AB18" s="372"/>
      <c r="AC18" s="371"/>
      <c r="AD18" s="371"/>
      <c r="AE18" s="366"/>
    </row>
    <row r="19" spans="2:34" ht="13.1" hidden="1" customHeight="1" x14ac:dyDescent="0.75">
      <c r="B19" s="52" t="s">
        <v>416</v>
      </c>
      <c r="C19" s="367"/>
      <c r="D19" s="373"/>
      <c r="E19" s="373"/>
      <c r="F19" s="373"/>
      <c r="G19" s="373"/>
      <c r="H19" s="373"/>
      <c r="I19" s="373"/>
      <c r="J19" s="367"/>
      <c r="K19" s="455" t="s">
        <v>418</v>
      </c>
      <c r="L19" s="373"/>
      <c r="M19" s="373"/>
      <c r="N19" s="373"/>
      <c r="O19" s="373"/>
      <c r="P19" s="373"/>
      <c r="Q19" s="373"/>
      <c r="R19" s="456" t="s">
        <v>417</v>
      </c>
      <c r="S19" s="456"/>
      <c r="T19" s="367"/>
      <c r="U19" s="367"/>
      <c r="V19" s="18"/>
      <c r="W19" s="19"/>
      <c r="X19" s="20"/>
      <c r="Y19" s="54"/>
      <c r="Z19" s="481"/>
      <c r="AA19" s="372"/>
      <c r="AB19" s="372"/>
      <c r="AC19" s="371"/>
      <c r="AD19" s="371"/>
      <c r="AE19" s="366"/>
    </row>
    <row r="20" spans="2:34" ht="13.1" customHeight="1" x14ac:dyDescent="0.65">
      <c r="B20" s="394" t="s">
        <v>7</v>
      </c>
      <c r="C20" s="369"/>
      <c r="D20" s="369"/>
      <c r="E20" s="369"/>
      <c r="F20" s="369"/>
      <c r="G20" s="369"/>
      <c r="H20" s="369"/>
      <c r="I20" s="369"/>
      <c r="J20" s="369"/>
      <c r="K20" s="369"/>
      <c r="L20" s="369"/>
      <c r="M20" s="369"/>
      <c r="N20" s="369"/>
      <c r="O20" s="369"/>
      <c r="P20" s="369"/>
      <c r="Q20" s="369"/>
      <c r="R20" s="369"/>
      <c r="S20" s="369"/>
      <c r="T20" s="369"/>
      <c r="U20" s="369"/>
      <c r="V20" s="29"/>
      <c r="W20" s="30"/>
      <c r="X20" s="31"/>
      <c r="Y20" s="61"/>
      <c r="Z20" s="780"/>
      <c r="AA20" s="371"/>
      <c r="AB20" s="371"/>
      <c r="AC20" s="371"/>
      <c r="AD20" s="371"/>
      <c r="AE20" s="371"/>
      <c r="AF20" s="372"/>
      <c r="AG20" s="372"/>
    </row>
    <row r="21" spans="2:34" ht="13.1" customHeight="1" x14ac:dyDescent="0.65">
      <c r="B21" s="52" t="s">
        <v>6</v>
      </c>
      <c r="C21" s="22">
        <f>SUMPRODUCT(C40:C43,C58:C61)</f>
        <v>18000</v>
      </c>
      <c r="D21" s="22">
        <f>SUMPRODUCT(D40:D43,D58:D61)</f>
        <v>253774</v>
      </c>
      <c r="E21" s="22">
        <f>SUMPRODUCT(E40:E43,E58:E61)</f>
        <v>431720</v>
      </c>
      <c r="F21" s="22">
        <f t="shared" ref="F21:K21" si="0">SUMPRODUCT(F40:F43,F58:F61)</f>
        <v>402614.73850000004</v>
      </c>
      <c r="G21" s="22">
        <f t="shared" si="0"/>
        <v>253774</v>
      </c>
      <c r="H21" s="22">
        <f t="shared" si="0"/>
        <v>0</v>
      </c>
      <c r="I21" s="22">
        <f t="shared" ref="I21" si="1">SUMPRODUCT(I40:I43,I58:I61)</f>
        <v>0</v>
      </c>
      <c r="J21" s="22">
        <f>SUMPRODUCT(J40:J43,J58:J61)</f>
        <v>24809.950199999999</v>
      </c>
      <c r="K21" s="22">
        <f t="shared" si="0"/>
        <v>45148</v>
      </c>
      <c r="L21" s="22">
        <f t="shared" ref="L21:P21" si="2">SUMPRODUCT(L40:L43,L58:L61)</f>
        <v>0</v>
      </c>
      <c r="M21" s="22">
        <f t="shared" si="2"/>
        <v>84541.468999999997</v>
      </c>
      <c r="N21" s="22">
        <f t="shared" si="2"/>
        <v>175224.68387254904</v>
      </c>
      <c r="O21" s="22">
        <f t="shared" si="2"/>
        <v>0</v>
      </c>
      <c r="P21" s="22">
        <f t="shared" si="2"/>
        <v>0</v>
      </c>
      <c r="Q21" s="22">
        <f t="shared" ref="Q21" si="3">SUMPRODUCT(Q40:Q43,Q58:Q61)</f>
        <v>108715.39000000001</v>
      </c>
      <c r="R21" s="22">
        <f t="shared" ref="R21:U21" si="4">SUMPRODUCT(R40:R43,R58:R61)</f>
        <v>0</v>
      </c>
      <c r="S21" s="22"/>
      <c r="T21" s="22">
        <f t="shared" si="4"/>
        <v>11000</v>
      </c>
      <c r="U21" s="22">
        <f t="shared" si="4"/>
        <v>63350</v>
      </c>
      <c r="V21" s="23">
        <f>SUMIF($C$18:$U$18,V$18,$C21:$U21)</f>
        <v>1359882.7385</v>
      </c>
      <c r="W21" s="24">
        <f>SUMIF($C$18:$U$18,W$18,$C21:$U21)</f>
        <v>329724.10307254904</v>
      </c>
      <c r="X21" s="25">
        <f>SUMIF($D$18:$U$18,X$18,$D21:$U21)</f>
        <v>183065.39</v>
      </c>
      <c r="Y21" s="58">
        <f>SUM(V21:X21)</f>
        <v>1872672.2315725489</v>
      </c>
      <c r="Z21" s="52"/>
      <c r="AA21" s="781"/>
      <c r="AB21" s="782"/>
      <c r="AC21" s="783"/>
      <c r="AD21" s="784"/>
      <c r="AE21" s="784"/>
      <c r="AF21" s="776"/>
      <c r="AG21" s="777"/>
      <c r="AH21" s="778"/>
    </row>
    <row r="22" spans="2:34" ht="13.1" customHeight="1" x14ac:dyDescent="0.65">
      <c r="B22" s="52" t="s">
        <v>5</v>
      </c>
      <c r="C22" s="22">
        <v>7404</v>
      </c>
      <c r="D22" s="22">
        <v>10000</v>
      </c>
      <c r="E22" s="22">
        <v>30000</v>
      </c>
      <c r="F22" s="22">
        <v>20000</v>
      </c>
      <c r="G22" s="22">
        <v>10000</v>
      </c>
      <c r="H22" s="22">
        <v>24000</v>
      </c>
      <c r="I22" s="22">
        <v>24000</v>
      </c>
      <c r="J22" s="22">
        <v>1500</v>
      </c>
      <c r="K22" s="22">
        <v>3000</v>
      </c>
      <c r="L22" s="22">
        <v>50000</v>
      </c>
      <c r="M22" s="22">
        <v>0</v>
      </c>
      <c r="N22" s="22">
        <v>23400</v>
      </c>
      <c r="O22" s="22">
        <v>300000</v>
      </c>
      <c r="P22" s="22">
        <v>0</v>
      </c>
      <c r="Q22" s="22">
        <v>215000</v>
      </c>
      <c r="R22" s="22">
        <v>5000</v>
      </c>
      <c r="S22" s="22"/>
      <c r="T22" s="22">
        <v>2178</v>
      </c>
      <c r="U22" s="22">
        <v>15329</v>
      </c>
      <c r="V22" s="23">
        <f>SUMIF($C$18:$U$18,V$18,$C22:$U22)</f>
        <v>125404</v>
      </c>
      <c r="W22" s="23">
        <f>SUMIF($C$18:$U$18,W$18,$C22:$U22)</f>
        <v>377900</v>
      </c>
      <c r="X22" s="23">
        <f>SUMIF($C$18:$U$18,X$18,$C22:$U22)</f>
        <v>237507</v>
      </c>
      <c r="Y22" s="58">
        <f>SUM(V22:X22)</f>
        <v>740811</v>
      </c>
      <c r="Z22" s="52"/>
      <c r="AA22" s="781"/>
      <c r="AB22" s="782"/>
      <c r="AC22" s="783"/>
      <c r="AD22" s="782"/>
      <c r="AE22" s="782"/>
      <c r="AF22" s="779"/>
      <c r="AG22" s="453"/>
      <c r="AH22" s="778"/>
    </row>
    <row r="23" spans="2:34" ht="13.1" customHeight="1" x14ac:dyDescent="0.65">
      <c r="B23" s="52" t="s">
        <v>4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195286</v>
      </c>
      <c r="M23" s="22">
        <v>0</v>
      </c>
      <c r="N23" s="22">
        <v>0</v>
      </c>
      <c r="O23" s="22">
        <v>100000</v>
      </c>
      <c r="P23" s="22">
        <v>0</v>
      </c>
      <c r="Q23" s="22">
        <v>170000</v>
      </c>
      <c r="R23" s="22">
        <v>0</v>
      </c>
      <c r="S23" s="22"/>
      <c r="T23" s="22">
        <v>0</v>
      </c>
      <c r="U23" s="22">
        <v>0</v>
      </c>
      <c r="V23" s="23">
        <f>SUMIF($D$18:$U$18,V$18,$D23:$U23)</f>
        <v>0</v>
      </c>
      <c r="W23" s="24">
        <f>SUMIF($D$18:$U$18,W$18,$D23:$U23)</f>
        <v>295286</v>
      </c>
      <c r="X23" s="25">
        <f>SUMIF($D$18:$U$18,X$18,$D23:$U23)</f>
        <v>170000</v>
      </c>
      <c r="Y23" s="58">
        <f>SUM(V23:X23)</f>
        <v>465286</v>
      </c>
      <c r="Z23" s="52"/>
      <c r="AA23" s="781"/>
      <c r="AB23" s="782"/>
      <c r="AC23" s="783"/>
      <c r="AD23" s="781"/>
      <c r="AE23" s="781"/>
      <c r="AF23" s="375"/>
      <c r="AG23" s="777"/>
      <c r="AH23" s="778"/>
    </row>
    <row r="24" spans="2:34" ht="13.1" customHeight="1" x14ac:dyDescent="0.65">
      <c r="B24" s="52" t="s">
        <v>3</v>
      </c>
      <c r="C24" s="22">
        <v>0</v>
      </c>
      <c r="D24" s="22">
        <v>0</v>
      </c>
      <c r="E24" s="22">
        <v>250000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 t="s">
        <v>457</v>
      </c>
      <c r="Q24" s="22">
        <v>0</v>
      </c>
      <c r="R24" s="22">
        <v>338947</v>
      </c>
      <c r="S24" s="22"/>
      <c r="T24" s="22">
        <v>0</v>
      </c>
      <c r="U24" s="22">
        <v>0</v>
      </c>
      <c r="V24" s="23">
        <f t="shared" ref="V24:X26" si="5">SUMIF($C$18:$U$18,V$18,$C24:$U24)</f>
        <v>250000</v>
      </c>
      <c r="W24" s="23">
        <f t="shared" si="5"/>
        <v>0</v>
      </c>
      <c r="X24" s="23">
        <f t="shared" si="5"/>
        <v>338947</v>
      </c>
      <c r="Y24" s="58">
        <f>SUM(V24:X24)</f>
        <v>588947</v>
      </c>
      <c r="Z24" s="52"/>
      <c r="AA24" s="781"/>
      <c r="AB24" s="782"/>
      <c r="AC24" s="783"/>
      <c r="AD24" s="781"/>
      <c r="AE24" s="781"/>
      <c r="AF24" s="375"/>
      <c r="AG24" s="777"/>
      <c r="AH24" s="778"/>
    </row>
    <row r="25" spans="2:34" ht="13.1" customHeight="1" x14ac:dyDescent="0.65">
      <c r="B25" s="52" t="s">
        <v>427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45526</v>
      </c>
      <c r="Q25" s="22">
        <v>0</v>
      </c>
      <c r="R25" s="22">
        <v>0</v>
      </c>
      <c r="S25" s="22"/>
      <c r="T25" s="22">
        <v>0</v>
      </c>
      <c r="U25" s="22">
        <v>0</v>
      </c>
      <c r="V25" s="23">
        <f t="shared" si="5"/>
        <v>0</v>
      </c>
      <c r="W25" s="23">
        <f t="shared" si="5"/>
        <v>45526</v>
      </c>
      <c r="X25" s="23">
        <f t="shared" si="5"/>
        <v>0</v>
      </c>
      <c r="Y25" s="58">
        <f>SUM(V25:X25)</f>
        <v>45526</v>
      </c>
      <c r="Z25" s="52"/>
      <c r="AA25" s="781"/>
      <c r="AB25" s="782"/>
      <c r="AC25" s="783"/>
      <c r="AD25" s="781"/>
      <c r="AE25" s="781"/>
      <c r="AF25" s="375"/>
      <c r="AG25" s="777"/>
      <c r="AH25" s="778"/>
    </row>
    <row r="26" spans="2:34" ht="13.1" customHeight="1" x14ac:dyDescent="0.65">
      <c r="B26" s="52" t="s">
        <v>498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/>
      <c r="T26" s="22">
        <v>0</v>
      </c>
      <c r="U26" s="22">
        <v>0</v>
      </c>
      <c r="V26" s="23">
        <f t="shared" si="5"/>
        <v>0</v>
      </c>
      <c r="W26" s="23">
        <f t="shared" si="5"/>
        <v>0</v>
      </c>
      <c r="X26" s="23">
        <f t="shared" si="5"/>
        <v>0</v>
      </c>
      <c r="Y26" s="58">
        <f t="shared" ref="Y26" si="6">SUM(V26:X26)</f>
        <v>0</v>
      </c>
      <c r="Z26" s="52"/>
      <c r="AA26" s="781"/>
      <c r="AC26" s="366"/>
      <c r="AD26" s="781"/>
      <c r="AE26" s="781"/>
      <c r="AF26" s="375"/>
      <c r="AG26" s="777"/>
      <c r="AH26" s="778"/>
    </row>
    <row r="27" spans="2:34" ht="13.1" customHeight="1" x14ac:dyDescent="0.65">
      <c r="B27" s="52" t="s">
        <v>456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13000</v>
      </c>
      <c r="K27" s="22">
        <v>30000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35987</v>
      </c>
      <c r="S27" s="22"/>
      <c r="T27" s="22">
        <v>0</v>
      </c>
      <c r="U27" s="22">
        <v>26862</v>
      </c>
      <c r="V27" s="23">
        <f>SUMIF($D$18:$U$18,V$18,$D27:$U27)</f>
        <v>0</v>
      </c>
      <c r="W27" s="23">
        <f>SUMIF($D$18:$U$18,W$18,$D27:$U27)</f>
        <v>43000</v>
      </c>
      <c r="X27" s="23">
        <f>SUMIF($D$18:$U$18,X$18,$D27:$U27)</f>
        <v>62849</v>
      </c>
      <c r="Y27" s="58">
        <f>SUM(V27:X27)</f>
        <v>105849</v>
      </c>
      <c r="Z27" s="52"/>
      <c r="AA27" s="781"/>
      <c r="AC27" s="366"/>
      <c r="AD27" s="781"/>
      <c r="AE27" s="781"/>
      <c r="AF27" s="375"/>
      <c r="AG27" s="777"/>
      <c r="AH27" s="778"/>
    </row>
    <row r="28" spans="2:34" ht="13.1" customHeight="1" x14ac:dyDescent="0.65">
      <c r="B28" s="52" t="s">
        <v>483</v>
      </c>
      <c r="C28" s="22">
        <v>0</v>
      </c>
      <c r="D28" s="22">
        <v>0</v>
      </c>
      <c r="E28" s="22">
        <v>20000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30000</v>
      </c>
      <c r="T28" s="22"/>
      <c r="U28" s="22"/>
      <c r="V28" s="23">
        <f>SUMIF($D$18:$U$18,V$18,$D28:$U28)</f>
        <v>50000</v>
      </c>
      <c r="W28" s="23">
        <f t="shared" ref="W28:X28" si="7">SUMIF($D$18:$U$18,W$18,$D28:$U28)</f>
        <v>0</v>
      </c>
      <c r="X28" s="23">
        <f t="shared" si="7"/>
        <v>0</v>
      </c>
      <c r="Y28" s="58">
        <f>SUM(V28:X28)</f>
        <v>50000</v>
      </c>
      <c r="Z28" s="52"/>
      <c r="AA28" s="781"/>
      <c r="AB28" s="375"/>
      <c r="AC28" s="375"/>
      <c r="AD28" s="375"/>
      <c r="AE28" s="777"/>
      <c r="AF28" s="777"/>
      <c r="AG28" s="777"/>
      <c r="AH28" s="778"/>
    </row>
    <row r="29" spans="2:34" ht="13.1" customHeight="1" x14ac:dyDescent="0.95">
      <c r="B29" s="52" t="s">
        <v>2</v>
      </c>
      <c r="C29" s="751">
        <v>2500</v>
      </c>
      <c r="D29" s="751">
        <v>25306</v>
      </c>
      <c r="E29" s="751">
        <v>76690</v>
      </c>
      <c r="F29" s="751">
        <v>98605</v>
      </c>
      <c r="G29" s="751">
        <v>25306</v>
      </c>
      <c r="H29" s="751">
        <v>0</v>
      </c>
      <c r="I29" s="751">
        <v>0</v>
      </c>
      <c r="J29" s="751">
        <v>2000</v>
      </c>
      <c r="K29" s="751">
        <v>8000</v>
      </c>
      <c r="L29" s="751">
        <v>49774</v>
      </c>
      <c r="M29" s="751">
        <v>11494</v>
      </c>
      <c r="N29" s="751">
        <v>38397</v>
      </c>
      <c r="O29" s="751">
        <v>95838</v>
      </c>
      <c r="P29" s="751">
        <v>0</v>
      </c>
      <c r="Q29" s="751">
        <v>49275</v>
      </c>
      <c r="R29" s="751">
        <v>100000</v>
      </c>
      <c r="S29" s="751"/>
      <c r="T29" s="751">
        <v>979</v>
      </c>
      <c r="U29" s="751">
        <v>8893</v>
      </c>
      <c r="V29" s="26">
        <f>SUMIF($C$18:$U$18,V$18,$C29:$U29)</f>
        <v>228407</v>
      </c>
      <c r="W29" s="26">
        <f>SUMIF($C$18:$U$18,W$18,$C29:$U29)</f>
        <v>205503</v>
      </c>
      <c r="X29" s="26">
        <f>SUMIF($C$18:$U$18,X$18,$C29:$U29)</f>
        <v>159147</v>
      </c>
      <c r="Y29" s="59">
        <f>SUM(V29:X29)</f>
        <v>593057</v>
      </c>
      <c r="Z29" s="375"/>
      <c r="AA29" s="375"/>
      <c r="AB29" s="375"/>
      <c r="AC29" s="375"/>
      <c r="AD29" s="375"/>
      <c r="AE29" s="777"/>
      <c r="AF29" s="777"/>
      <c r="AG29" s="777"/>
      <c r="AH29" s="778"/>
    </row>
    <row r="30" spans="2:34" ht="13.1" customHeight="1" x14ac:dyDescent="0.65">
      <c r="B30" s="52" t="s">
        <v>1</v>
      </c>
      <c r="C30" s="22">
        <f>SUM(C21:C29)</f>
        <v>27904</v>
      </c>
      <c r="D30" s="22">
        <f>SUM(D21:D29)</f>
        <v>289080</v>
      </c>
      <c r="E30" s="22">
        <f>SUM(E21:E29)</f>
        <v>808410</v>
      </c>
      <c r="F30" s="22">
        <f>SUM(F21:F29)</f>
        <v>521219.73850000004</v>
      </c>
      <c r="G30" s="22">
        <f>SUM(G21:G29)</f>
        <v>289080</v>
      </c>
      <c r="H30" s="22">
        <v>24000</v>
      </c>
      <c r="I30" s="22">
        <v>24000</v>
      </c>
      <c r="J30" s="22">
        <f t="shared" ref="J30:U30" si="8">SUM(J21:J29)</f>
        <v>41309.950199999999</v>
      </c>
      <c r="K30" s="22">
        <f t="shared" si="8"/>
        <v>86148</v>
      </c>
      <c r="L30" s="22">
        <f t="shared" si="8"/>
        <v>295060</v>
      </c>
      <c r="M30" s="22">
        <f t="shared" si="8"/>
        <v>96035.468999999997</v>
      </c>
      <c r="N30" s="22">
        <f t="shared" si="8"/>
        <v>237021.68387254904</v>
      </c>
      <c r="O30" s="22">
        <f t="shared" si="8"/>
        <v>495838</v>
      </c>
      <c r="P30" s="22">
        <f t="shared" si="8"/>
        <v>45526</v>
      </c>
      <c r="Q30" s="22">
        <f t="shared" si="8"/>
        <v>542990.39</v>
      </c>
      <c r="R30" s="22">
        <f t="shared" si="8"/>
        <v>479934</v>
      </c>
      <c r="S30" s="22">
        <f t="shared" si="8"/>
        <v>30000</v>
      </c>
      <c r="T30" s="22">
        <f t="shared" si="8"/>
        <v>14157</v>
      </c>
      <c r="U30" s="22">
        <f t="shared" si="8"/>
        <v>114434</v>
      </c>
      <c r="V30" s="23">
        <f>SUMIF($C$18:$U$18,V$18,$C30:$U30)</f>
        <v>2013693.7385</v>
      </c>
      <c r="W30" s="24">
        <f>SUMIF($D$18:$U$18,W$18,$D30:$U30)</f>
        <v>1296939.103072549</v>
      </c>
      <c r="X30" s="25">
        <f>SUMIF($D$18:$U$18,X$18,$D30:$U30)</f>
        <v>1151515.3900000001</v>
      </c>
      <c r="Y30" s="58">
        <f>SUM(V30:X30)</f>
        <v>4462148.2315725498</v>
      </c>
      <c r="Z30" s="375"/>
      <c r="AA30" s="375"/>
      <c r="AB30" s="375"/>
      <c r="AC30" s="375"/>
      <c r="AD30" s="375"/>
      <c r="AE30" s="777"/>
      <c r="AF30" s="777"/>
      <c r="AG30" s="777"/>
      <c r="AH30" s="778"/>
    </row>
    <row r="31" spans="2:34" ht="13.1" customHeight="1" x14ac:dyDescent="0.65">
      <c r="B31" s="52" t="s">
        <v>0</v>
      </c>
      <c r="C31" s="22">
        <f>C30-C29</f>
        <v>25404</v>
      </c>
      <c r="D31" s="22">
        <f>D30-D29</f>
        <v>263774</v>
      </c>
      <c r="E31" s="22">
        <f t="shared" ref="E31:Y31" si="9">E30-E29</f>
        <v>731720</v>
      </c>
      <c r="F31" s="22">
        <f>F30-F29</f>
        <v>422614.73850000004</v>
      </c>
      <c r="G31" s="22">
        <f>G30-G29</f>
        <v>263774</v>
      </c>
      <c r="H31" s="22">
        <f t="shared" ref="H31" si="10">H30-H29</f>
        <v>24000</v>
      </c>
      <c r="I31" s="22">
        <f t="shared" ref="I31:J31" si="11">I30-I29</f>
        <v>24000</v>
      </c>
      <c r="J31" s="22">
        <f t="shared" si="11"/>
        <v>39309.950199999999</v>
      </c>
      <c r="K31" s="22">
        <f>K30-K29</f>
        <v>78148</v>
      </c>
      <c r="L31" s="22">
        <f t="shared" si="9"/>
        <v>245286</v>
      </c>
      <c r="M31" s="22">
        <f t="shared" si="9"/>
        <v>84541.468999999997</v>
      </c>
      <c r="N31" s="22">
        <f t="shared" si="9"/>
        <v>198624.68387254904</v>
      </c>
      <c r="O31" s="22">
        <f t="shared" si="9"/>
        <v>400000</v>
      </c>
      <c r="P31" s="22">
        <f t="shared" si="9"/>
        <v>45526</v>
      </c>
      <c r="Q31" s="22">
        <f t="shared" ref="Q31" si="12">Q30-Q29</f>
        <v>493715.39</v>
      </c>
      <c r="R31" s="22">
        <f t="shared" ref="R31:S31" si="13">R30-R29</f>
        <v>379934</v>
      </c>
      <c r="S31" s="22">
        <f t="shared" si="13"/>
        <v>30000</v>
      </c>
      <c r="T31" s="22">
        <f t="shared" ref="T31" si="14">T30-T29</f>
        <v>13178</v>
      </c>
      <c r="U31" s="22">
        <f t="shared" ref="U31" si="15">U30-U29</f>
        <v>105541</v>
      </c>
      <c r="V31" s="23">
        <f>V30-V29</f>
        <v>1785286.7385</v>
      </c>
      <c r="W31" s="24">
        <f t="shared" si="9"/>
        <v>1091436.103072549</v>
      </c>
      <c r="X31" s="25">
        <f t="shared" si="9"/>
        <v>992368.39000000013</v>
      </c>
      <c r="Y31" s="58">
        <f t="shared" si="9"/>
        <v>3869091.2315725498</v>
      </c>
      <c r="Z31" s="375"/>
      <c r="AA31" s="375"/>
      <c r="AB31" s="375"/>
      <c r="AC31" s="375"/>
      <c r="AD31" s="375"/>
      <c r="AE31" s="777"/>
      <c r="AF31" s="777"/>
      <c r="AG31" s="777"/>
      <c r="AH31" s="778"/>
    </row>
    <row r="32" spans="2:34" ht="13.1" customHeight="1" x14ac:dyDescent="0.65">
      <c r="B32" s="60" t="s">
        <v>93</v>
      </c>
      <c r="C32" s="370">
        <f t="shared" ref="C32" si="16">C31/C30</f>
        <v>0.91040711009174313</v>
      </c>
      <c r="D32" s="370">
        <f>D31/D30</f>
        <v>0.91246021862460214</v>
      </c>
      <c r="E32" s="370">
        <f t="shared" ref="E32:Y32" si="17">E31/E30</f>
        <v>0.90513477072277682</v>
      </c>
      <c r="F32" s="370">
        <f>F31/F30</f>
        <v>0.81081875317352359</v>
      </c>
      <c r="G32" s="370">
        <f>G31/G30</f>
        <v>0.91246021862460214</v>
      </c>
      <c r="H32" s="370">
        <f t="shared" ref="H32" si="18">H31/H30</f>
        <v>1</v>
      </c>
      <c r="I32" s="370">
        <f t="shared" ref="I32:J32" si="19">I31/I30</f>
        <v>1</v>
      </c>
      <c r="J32" s="370">
        <f t="shared" si="19"/>
        <v>0.95158551413601078</v>
      </c>
      <c r="K32" s="370">
        <f>K31/K30</f>
        <v>0.90713655569485074</v>
      </c>
      <c r="L32" s="370">
        <f t="shared" si="17"/>
        <v>0.83130888632820443</v>
      </c>
      <c r="M32" s="370">
        <f t="shared" si="17"/>
        <v>0.88031505318102832</v>
      </c>
      <c r="N32" s="370">
        <f t="shared" si="17"/>
        <v>0.83800216346177514</v>
      </c>
      <c r="O32" s="370">
        <f t="shared" si="17"/>
        <v>0.80671509646295769</v>
      </c>
      <c r="P32" s="370">
        <f t="shared" si="17"/>
        <v>1</v>
      </c>
      <c r="Q32" s="370">
        <f t="shared" ref="Q32" si="20">Q31/Q30</f>
        <v>0.90925253760015901</v>
      </c>
      <c r="R32" s="370">
        <f t="shared" ref="R32:S32" si="21">R31/R30</f>
        <v>0.7916380168939896</v>
      </c>
      <c r="S32" s="370">
        <f t="shared" si="21"/>
        <v>1</v>
      </c>
      <c r="T32" s="370">
        <f t="shared" ref="T32" si="22">T31/T30</f>
        <v>0.93084693084693082</v>
      </c>
      <c r="U32" s="370">
        <f t="shared" ref="U32" si="23">U31/U30</f>
        <v>0.92228708251044267</v>
      </c>
      <c r="V32" s="395">
        <f>V31/V30</f>
        <v>0.88657311902348157</v>
      </c>
      <c r="W32" s="396">
        <f t="shared" si="17"/>
        <v>0.8415476875412673</v>
      </c>
      <c r="X32" s="397">
        <f t="shared" si="17"/>
        <v>0.86179342336015152</v>
      </c>
      <c r="Y32" s="398">
        <f t="shared" si="17"/>
        <v>0.86709159597080554</v>
      </c>
      <c r="Z32" s="372"/>
      <c r="AA32" s="372"/>
      <c r="AB32" s="375"/>
      <c r="AC32" s="375"/>
      <c r="AD32" s="375"/>
      <c r="AE32" s="777"/>
      <c r="AF32" s="777"/>
      <c r="AG32" s="777"/>
      <c r="AH32" s="778"/>
    </row>
    <row r="33" spans="2:34" ht="13.1" customHeight="1" x14ac:dyDescent="0.65">
      <c r="B33" s="399" t="s">
        <v>22</v>
      </c>
      <c r="C33" s="371"/>
      <c r="D33" s="366"/>
      <c r="E33" s="366"/>
      <c r="F33" s="366"/>
      <c r="G33" s="366"/>
      <c r="H33" s="371"/>
      <c r="I33" s="371"/>
      <c r="J33" s="371"/>
      <c r="K33" s="371"/>
      <c r="L33" s="371"/>
      <c r="M33" s="371"/>
      <c r="N33" s="371"/>
      <c r="O33" s="371"/>
      <c r="P33" s="371"/>
      <c r="Q33" s="371"/>
      <c r="R33" s="371"/>
      <c r="S33" s="371"/>
      <c r="T33" s="371"/>
      <c r="U33" s="371"/>
      <c r="V33" s="400"/>
      <c r="W33" s="401"/>
      <c r="X33" s="402"/>
      <c r="Y33" s="403"/>
      <c r="Z33" s="372"/>
      <c r="AA33" s="372"/>
      <c r="AB33" s="777"/>
      <c r="AC33" s="777"/>
      <c r="AD33" s="777"/>
      <c r="AE33" s="777"/>
      <c r="AF33" s="777"/>
      <c r="AG33" s="777"/>
      <c r="AH33" s="778"/>
    </row>
    <row r="34" spans="2:34" ht="13.1" customHeight="1" x14ac:dyDescent="0.65">
      <c r="B34" s="52" t="s">
        <v>21</v>
      </c>
      <c r="C34" s="371" t="s">
        <v>19</v>
      </c>
      <c r="D34" s="371" t="s">
        <v>19</v>
      </c>
      <c r="E34" s="371" t="s">
        <v>19</v>
      </c>
      <c r="F34" s="371" t="s">
        <v>20</v>
      </c>
      <c r="G34" s="371" t="s">
        <v>19</v>
      </c>
      <c r="H34" s="371" t="s">
        <v>9</v>
      </c>
      <c r="I34" s="371" t="s">
        <v>9</v>
      </c>
      <c r="J34" s="371" t="s">
        <v>19</v>
      </c>
      <c r="K34" s="371" t="s">
        <v>19</v>
      </c>
      <c r="L34" s="371" t="s">
        <v>9</v>
      </c>
      <c r="M34" s="371" t="s">
        <v>20</v>
      </c>
      <c r="N34" s="371" t="s">
        <v>20</v>
      </c>
      <c r="O34" s="371" t="s">
        <v>9</v>
      </c>
      <c r="P34" s="371" t="s">
        <v>9</v>
      </c>
      <c r="Q34" s="371" t="s">
        <v>19</v>
      </c>
      <c r="R34" s="371" t="s">
        <v>9</v>
      </c>
      <c r="S34" s="371"/>
      <c r="T34" s="371" t="s">
        <v>20</v>
      </c>
      <c r="U34" s="371" t="s">
        <v>20</v>
      </c>
      <c r="V34" s="400"/>
      <c r="W34" s="401"/>
      <c r="X34" s="402"/>
      <c r="Y34" s="403"/>
      <c r="Z34" s="372"/>
      <c r="AA34" s="372"/>
      <c r="AB34" s="777"/>
      <c r="AC34" s="777"/>
      <c r="AD34" s="777"/>
      <c r="AE34" s="777"/>
      <c r="AF34" s="777"/>
      <c r="AG34" s="777"/>
      <c r="AH34" s="778"/>
    </row>
    <row r="35" spans="2:34" ht="13.1" customHeight="1" x14ac:dyDescent="0.65">
      <c r="B35" s="52" t="s">
        <v>18</v>
      </c>
      <c r="C35" s="22">
        <f t="shared" ref="C35" si="24">SUM(C40:C43)</f>
        <v>20</v>
      </c>
      <c r="D35" s="22">
        <f>SUM(D40:D43)</f>
        <v>256</v>
      </c>
      <c r="E35" s="22">
        <f t="shared" ref="E35:P35" si="25">SUM(E40:E43)</f>
        <v>540</v>
      </c>
      <c r="F35" s="22">
        <f>SUM(F40:F43)</f>
        <v>475</v>
      </c>
      <c r="G35" s="22">
        <f>SUM(G40:G43)</f>
        <v>256</v>
      </c>
      <c r="H35" s="22">
        <f t="shared" ref="H35" si="26">SUM(H40:H43)</f>
        <v>0</v>
      </c>
      <c r="I35" s="22">
        <f t="shared" ref="I35:J35" si="27">SUM(I40:I43)</f>
        <v>0</v>
      </c>
      <c r="J35" s="22">
        <f t="shared" si="27"/>
        <v>30</v>
      </c>
      <c r="K35" s="22">
        <f>SUM(K40:K43)</f>
        <v>50</v>
      </c>
      <c r="L35" s="22">
        <f t="shared" si="25"/>
        <v>0</v>
      </c>
      <c r="M35" s="22">
        <f t="shared" si="25"/>
        <v>125</v>
      </c>
      <c r="N35" s="22">
        <f t="shared" si="25"/>
        <v>247</v>
      </c>
      <c r="O35" s="22">
        <f t="shared" si="25"/>
        <v>0</v>
      </c>
      <c r="P35" s="22">
        <f t="shared" si="25"/>
        <v>0</v>
      </c>
      <c r="Q35" s="22">
        <f t="shared" ref="Q35" si="28">SUM(Q40:Q43)</f>
        <v>180</v>
      </c>
      <c r="R35" s="22">
        <f t="shared" ref="R35" si="29">SUM(R40:R43)</f>
        <v>0</v>
      </c>
      <c r="S35" s="22"/>
      <c r="T35" s="22">
        <f t="shared" ref="T35" si="30">SUM(T40:T43)</f>
        <v>11</v>
      </c>
      <c r="U35" s="22">
        <f t="shared" ref="U35" si="31">SUM(U40:U43)</f>
        <v>82</v>
      </c>
      <c r="V35" s="23">
        <f t="shared" ref="V35:X55" si="32">SUMIF($C$18:$U$18,V$18,$C35:$U35)</f>
        <v>1547</v>
      </c>
      <c r="W35" s="23">
        <f t="shared" si="32"/>
        <v>452</v>
      </c>
      <c r="X35" s="23">
        <f t="shared" si="32"/>
        <v>273</v>
      </c>
      <c r="Y35" s="55">
        <f>SUM(V35:X35)</f>
        <v>2272</v>
      </c>
      <c r="Z35" s="372"/>
      <c r="AA35" s="372"/>
      <c r="AB35" s="777"/>
      <c r="AC35" s="777"/>
      <c r="AD35" s="777"/>
      <c r="AE35" s="777"/>
      <c r="AF35" s="777"/>
      <c r="AG35" s="777"/>
      <c r="AH35" s="778"/>
    </row>
    <row r="36" spans="2:34" ht="13.1" customHeight="1" x14ac:dyDescent="0.65">
      <c r="B36" s="52" t="s">
        <v>572</v>
      </c>
      <c r="C36" s="22">
        <f t="shared" ref="C36" si="33">SUM(C46:C49)</f>
        <v>1</v>
      </c>
      <c r="D36" s="22">
        <f t="shared" ref="D36:P36" si="34">SUM(D46:D49)</f>
        <v>19</v>
      </c>
      <c r="E36" s="22">
        <f t="shared" si="34"/>
        <v>56</v>
      </c>
      <c r="F36" s="22">
        <f t="shared" ref="F36:K36" si="35">SUM(F46:F49)</f>
        <v>40</v>
      </c>
      <c r="G36" s="22">
        <f t="shared" si="35"/>
        <v>19</v>
      </c>
      <c r="H36" s="22">
        <f t="shared" si="35"/>
        <v>0</v>
      </c>
      <c r="I36" s="22">
        <f t="shared" ref="I36:J36" si="36">SUM(I46:I49)</f>
        <v>0</v>
      </c>
      <c r="J36" s="22">
        <f t="shared" si="36"/>
        <v>3</v>
      </c>
      <c r="K36" s="22">
        <f t="shared" si="35"/>
        <v>5</v>
      </c>
      <c r="L36" s="22">
        <f t="shared" si="34"/>
        <v>0</v>
      </c>
      <c r="M36" s="22">
        <f t="shared" si="34"/>
        <v>15</v>
      </c>
      <c r="N36" s="22">
        <f t="shared" si="34"/>
        <v>26</v>
      </c>
      <c r="O36" s="22">
        <f t="shared" si="34"/>
        <v>0</v>
      </c>
      <c r="P36" s="22">
        <f t="shared" si="34"/>
        <v>0</v>
      </c>
      <c r="Q36" s="22">
        <f t="shared" ref="Q36" si="37">SUM(Q46:Q49)</f>
        <v>10</v>
      </c>
      <c r="R36" s="22">
        <f t="shared" ref="R36" si="38">SUM(R46:R49)</f>
        <v>0</v>
      </c>
      <c r="S36" s="22"/>
      <c r="T36" s="22">
        <f t="shared" ref="T36" si="39">SUM(T46:T49)</f>
        <v>1</v>
      </c>
      <c r="U36" s="22">
        <f t="shared" ref="U36" si="40">SUM(U46:U49)</f>
        <v>7</v>
      </c>
      <c r="V36" s="23">
        <f t="shared" si="32"/>
        <v>135</v>
      </c>
      <c r="W36" s="23">
        <f t="shared" si="32"/>
        <v>49</v>
      </c>
      <c r="X36" s="23">
        <f t="shared" si="32"/>
        <v>18</v>
      </c>
      <c r="Y36" s="55">
        <f>SUM(V36:X36)</f>
        <v>202</v>
      </c>
      <c r="Z36" s="372"/>
      <c r="AA36" s="404"/>
      <c r="AB36" s="776"/>
      <c r="AC36" s="776"/>
      <c r="AD36" s="776"/>
      <c r="AE36" s="777"/>
      <c r="AF36" s="777"/>
      <c r="AG36" s="777"/>
      <c r="AH36" s="778"/>
    </row>
    <row r="37" spans="2:34" ht="13.1" customHeight="1" x14ac:dyDescent="0.65">
      <c r="B37" s="52" t="s">
        <v>17</v>
      </c>
      <c r="C37" s="22">
        <f t="shared" ref="C37" si="41">C35-C36</f>
        <v>19</v>
      </c>
      <c r="D37" s="22">
        <f t="shared" ref="D37:P37" si="42">D35-D36</f>
        <v>237</v>
      </c>
      <c r="E37" s="22">
        <f t="shared" si="42"/>
        <v>484</v>
      </c>
      <c r="F37" s="22">
        <f t="shared" ref="F37:K37" si="43">F35-F36</f>
        <v>435</v>
      </c>
      <c r="G37" s="22">
        <f t="shared" si="43"/>
        <v>237</v>
      </c>
      <c r="H37" s="22">
        <f t="shared" si="43"/>
        <v>0</v>
      </c>
      <c r="I37" s="22">
        <f t="shared" ref="I37:J37" si="44">I35-I36</f>
        <v>0</v>
      </c>
      <c r="J37" s="22">
        <f t="shared" si="44"/>
        <v>27</v>
      </c>
      <c r="K37" s="22">
        <f t="shared" si="43"/>
        <v>45</v>
      </c>
      <c r="L37" s="22">
        <f t="shared" si="42"/>
        <v>0</v>
      </c>
      <c r="M37" s="22">
        <f t="shared" si="42"/>
        <v>110</v>
      </c>
      <c r="N37" s="22">
        <f t="shared" si="42"/>
        <v>221</v>
      </c>
      <c r="O37" s="22">
        <f t="shared" si="42"/>
        <v>0</v>
      </c>
      <c r="P37" s="22">
        <f t="shared" si="42"/>
        <v>0</v>
      </c>
      <c r="Q37" s="22">
        <f t="shared" ref="Q37" si="45">Q35-Q36</f>
        <v>170</v>
      </c>
      <c r="R37" s="22">
        <f t="shared" ref="R37" si="46">R35-R36</f>
        <v>0</v>
      </c>
      <c r="S37" s="22"/>
      <c r="T37" s="22">
        <f t="shared" ref="T37" si="47">T35-T36</f>
        <v>10</v>
      </c>
      <c r="U37" s="22">
        <f t="shared" ref="U37" si="48">U35-U36</f>
        <v>75</v>
      </c>
      <c r="V37" s="23">
        <f t="shared" si="32"/>
        <v>1412</v>
      </c>
      <c r="W37" s="23">
        <f t="shared" si="32"/>
        <v>403</v>
      </c>
      <c r="X37" s="23">
        <f t="shared" si="32"/>
        <v>255</v>
      </c>
      <c r="Y37" s="55">
        <f>SUM(V37:X37)</f>
        <v>2070</v>
      </c>
      <c r="Z37" s="372"/>
      <c r="AA37" s="404"/>
      <c r="AB37" s="404"/>
      <c r="AC37" s="404"/>
      <c r="AD37" s="404"/>
      <c r="AE37" s="372"/>
      <c r="AF37" s="372"/>
      <c r="AG37" s="372"/>
    </row>
    <row r="38" spans="2:34" ht="13.1" customHeight="1" x14ac:dyDescent="0.65">
      <c r="B38" s="52"/>
      <c r="C38" s="371"/>
      <c r="D38" s="366"/>
      <c r="E38" s="366"/>
      <c r="F38" s="366"/>
      <c r="G38" s="366"/>
      <c r="H38" s="371"/>
      <c r="I38" s="371"/>
      <c r="J38" s="371"/>
      <c r="K38" s="371"/>
      <c r="L38" s="371"/>
      <c r="M38" s="371"/>
      <c r="N38" s="371"/>
      <c r="O38" s="371"/>
      <c r="P38" s="371"/>
      <c r="Q38" s="371"/>
      <c r="R38" s="371"/>
      <c r="S38" s="371"/>
      <c r="T38" s="371"/>
      <c r="U38" s="371"/>
      <c r="V38" s="23">
        <f t="shared" si="32"/>
        <v>0</v>
      </c>
      <c r="W38" s="23">
        <f t="shared" si="32"/>
        <v>0</v>
      </c>
      <c r="X38" s="23">
        <f t="shared" si="32"/>
        <v>0</v>
      </c>
      <c r="Y38" s="403"/>
      <c r="Z38" s="372"/>
      <c r="AA38" s="372"/>
      <c r="AB38" s="372"/>
      <c r="AC38" s="372"/>
      <c r="AD38" s="372"/>
      <c r="AE38" s="372"/>
      <c r="AF38" s="372"/>
      <c r="AG38" s="372"/>
    </row>
    <row r="39" spans="2:34" ht="13.1" customHeight="1" x14ac:dyDescent="0.65">
      <c r="B39" s="57" t="s">
        <v>16</v>
      </c>
      <c r="C39" s="371"/>
      <c r="D39" s="366"/>
      <c r="E39" s="366"/>
      <c r="F39" s="366"/>
      <c r="G39" s="366"/>
      <c r="H39" s="371"/>
      <c r="I39" s="371"/>
      <c r="J39" s="371"/>
      <c r="K39" s="371"/>
      <c r="L39" s="371"/>
      <c r="M39" s="371"/>
      <c r="N39" s="371"/>
      <c r="O39" s="371"/>
      <c r="P39" s="371"/>
      <c r="Q39" s="371"/>
      <c r="R39" s="371"/>
      <c r="S39" s="371"/>
      <c r="T39" s="371"/>
      <c r="U39" s="371"/>
      <c r="V39" s="23">
        <f t="shared" si="32"/>
        <v>0</v>
      </c>
      <c r="W39" s="23">
        <f t="shared" si="32"/>
        <v>0</v>
      </c>
      <c r="X39" s="23">
        <f t="shared" si="32"/>
        <v>0</v>
      </c>
      <c r="Y39" s="403"/>
      <c r="Z39" s="372"/>
      <c r="AA39" s="372"/>
      <c r="AB39" s="372"/>
      <c r="AC39" s="372"/>
      <c r="AD39" s="372"/>
      <c r="AE39" s="372"/>
      <c r="AF39" s="372"/>
      <c r="AG39" s="372"/>
    </row>
    <row r="40" spans="2:34" ht="13.1" customHeight="1" x14ac:dyDescent="0.65">
      <c r="B40" s="52" t="s">
        <v>13</v>
      </c>
      <c r="C40" s="22">
        <v>4</v>
      </c>
      <c r="D40" s="22">
        <v>82</v>
      </c>
      <c r="E40" s="22">
        <v>100</v>
      </c>
      <c r="F40" s="22">
        <v>0</v>
      </c>
      <c r="G40" s="22">
        <v>82</v>
      </c>
      <c r="H40" s="22">
        <v>0</v>
      </c>
      <c r="I40" s="22">
        <v>0</v>
      </c>
      <c r="J40" s="22">
        <v>12</v>
      </c>
      <c r="K40" s="22">
        <v>24</v>
      </c>
      <c r="L40" s="22">
        <v>0</v>
      </c>
      <c r="M40" s="22">
        <v>40</v>
      </c>
      <c r="N40" s="22">
        <v>75</v>
      </c>
      <c r="O40" s="22"/>
      <c r="P40" s="22">
        <v>0</v>
      </c>
      <c r="Q40" s="22">
        <v>80</v>
      </c>
      <c r="R40" s="22">
        <v>0</v>
      </c>
      <c r="S40" s="22"/>
      <c r="T40" s="22">
        <v>0</v>
      </c>
      <c r="U40" s="22">
        <v>0</v>
      </c>
      <c r="V40" s="23">
        <f t="shared" si="32"/>
        <v>268</v>
      </c>
      <c r="W40" s="23">
        <f t="shared" si="32"/>
        <v>151</v>
      </c>
      <c r="X40" s="23">
        <f t="shared" si="32"/>
        <v>80</v>
      </c>
      <c r="Y40" s="55">
        <f>SUM(V40:X40)</f>
        <v>499</v>
      </c>
      <c r="Z40" s="372"/>
      <c r="AA40" s="372"/>
      <c r="AB40" s="372"/>
      <c r="AC40" s="372"/>
      <c r="AD40" s="372"/>
      <c r="AE40" s="372"/>
      <c r="AF40" s="372"/>
      <c r="AG40" s="372"/>
    </row>
    <row r="41" spans="2:34" ht="13.1" customHeight="1" x14ac:dyDescent="0.65">
      <c r="B41" s="52" t="s">
        <v>12</v>
      </c>
      <c r="C41" s="22">
        <v>0</v>
      </c>
      <c r="D41" s="22">
        <v>110</v>
      </c>
      <c r="E41" s="22">
        <v>200</v>
      </c>
      <c r="F41" s="22">
        <v>190</v>
      </c>
      <c r="G41" s="22">
        <v>110</v>
      </c>
      <c r="H41" s="22">
        <v>0</v>
      </c>
      <c r="I41" s="22">
        <v>0</v>
      </c>
      <c r="J41" s="22">
        <v>12</v>
      </c>
      <c r="K41" s="22">
        <v>18</v>
      </c>
      <c r="L41" s="22">
        <v>0</v>
      </c>
      <c r="M41" s="22">
        <v>50</v>
      </c>
      <c r="N41" s="22">
        <v>150</v>
      </c>
      <c r="O41" s="22"/>
      <c r="P41" s="22">
        <v>0</v>
      </c>
      <c r="Q41" s="22">
        <v>100</v>
      </c>
      <c r="R41" s="22">
        <v>0</v>
      </c>
      <c r="S41" s="22"/>
      <c r="T41" s="22">
        <v>0</v>
      </c>
      <c r="U41" s="22">
        <v>50</v>
      </c>
      <c r="V41" s="23">
        <f t="shared" si="32"/>
        <v>610</v>
      </c>
      <c r="W41" s="23">
        <f t="shared" si="32"/>
        <v>230</v>
      </c>
      <c r="X41" s="23">
        <f t="shared" si="32"/>
        <v>150</v>
      </c>
      <c r="Y41" s="55">
        <f>SUM(V41:X41)</f>
        <v>990</v>
      </c>
      <c r="Z41" s="372"/>
      <c r="AA41" s="372"/>
      <c r="AB41" s="372"/>
      <c r="AC41" s="372"/>
      <c r="AD41" s="372"/>
      <c r="AE41" s="372"/>
      <c r="AF41" s="372"/>
      <c r="AG41" s="372"/>
    </row>
    <row r="42" spans="2:34" ht="13.1" customHeight="1" x14ac:dyDescent="0.65">
      <c r="B42" s="52" t="s">
        <v>11</v>
      </c>
      <c r="C42" s="22">
        <v>16</v>
      </c>
      <c r="D42" s="22">
        <v>64</v>
      </c>
      <c r="E42" s="22">
        <v>160</v>
      </c>
      <c r="F42" s="22">
        <v>175</v>
      </c>
      <c r="G42" s="22">
        <v>64</v>
      </c>
      <c r="H42" s="22">
        <v>0</v>
      </c>
      <c r="I42" s="22">
        <v>0</v>
      </c>
      <c r="J42" s="22">
        <v>6</v>
      </c>
      <c r="K42" s="22">
        <v>8</v>
      </c>
      <c r="L42" s="22">
        <v>0</v>
      </c>
      <c r="M42" s="22">
        <v>20</v>
      </c>
      <c r="N42" s="22">
        <v>12</v>
      </c>
      <c r="O42" s="22"/>
      <c r="P42" s="22">
        <v>0</v>
      </c>
      <c r="Q42" s="22">
        <v>0</v>
      </c>
      <c r="R42" s="22">
        <v>0</v>
      </c>
      <c r="S42" s="22"/>
      <c r="T42" s="22">
        <v>11</v>
      </c>
      <c r="U42" s="22">
        <v>32</v>
      </c>
      <c r="V42" s="23">
        <f t="shared" si="32"/>
        <v>479</v>
      </c>
      <c r="W42" s="23">
        <f t="shared" si="32"/>
        <v>46</v>
      </c>
      <c r="X42" s="23">
        <f t="shared" si="32"/>
        <v>43</v>
      </c>
      <c r="Y42" s="55">
        <f>SUM(V42:X42)</f>
        <v>568</v>
      </c>
      <c r="Z42" s="372"/>
      <c r="AA42" s="372"/>
      <c r="AB42" s="372"/>
      <c r="AC42" s="372"/>
      <c r="AD42" s="372"/>
      <c r="AE42" s="372"/>
      <c r="AF42" s="372"/>
      <c r="AG42" s="372"/>
    </row>
    <row r="43" spans="2:34" ht="13.1" customHeight="1" x14ac:dyDescent="0.65">
      <c r="B43" s="52" t="s">
        <v>10</v>
      </c>
      <c r="C43" s="22"/>
      <c r="D43" s="22">
        <v>0</v>
      </c>
      <c r="E43" s="22">
        <v>80</v>
      </c>
      <c r="F43" s="22">
        <v>110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15</v>
      </c>
      <c r="N43" s="22">
        <v>10</v>
      </c>
      <c r="O43" s="22"/>
      <c r="P43" s="22">
        <v>0</v>
      </c>
      <c r="Q43" s="22">
        <v>0</v>
      </c>
      <c r="R43" s="22">
        <v>0</v>
      </c>
      <c r="S43" s="22"/>
      <c r="T43" s="22">
        <v>0</v>
      </c>
      <c r="U43" s="22">
        <v>0</v>
      </c>
      <c r="V43" s="23">
        <f t="shared" si="32"/>
        <v>190</v>
      </c>
      <c r="W43" s="23">
        <f t="shared" si="32"/>
        <v>25</v>
      </c>
      <c r="X43" s="23">
        <f t="shared" si="32"/>
        <v>0</v>
      </c>
      <c r="Y43" s="55">
        <f>SUM(V43:X43)</f>
        <v>215</v>
      </c>
      <c r="Z43" s="372"/>
      <c r="AA43" s="372"/>
      <c r="AB43" s="372"/>
      <c r="AC43" s="372"/>
      <c r="AD43" s="372"/>
      <c r="AE43" s="372"/>
      <c r="AF43" s="372"/>
      <c r="AG43" s="372"/>
    </row>
    <row r="44" spans="2:34" ht="13.1" customHeight="1" x14ac:dyDescent="0.65">
      <c r="B44" s="5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>
        <f t="shared" si="32"/>
        <v>0</v>
      </c>
      <c r="W44" s="23">
        <f t="shared" si="32"/>
        <v>0</v>
      </c>
      <c r="X44" s="23">
        <f t="shared" si="32"/>
        <v>0</v>
      </c>
      <c r="Y44" s="55"/>
      <c r="Z44" s="372"/>
      <c r="AA44" s="372"/>
      <c r="AB44" s="372"/>
      <c r="AC44" s="372"/>
      <c r="AD44" s="372"/>
      <c r="AE44" s="372"/>
      <c r="AF44" s="372"/>
      <c r="AG44" s="372"/>
    </row>
    <row r="45" spans="2:34" ht="13.1" customHeight="1" x14ac:dyDescent="0.65">
      <c r="B45" s="57" t="s">
        <v>573</v>
      </c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3">
        <f t="shared" si="32"/>
        <v>0</v>
      </c>
      <c r="W45" s="23">
        <f t="shared" si="32"/>
        <v>0</v>
      </c>
      <c r="X45" s="23">
        <f t="shared" si="32"/>
        <v>0</v>
      </c>
      <c r="Y45" s="55"/>
      <c r="Z45" s="372"/>
      <c r="AA45" s="372"/>
      <c r="AB45" s="372"/>
      <c r="AC45" s="372"/>
      <c r="AD45" s="372"/>
      <c r="AE45" s="372"/>
      <c r="AF45" s="372"/>
      <c r="AG45" s="372"/>
    </row>
    <row r="46" spans="2:34" ht="13.1" customHeight="1" x14ac:dyDescent="0.65">
      <c r="B46" s="52" t="s">
        <v>13</v>
      </c>
      <c r="C46" s="22">
        <v>0</v>
      </c>
      <c r="D46" s="22">
        <v>0</v>
      </c>
      <c r="E46" s="22">
        <f>ROUNDUP(ROUNDUP(IF(E34="Condominium",E35*'Assumptions-ResRental'!$P$16,E35*'Assumptions-ResRental'!$P$17),0)*'Assumptions-ResRental'!$P$21,0)</f>
        <v>11</v>
      </c>
      <c r="F46" s="22">
        <v>0</v>
      </c>
      <c r="G46" s="22">
        <v>0</v>
      </c>
      <c r="H46" s="22">
        <f>ROUNDUP(ROUNDUP(IF(H34="Condominium",H35*'Assumptions-ResRental'!$P$16,H35*'Assumptions-ResRental'!$P$17),0)*'Assumptions-ResRental'!$P$21,0)</f>
        <v>0</v>
      </c>
      <c r="I46" s="22">
        <f>ROUNDUP(ROUNDUP(IF(I34="Condominium",I35*'Assumptions-ResRental'!$P$16,I35*'Assumptions-ResRental'!$P$17),0)*'Assumptions-ResRental'!$P$21,0)</f>
        <v>0</v>
      </c>
      <c r="J46" s="22">
        <v>0</v>
      </c>
      <c r="K46" s="22">
        <f>ROUNDUP(ROUNDUP(IF(K34="Condominium",K35*'Assumptions-ResRental'!$P$16,K35*'Assumptions-ResRental'!$P$17),0)*'Assumptions-ResRental'!$P$21,0)</f>
        <v>1</v>
      </c>
      <c r="L46" s="22">
        <f>ROUNDUP(ROUNDUP(IF(L34="Condominium",L35*'Assumptions-ResRental'!$P$16,L35*'Assumptions-ResRental'!$P$17),0)*'Assumptions-ResRental'!$P$21,0)</f>
        <v>0</v>
      </c>
      <c r="M46" s="22">
        <f>ROUNDUP(ROUNDUP(IF(M34="Condominium",M35*'Assumptions-ResRental'!$P$16,M35*'Assumptions-ResRental'!$P$17),0)*'Assumptions-ResRental'!$P$21,0)</f>
        <v>3</v>
      </c>
      <c r="N46" s="22">
        <f>ROUNDUP(ROUNDUP(IF(N34="Condominium",N35*'Assumptions-ResRental'!$P$16,N35*'Assumptions-ResRental'!$P$17),0)*'Assumptions-ResRental'!$P$21,0)</f>
        <v>5</v>
      </c>
      <c r="O46" s="22">
        <f>ROUNDUP(ROUNDUP(IF(O34="Condominium",O35*'Assumptions-ResRental'!$P$16,O35*'Assumptions-ResRental'!$P$17),0)*'Assumptions-ResRental'!$P$21,0)</f>
        <v>0</v>
      </c>
      <c r="P46" s="22">
        <f>ROUNDUP(ROUNDUP(IF(P34="Condominium",P35*'Assumptions-ResRental'!$P$16,P35*'Assumptions-ResRental'!$P$17),0)*'Assumptions-ResRental'!$P$21,0)</f>
        <v>0</v>
      </c>
      <c r="Q46" s="22">
        <f>ROUNDUP(ROUNDUP(IF(Q34="Condominium",Q35*'Assumptions-ResRental'!$P$16,Q35*'Assumptions-ResRental'!$P$17),0)*'Assumptions-ResRental'!$P$21,0)</f>
        <v>4</v>
      </c>
      <c r="R46" s="22">
        <f>ROUNDUP(ROUNDUP(IF(R34="Condominium",R35*'Assumptions-ResRental'!$P$16,R35*'Assumptions-ResRental'!$P$17),0)*'Assumptions-ResRental'!$P$21,0)</f>
        <v>0</v>
      </c>
      <c r="S46" s="22"/>
      <c r="T46" s="22">
        <v>0</v>
      </c>
      <c r="U46" s="22">
        <v>0</v>
      </c>
      <c r="V46" s="23">
        <f t="shared" si="32"/>
        <v>11</v>
      </c>
      <c r="W46" s="23">
        <f t="shared" si="32"/>
        <v>9</v>
      </c>
      <c r="X46" s="23">
        <f t="shared" si="32"/>
        <v>4</v>
      </c>
      <c r="Y46" s="55">
        <f>SUM(V46:X46)</f>
        <v>24</v>
      </c>
      <c r="Z46" s="372"/>
      <c r="AA46" s="372"/>
      <c r="AB46" s="372"/>
      <c r="AC46" s="372"/>
      <c r="AD46" s="372"/>
      <c r="AE46" s="372"/>
      <c r="AF46" s="372"/>
      <c r="AG46" s="372"/>
    </row>
    <row r="47" spans="2:34" ht="13.1" customHeight="1" x14ac:dyDescent="0.65">
      <c r="B47" s="52" t="s">
        <v>12</v>
      </c>
      <c r="C47" s="22">
        <v>0</v>
      </c>
      <c r="D47" s="22">
        <f>ROUNDUP(ROUNDUP(IF(D34="Condominium",D35*'Assumptions-ResRental'!$P$16,D35*'Assumptions-ResRental'!$P$17),0)*'Assumptions-ResRental'!$P$22,0)</f>
        <v>8</v>
      </c>
      <c r="E47" s="22">
        <f>ROUNDUP(ROUNDUP(IF(E34="Condominium",E35*'Assumptions-ResRental'!$P$16,E35*'Assumptions-ResRental'!$P$17),0)*'Assumptions-ResRental'!$P$22,0)</f>
        <v>17</v>
      </c>
      <c r="F47" s="22">
        <f>ROUNDUP(ROUNDUP(IF(F34="Condominium",F35*'Assumptions-ResRental'!$P$16,F35*'Assumptions-ResRental'!$P$17),0)*'Assumptions-ResRental'!$P$22,0)</f>
        <v>15</v>
      </c>
      <c r="G47" s="22">
        <f>ROUNDUP(ROUNDUP(IF(G34="Condominium",G35*'Assumptions-ResRental'!$P$16,G35*'Assumptions-ResRental'!$P$17),0)*'Assumptions-ResRental'!$P$22,0)</f>
        <v>8</v>
      </c>
      <c r="H47" s="22">
        <f>ROUNDUP(ROUNDUP(IF(H34="Condominium",H35*'Assumptions-ResRental'!$P$16,H35*'Assumptions-ResRental'!$P$17),0)*'Assumptions-ResRental'!$P$22,0)</f>
        <v>0</v>
      </c>
      <c r="I47" s="22">
        <f>ROUNDUP(ROUNDUP(IF(I34="Condominium",I35*'Assumptions-ResRental'!$P$16,I35*'Assumptions-ResRental'!$P$17),0)*'Assumptions-ResRental'!$P$22,0)</f>
        <v>0</v>
      </c>
      <c r="J47" s="22">
        <v>0</v>
      </c>
      <c r="K47" s="22">
        <f>ROUNDUP(ROUNDUP(IF(K34="Condominium",K35*'Assumptions-ResRental'!$P$16,K35*'Assumptions-ResRental'!$P$17),0)*'Assumptions-ResRental'!$P$22,0)</f>
        <v>2</v>
      </c>
      <c r="L47" s="22">
        <f>ROUNDUP(ROUNDUP(IF(L34="Condominium",L35*'Assumptions-ResRental'!$P$16,L35*'Assumptions-ResRental'!$P$17),0)*'Assumptions-ResRental'!$P$22,0)</f>
        <v>0</v>
      </c>
      <c r="M47" s="22">
        <f>ROUNDUP(ROUNDUP(IF(M34="Condominium",M35*'Assumptions-ResRental'!$P$16,M35*'Assumptions-ResRental'!$P$17),0)*'Assumptions-ResRental'!$P$22,0)</f>
        <v>4</v>
      </c>
      <c r="N47" s="22">
        <f>ROUNDUP(ROUNDUP(IF(N34="Condominium",N35*'Assumptions-ResRental'!$P$16,N35*'Assumptions-ResRental'!$P$17),0)*'Assumptions-ResRental'!$P$22,0)</f>
        <v>8</v>
      </c>
      <c r="O47" s="22">
        <f>ROUNDUP(ROUNDUP(IF(O34="Condominium",O35*'Assumptions-ResRental'!$P$16,O35*'Assumptions-ResRental'!$P$17),0)*'Assumptions-ResRental'!$P$22,0)</f>
        <v>0</v>
      </c>
      <c r="P47" s="22">
        <f>ROUNDUP(ROUNDUP(IF(P34="Condominium",P35*'Assumptions-ResRental'!$P$16,P35*'Assumptions-ResRental'!$P$17),0)*'Assumptions-ResRental'!$P$22,0)</f>
        <v>0</v>
      </c>
      <c r="Q47" s="22">
        <f>ROUNDUP(ROUNDUP(IF(Q34="Condominium",Q35*'Assumptions-ResRental'!$P$16,Q35*'Assumptions-ResRental'!$P$17),0)*'Assumptions-ResRental'!$P$22,0)</f>
        <v>6</v>
      </c>
      <c r="R47" s="22">
        <f>ROUNDUP(ROUNDUP(IF(R34="Condominium",R35*'Assumptions-ResRental'!$P$16,R35*'Assumptions-ResRental'!$P$17),0)*'Assumptions-ResRental'!$P$22,0)</f>
        <v>0</v>
      </c>
      <c r="S47" s="22"/>
      <c r="T47" s="22">
        <v>0</v>
      </c>
      <c r="U47" s="22">
        <f>ROUNDUP(ROUNDUP(IF(U34="Condominium",U35*'Assumptions-ResRental'!$P$16,U35*'Assumptions-ResRental'!$P$17),0)*'Assumptions-ResRental'!$P$22,0)</f>
        <v>3</v>
      </c>
      <c r="V47" s="23">
        <f t="shared" si="32"/>
        <v>48</v>
      </c>
      <c r="W47" s="23">
        <f t="shared" si="32"/>
        <v>14</v>
      </c>
      <c r="X47" s="23">
        <f t="shared" si="32"/>
        <v>9</v>
      </c>
      <c r="Y47" s="55">
        <f>SUM(V47:X47)</f>
        <v>71</v>
      </c>
      <c r="Z47" s="372"/>
      <c r="AA47" s="372"/>
      <c r="AB47" s="372"/>
      <c r="AC47" s="372"/>
      <c r="AD47" s="372"/>
      <c r="AE47" s="372"/>
      <c r="AF47" s="372"/>
      <c r="AG47" s="372"/>
    </row>
    <row r="48" spans="2:34" ht="13.1" customHeight="1" x14ac:dyDescent="0.65">
      <c r="B48" s="52" t="s">
        <v>11</v>
      </c>
      <c r="C48" s="22">
        <f>ROUNDUP(ROUNDUP(IF(C34="Condominium",C35*'Assumptions-ResRental'!$P$16,C35*'Assumptions-ResRental'!$P$17),0)*'Assumptions-ResRental'!$P$23,0)</f>
        <v>1</v>
      </c>
      <c r="D48" s="22">
        <f>ROUNDUP(ROUNDUP(IF(D34="Condominium",D35*'Assumptions-ResRental'!$P$16,D35*'Assumptions-ResRental'!$P$17),0)*'Assumptions-ResRental'!$P$23,0)</f>
        <v>11</v>
      </c>
      <c r="E48" s="22">
        <f>ROUNDUP(ROUNDUP(IF(E34="Condominium",E35*'Assumptions-ResRental'!$P$16,E35*'Assumptions-ResRental'!$P$17),0)*'Assumptions-ResRental'!$P$23,0)</f>
        <v>22</v>
      </c>
      <c r="F48" s="22">
        <f>ROUNDUP(ROUNDUP(IF(F34="Condominium",F35*'Assumptions-ResRental'!$P$16,F35*'Assumptions-ResRental'!$P$17),0)*'Assumptions-ResRental'!$P$23,0)</f>
        <v>20</v>
      </c>
      <c r="G48" s="22">
        <f>ROUNDUP(ROUNDUP(IF(G34="Condominium",G35*'Assumptions-ResRental'!$P$16,G35*'Assumptions-ResRental'!$P$17),0)*'Assumptions-ResRental'!$P$23,0)</f>
        <v>11</v>
      </c>
      <c r="H48" s="22">
        <f>ROUNDUP(ROUNDUP(IF(H34="Condominium",H35*'Assumptions-ResRental'!$P$16,H35*'Assumptions-ResRental'!$P$17),0)*'Assumptions-ResRental'!$P$23,0)</f>
        <v>0</v>
      </c>
      <c r="I48" s="22">
        <f>ROUNDUP(ROUNDUP(IF(I34="Condominium",I35*'Assumptions-ResRental'!$P$16,I35*'Assumptions-ResRental'!$P$17),0)*'Assumptions-ResRental'!$P$23,0)</f>
        <v>0</v>
      </c>
      <c r="J48" s="22">
        <f>ROUNDUP(ROUNDUP(IF(J34="Condominium",J35*'Assumptions-ResRental'!$P$16,J35*'Assumptions-ResRental'!$P$17),0)*'Assumptions-ResRental'!$P$23,0)</f>
        <v>2</v>
      </c>
      <c r="K48" s="22">
        <f>ROUNDUP(ROUNDUP(IF(K34="Condominium",K35*'Assumptions-ResRental'!$P$16,K35*'Assumptions-ResRental'!$P$17),0)*'Assumptions-ResRental'!$P$23,0)</f>
        <v>2</v>
      </c>
      <c r="L48" s="22">
        <f>ROUNDUP(ROUNDUP(IF(L34="Condominium",L35*'Assumptions-ResRental'!$P$16,L35*'Assumptions-ResRental'!$P$17),0)*'Assumptions-ResRental'!$P$23,0)</f>
        <v>0</v>
      </c>
      <c r="M48" s="22">
        <f>ROUNDUP(ROUNDUP(IF(M34="Condominium",M35*'Assumptions-ResRental'!$P$16,M35*'Assumptions-ResRental'!$P$17),0)*'Assumptions-ResRental'!$P$23,0)</f>
        <v>6</v>
      </c>
      <c r="N48" s="22">
        <f>ROUNDUP(ROUNDUP(IF(N34="Condominium",N35*'Assumptions-ResRental'!$P$16,N35*'Assumptions-ResRental'!$P$17),0)*'Assumptions-ResRental'!$P$23,0)</f>
        <v>10</v>
      </c>
      <c r="O48" s="22">
        <f>ROUNDUP(ROUNDUP(IF(O34="Condominium",O35*'Assumptions-ResRental'!$P$16,O35*'Assumptions-ResRental'!$P$17),0)*'Assumptions-ResRental'!$P$23,0)</f>
        <v>0</v>
      </c>
      <c r="P48" s="22">
        <f>ROUNDUP(ROUNDUP(IF(P34="Condominium",P35*'Assumptions-ResRental'!$P$16,P35*'Assumptions-ResRental'!$P$17),0)*'Assumptions-ResRental'!$P$23,0)</f>
        <v>0</v>
      </c>
      <c r="Q48" s="22">
        <v>0</v>
      </c>
      <c r="R48" s="22">
        <f>ROUNDUP(ROUNDUP(IF(R34="Condominium",R35*'Assumptions-ResRental'!$P$16,R35*'Assumptions-ResRental'!$P$17),0)*'Assumptions-ResRental'!$P$23,0)</f>
        <v>0</v>
      </c>
      <c r="S48" s="22"/>
      <c r="T48" s="22">
        <f>ROUNDUP(ROUNDUP(IF(T34="Condominium",T35*'Assumptions-ResRental'!$P$16,T35*'Assumptions-ResRental'!$P$17),0)*'Assumptions-ResRental'!$P$23,0)</f>
        <v>1</v>
      </c>
      <c r="U48" s="22">
        <f>ROUNDUP(ROUNDUP(IF(U34="Condominium",U35*'Assumptions-ResRental'!$P$16,U35*'Assumptions-ResRental'!$P$17),0)*'Assumptions-ResRental'!$P$23,0)</f>
        <v>4</v>
      </c>
      <c r="V48" s="23">
        <f t="shared" si="32"/>
        <v>65</v>
      </c>
      <c r="W48" s="23">
        <f t="shared" si="32"/>
        <v>20</v>
      </c>
      <c r="X48" s="23">
        <f t="shared" si="32"/>
        <v>5</v>
      </c>
      <c r="Y48" s="55">
        <f>SUM(V48:X48)</f>
        <v>90</v>
      </c>
      <c r="Z48" s="372"/>
      <c r="AA48" s="372"/>
      <c r="AB48" s="372"/>
      <c r="AC48" s="372"/>
      <c r="AD48" s="372"/>
      <c r="AE48" s="372"/>
      <c r="AF48" s="372"/>
      <c r="AG48" s="372"/>
    </row>
    <row r="49" spans="2:33" ht="13.1" customHeight="1" x14ac:dyDescent="0.65">
      <c r="B49" s="52" t="s">
        <v>10</v>
      </c>
      <c r="C49" s="22">
        <f>0</f>
        <v>0</v>
      </c>
      <c r="D49" s="22">
        <v>0</v>
      </c>
      <c r="E49" s="22">
        <f>ROUNDUP(ROUNDUP(IF(E34="Condominium",E35*'Assumptions-ResRental'!$P$16,E35*'Assumptions-ResRental'!$P$17),0)*'Assumptions-ResRental'!$P$24,0)</f>
        <v>6</v>
      </c>
      <c r="F49" s="22">
        <f>ROUNDUP(ROUNDUP(IF(F34="Condominium",F35*'Assumptions-ResRental'!$P$16,F35*'Assumptions-ResRental'!$P$17),0)*'Assumptions-ResRental'!$P$24,0)</f>
        <v>5</v>
      </c>
      <c r="G49" s="22">
        <v>0</v>
      </c>
      <c r="H49" s="22">
        <f>ROUNDUP(ROUNDUP(IF(H34="Condominium",H35*'Assumptions-ResRental'!$P$16,H35*'Assumptions-ResRental'!$P$17),0)*'Assumptions-ResRental'!$P$24,0)</f>
        <v>0</v>
      </c>
      <c r="I49" s="22">
        <f>ROUNDUP(ROUNDUP(IF(I34="Condominium",I35*'Assumptions-ResRental'!$P$16,I35*'Assumptions-ResRental'!$P$17),0)*'Assumptions-ResRental'!$P$24,0)</f>
        <v>0</v>
      </c>
      <c r="J49" s="22">
        <f>ROUNDUP(ROUNDUP(IF(J34="Condominium",J35*'Assumptions-ResRental'!$P$16,J35*'Assumptions-ResRental'!$P$17),0)*'Assumptions-ResRental'!$P$24,0)</f>
        <v>1</v>
      </c>
      <c r="K49" s="22">
        <v>0</v>
      </c>
      <c r="L49" s="22">
        <f>ROUNDUP(ROUNDUP(IF(L34="Condominium",L35*'Assumptions-ResRental'!$P$16,L35*'Assumptions-ResRental'!$P$17),0)*'Assumptions-ResRental'!$P$24,0)</f>
        <v>0</v>
      </c>
      <c r="M49" s="22">
        <f>ROUNDUP(ROUNDUP(IF(M34="Condominium",M35*'Assumptions-ResRental'!$P$16,M35*'Assumptions-ResRental'!$P$17),0)*'Assumptions-ResRental'!$P$24,0)</f>
        <v>2</v>
      </c>
      <c r="N49" s="22">
        <f>ROUNDUP(ROUNDUP(IF(N34="Condominium",N35*'Assumptions-ResRental'!$P$16,N35*'Assumptions-ResRental'!$P$17),0)*'Assumptions-ResRental'!$P$24,0)</f>
        <v>3</v>
      </c>
      <c r="O49" s="22">
        <f>ROUNDUP(ROUNDUP(IF(O34="Condominium",O35*'Assumptions-ResRental'!$P$16,O35*'Assumptions-ResRental'!$P$17),0)*'Assumptions-ResRental'!$P$24,0)</f>
        <v>0</v>
      </c>
      <c r="P49" s="22">
        <f>ROUNDUP(ROUNDUP(IF(P34="Condominium",P35*'Assumptions-ResRental'!$P$16,P35*'Assumptions-ResRental'!$P$17),0)*'Assumptions-ResRental'!$P$24,0)</f>
        <v>0</v>
      </c>
      <c r="Q49" s="22">
        <v>0</v>
      </c>
      <c r="R49" s="22">
        <f>ROUNDUP(ROUNDUP(IF(R34="Condominium",R35*'Assumptions-ResRental'!$P$16,R35*'Assumptions-ResRental'!$P$17),0)*'Assumptions-ResRental'!$P$24,0)</f>
        <v>0</v>
      </c>
      <c r="S49" s="22"/>
      <c r="T49" s="22">
        <v>0</v>
      </c>
      <c r="U49" s="22">
        <v>0</v>
      </c>
      <c r="V49" s="23">
        <f t="shared" si="32"/>
        <v>11</v>
      </c>
      <c r="W49" s="23">
        <f t="shared" si="32"/>
        <v>6</v>
      </c>
      <c r="X49" s="23">
        <f t="shared" si="32"/>
        <v>0</v>
      </c>
      <c r="Y49" s="55">
        <f>SUM(V49:X49)</f>
        <v>17</v>
      </c>
      <c r="Z49" s="372"/>
      <c r="AA49" s="372"/>
      <c r="AB49" s="372"/>
      <c r="AC49" s="372"/>
      <c r="AD49" s="372"/>
      <c r="AE49" s="372"/>
      <c r="AF49" s="372"/>
      <c r="AG49" s="372"/>
    </row>
    <row r="50" spans="2:33" ht="13.1" customHeight="1" x14ac:dyDescent="0.65">
      <c r="B50" s="5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3">
        <f t="shared" si="32"/>
        <v>0</v>
      </c>
      <c r="W50" s="23">
        <f t="shared" si="32"/>
        <v>0</v>
      </c>
      <c r="X50" s="23">
        <f t="shared" si="32"/>
        <v>0</v>
      </c>
      <c r="Y50" s="55"/>
      <c r="Z50" s="372"/>
      <c r="AA50" s="372"/>
      <c r="AB50" s="372"/>
      <c r="AC50" s="372"/>
      <c r="AD50" s="372"/>
      <c r="AE50" s="372"/>
      <c r="AF50" s="372"/>
      <c r="AG50" s="372"/>
    </row>
    <row r="51" spans="2:33" ht="13.1" customHeight="1" x14ac:dyDescent="0.65">
      <c r="B51" s="57" t="s">
        <v>15</v>
      </c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3">
        <f t="shared" si="32"/>
        <v>0</v>
      </c>
      <c r="W51" s="23">
        <f t="shared" si="32"/>
        <v>0</v>
      </c>
      <c r="X51" s="23">
        <f t="shared" si="32"/>
        <v>0</v>
      </c>
      <c r="Y51" s="55"/>
      <c r="Z51" s="372"/>
      <c r="AA51" s="372"/>
      <c r="AB51" s="372"/>
      <c r="AC51" s="372"/>
      <c r="AD51" s="372"/>
      <c r="AE51" s="372"/>
      <c r="AF51" s="372"/>
      <c r="AG51" s="372"/>
    </row>
    <row r="52" spans="2:33" ht="13.1" customHeight="1" x14ac:dyDescent="0.65">
      <c r="B52" s="52" t="s">
        <v>13</v>
      </c>
      <c r="C52" s="22">
        <f t="shared" ref="C52" si="49">C40-C46</f>
        <v>4</v>
      </c>
      <c r="D52" s="22">
        <f>D40-D46</f>
        <v>82</v>
      </c>
      <c r="E52" s="22">
        <f t="shared" ref="E52:P52" si="50">E40-E46</f>
        <v>89</v>
      </c>
      <c r="F52" s="22">
        <f>F40-F46</f>
        <v>0</v>
      </c>
      <c r="G52" s="22">
        <f>G40-G46</f>
        <v>82</v>
      </c>
      <c r="H52" s="22">
        <f t="shared" ref="H52:K55" si="51">H40-H46</f>
        <v>0</v>
      </c>
      <c r="I52" s="22">
        <f t="shared" ref="I52:J52" si="52">I40-I46</f>
        <v>0</v>
      </c>
      <c r="J52" s="22">
        <f t="shared" si="52"/>
        <v>12</v>
      </c>
      <c r="K52" s="22">
        <f>K40-K46</f>
        <v>23</v>
      </c>
      <c r="L52" s="22">
        <f t="shared" si="50"/>
        <v>0</v>
      </c>
      <c r="M52" s="22">
        <f t="shared" si="50"/>
        <v>37</v>
      </c>
      <c r="N52" s="22">
        <f t="shared" si="50"/>
        <v>70</v>
      </c>
      <c r="O52" s="22">
        <f t="shared" si="50"/>
        <v>0</v>
      </c>
      <c r="P52" s="22">
        <f t="shared" si="50"/>
        <v>0</v>
      </c>
      <c r="Q52" s="22">
        <f t="shared" ref="Q52" si="53">Q40-Q46</f>
        <v>76</v>
      </c>
      <c r="R52" s="22">
        <f t="shared" ref="R52" si="54">R40-R46</f>
        <v>0</v>
      </c>
      <c r="S52" s="22"/>
      <c r="T52" s="22">
        <f t="shared" ref="T52" si="55">T40-T46</f>
        <v>0</v>
      </c>
      <c r="U52" s="22">
        <f t="shared" ref="U52" si="56">U40-U46</f>
        <v>0</v>
      </c>
      <c r="V52" s="23">
        <f t="shared" si="32"/>
        <v>257</v>
      </c>
      <c r="W52" s="23">
        <f t="shared" si="32"/>
        <v>142</v>
      </c>
      <c r="X52" s="23">
        <f t="shared" si="32"/>
        <v>76</v>
      </c>
      <c r="Y52" s="55">
        <f>SUM(V52:X52)</f>
        <v>475</v>
      </c>
      <c r="Z52" s="372"/>
      <c r="AA52" s="372"/>
      <c r="AB52" s="372"/>
      <c r="AC52" s="372"/>
      <c r="AD52" s="372"/>
      <c r="AE52" s="372"/>
      <c r="AF52" s="372"/>
      <c r="AG52" s="372"/>
    </row>
    <row r="53" spans="2:33" ht="13.1" customHeight="1" x14ac:dyDescent="0.65">
      <c r="B53" s="52" t="s">
        <v>12</v>
      </c>
      <c r="C53" s="22">
        <f t="shared" ref="C53" si="57">C41-C47</f>
        <v>0</v>
      </c>
      <c r="D53" s="22">
        <f t="shared" ref="D53:P53" si="58">D41-D47</f>
        <v>102</v>
      </c>
      <c r="E53" s="22">
        <f t="shared" si="58"/>
        <v>183</v>
      </c>
      <c r="F53" s="22">
        <f>F41-F47</f>
        <v>175</v>
      </c>
      <c r="G53" s="22">
        <f t="shared" ref="G53:H53" si="59">G41-G47</f>
        <v>102</v>
      </c>
      <c r="H53" s="22">
        <f t="shared" si="59"/>
        <v>0</v>
      </c>
      <c r="I53" s="22">
        <f t="shared" si="51"/>
        <v>0</v>
      </c>
      <c r="J53" s="22">
        <f t="shared" si="51"/>
        <v>12</v>
      </c>
      <c r="K53" s="22">
        <f t="shared" si="51"/>
        <v>16</v>
      </c>
      <c r="L53" s="22">
        <f t="shared" si="58"/>
        <v>0</v>
      </c>
      <c r="M53" s="22">
        <f t="shared" si="58"/>
        <v>46</v>
      </c>
      <c r="N53" s="22">
        <f t="shared" si="58"/>
        <v>142</v>
      </c>
      <c r="O53" s="22">
        <f t="shared" si="58"/>
        <v>0</v>
      </c>
      <c r="P53" s="22">
        <f t="shared" si="58"/>
        <v>0</v>
      </c>
      <c r="Q53" s="22">
        <f>Q41-Q47</f>
        <v>94</v>
      </c>
      <c r="R53" s="22">
        <f t="shared" ref="R53" si="60">R41-R47</f>
        <v>0</v>
      </c>
      <c r="S53" s="22"/>
      <c r="T53" s="22">
        <f t="shared" ref="T53" si="61">T41-T47</f>
        <v>0</v>
      </c>
      <c r="U53" s="22">
        <f t="shared" ref="U53" si="62">U41-U47</f>
        <v>47</v>
      </c>
      <c r="V53" s="23">
        <f t="shared" si="32"/>
        <v>562</v>
      </c>
      <c r="W53" s="23">
        <f t="shared" si="32"/>
        <v>216</v>
      </c>
      <c r="X53" s="23">
        <f t="shared" si="32"/>
        <v>141</v>
      </c>
      <c r="Y53" s="55">
        <f>SUM(V53:X53)</f>
        <v>919</v>
      </c>
      <c r="Z53" s="372"/>
      <c r="AA53" s="372"/>
      <c r="AB53" s="372"/>
      <c r="AC53" s="372"/>
      <c r="AD53" s="372"/>
      <c r="AE53" s="372"/>
      <c r="AF53" s="372"/>
      <c r="AG53" s="372"/>
    </row>
    <row r="54" spans="2:33" ht="13.1" customHeight="1" x14ac:dyDescent="0.65">
      <c r="B54" s="52" t="s">
        <v>11</v>
      </c>
      <c r="C54" s="22">
        <f>C42-C48</f>
        <v>15</v>
      </c>
      <c r="D54" s="22">
        <f t="shared" ref="D54:P54" si="63">D42-D48</f>
        <v>53</v>
      </c>
      <c r="E54" s="22">
        <f t="shared" si="63"/>
        <v>138</v>
      </c>
      <c r="F54" s="22">
        <f t="shared" ref="F54:H54" si="64">F42-F48</f>
        <v>155</v>
      </c>
      <c r="G54" s="22">
        <f t="shared" si="64"/>
        <v>53</v>
      </c>
      <c r="H54" s="22">
        <f t="shared" si="64"/>
        <v>0</v>
      </c>
      <c r="I54" s="22">
        <f t="shared" si="51"/>
        <v>0</v>
      </c>
      <c r="J54" s="22">
        <f t="shared" si="51"/>
        <v>4</v>
      </c>
      <c r="K54" s="22">
        <f t="shared" si="51"/>
        <v>6</v>
      </c>
      <c r="L54" s="22">
        <f t="shared" si="63"/>
        <v>0</v>
      </c>
      <c r="M54" s="22">
        <f t="shared" si="63"/>
        <v>14</v>
      </c>
      <c r="N54" s="22">
        <f t="shared" si="63"/>
        <v>2</v>
      </c>
      <c r="O54" s="22">
        <f t="shared" si="63"/>
        <v>0</v>
      </c>
      <c r="P54" s="22">
        <f t="shared" si="63"/>
        <v>0</v>
      </c>
      <c r="Q54" s="22">
        <f t="shared" ref="Q54" si="65">Q42-Q48</f>
        <v>0</v>
      </c>
      <c r="R54" s="22">
        <f t="shared" ref="R54" si="66">R42-R48</f>
        <v>0</v>
      </c>
      <c r="S54" s="22"/>
      <c r="T54" s="22">
        <f t="shared" ref="T54" si="67">T42-T48</f>
        <v>10</v>
      </c>
      <c r="U54" s="22">
        <f t="shared" ref="U54" si="68">U42-U48</f>
        <v>28</v>
      </c>
      <c r="V54" s="23">
        <f t="shared" si="32"/>
        <v>414</v>
      </c>
      <c r="W54" s="23">
        <f t="shared" si="32"/>
        <v>26</v>
      </c>
      <c r="X54" s="23">
        <f t="shared" si="32"/>
        <v>38</v>
      </c>
      <c r="Y54" s="55">
        <f>SUM(V54:X54)</f>
        <v>478</v>
      </c>
      <c r="Z54" s="372"/>
      <c r="AA54" s="372"/>
      <c r="AB54" s="372"/>
      <c r="AC54" s="372"/>
      <c r="AD54" s="372"/>
      <c r="AE54" s="372"/>
      <c r="AF54" s="372"/>
      <c r="AG54" s="372"/>
    </row>
    <row r="55" spans="2:33" ht="13.1" customHeight="1" x14ac:dyDescent="0.65">
      <c r="B55" s="52" t="s">
        <v>10</v>
      </c>
      <c r="C55" s="22">
        <f t="shared" ref="C55" si="69">C43-C49</f>
        <v>0</v>
      </c>
      <c r="D55" s="22">
        <f t="shared" ref="D55:P55" si="70">D43-D49</f>
        <v>0</v>
      </c>
      <c r="E55" s="22">
        <f t="shared" si="70"/>
        <v>74</v>
      </c>
      <c r="F55" s="22">
        <f>F43-F49</f>
        <v>105</v>
      </c>
      <c r="G55" s="22">
        <f t="shared" ref="G55:H55" si="71">G43-G49</f>
        <v>0</v>
      </c>
      <c r="H55" s="22">
        <f t="shared" si="71"/>
        <v>0</v>
      </c>
      <c r="I55" s="22">
        <f t="shared" si="51"/>
        <v>0</v>
      </c>
      <c r="J55" s="22">
        <f>J49-J43</f>
        <v>1</v>
      </c>
      <c r="K55" s="22">
        <f t="shared" si="51"/>
        <v>0</v>
      </c>
      <c r="L55" s="22">
        <f t="shared" si="70"/>
        <v>0</v>
      </c>
      <c r="M55" s="22">
        <f t="shared" si="70"/>
        <v>13</v>
      </c>
      <c r="N55" s="22">
        <f t="shared" si="70"/>
        <v>7</v>
      </c>
      <c r="O55" s="22">
        <f t="shared" si="70"/>
        <v>0</v>
      </c>
      <c r="P55" s="22">
        <f t="shared" si="70"/>
        <v>0</v>
      </c>
      <c r="Q55" s="22">
        <f t="shared" ref="Q55" si="72">Q43-Q49</f>
        <v>0</v>
      </c>
      <c r="R55" s="22">
        <f t="shared" ref="R55" si="73">R43-R49</f>
        <v>0</v>
      </c>
      <c r="S55" s="22"/>
      <c r="T55" s="22">
        <f t="shared" ref="T55" si="74">T43-T49</f>
        <v>0</v>
      </c>
      <c r="U55" s="22">
        <f t="shared" ref="U55" si="75">U43-U49</f>
        <v>0</v>
      </c>
      <c r="V55" s="23">
        <f t="shared" si="32"/>
        <v>179</v>
      </c>
      <c r="W55" s="23">
        <f t="shared" si="32"/>
        <v>21</v>
      </c>
      <c r="X55" s="23">
        <f t="shared" si="32"/>
        <v>0</v>
      </c>
      <c r="Y55" s="55">
        <f>SUM(V55:X55)</f>
        <v>200</v>
      </c>
      <c r="Z55" s="372"/>
      <c r="AA55" s="372"/>
      <c r="AB55" s="372"/>
      <c r="AC55" s="372"/>
      <c r="AD55" s="372"/>
      <c r="AE55" s="372"/>
      <c r="AF55" s="372"/>
      <c r="AG55" s="372"/>
    </row>
    <row r="56" spans="2:33" ht="13.1" customHeight="1" x14ac:dyDescent="0.65">
      <c r="B56" s="5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3"/>
      <c r="W56" s="24"/>
      <c r="X56" s="25"/>
      <c r="Y56" s="55"/>
      <c r="Z56" s="372"/>
      <c r="AA56" s="372"/>
      <c r="AB56" s="372"/>
      <c r="AC56" s="372"/>
      <c r="AD56" s="372"/>
      <c r="AE56" s="372"/>
      <c r="AF56" s="372"/>
      <c r="AG56" s="372"/>
    </row>
    <row r="57" spans="2:33" ht="13.1" customHeight="1" x14ac:dyDescent="0.65">
      <c r="B57" s="57" t="s">
        <v>14</v>
      </c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3"/>
      <c r="W57" s="24"/>
      <c r="X57" s="25"/>
      <c r="Y57" s="55"/>
      <c r="Z57" s="372"/>
      <c r="AA57" s="372"/>
      <c r="AB57" s="372"/>
      <c r="AC57" s="372"/>
      <c r="AD57" s="372"/>
      <c r="AE57" s="372"/>
      <c r="AF57" s="372"/>
      <c r="AG57" s="372"/>
    </row>
    <row r="58" spans="2:33" ht="13.1" customHeight="1" x14ac:dyDescent="0.65">
      <c r="B58" s="52" t="s">
        <v>13</v>
      </c>
      <c r="C58" s="22">
        <v>500</v>
      </c>
      <c r="D58" s="22">
        <v>689</v>
      </c>
      <c r="E58" s="22">
        <v>474</v>
      </c>
      <c r="F58" s="22" t="s">
        <v>9</v>
      </c>
      <c r="G58" s="22">
        <v>689</v>
      </c>
      <c r="H58" s="22" t="s">
        <v>9</v>
      </c>
      <c r="I58" s="22" t="s">
        <v>9</v>
      </c>
      <c r="J58" s="22">
        <v>689</v>
      </c>
      <c r="K58" s="22">
        <v>689</v>
      </c>
      <c r="L58" s="22" t="s">
        <v>9</v>
      </c>
      <c r="M58" s="22">
        <v>430.55599999999998</v>
      </c>
      <c r="N58" s="22">
        <v>484.37549999999999</v>
      </c>
      <c r="O58" s="22" t="s">
        <v>9</v>
      </c>
      <c r="P58" s="22" t="s">
        <v>9</v>
      </c>
      <c r="Q58" s="22">
        <v>484.37549999999999</v>
      </c>
      <c r="R58" s="22" t="s">
        <v>9</v>
      </c>
      <c r="S58" s="22"/>
      <c r="T58" s="22" t="s">
        <v>9</v>
      </c>
      <c r="U58" s="22" t="s">
        <v>9</v>
      </c>
      <c r="V58" s="23"/>
      <c r="W58" s="24"/>
      <c r="X58" s="25"/>
      <c r="Y58" s="58">
        <f>SUMPRODUCT(D58:U58,D40:U40)/Y40</f>
        <v>556.1131112224449</v>
      </c>
      <c r="Z58" s="372"/>
      <c r="AA58" s="372"/>
      <c r="AB58" s="372"/>
      <c r="AC58" s="372"/>
      <c r="AD58" s="372"/>
      <c r="AE58" s="372"/>
      <c r="AF58" s="372"/>
      <c r="AG58" s="372"/>
    </row>
    <row r="59" spans="2:33" ht="13.1" customHeight="1" x14ac:dyDescent="0.65">
      <c r="B59" s="52" t="s">
        <v>12</v>
      </c>
      <c r="C59" s="22" t="s">
        <v>9</v>
      </c>
      <c r="D59" s="22">
        <v>930</v>
      </c>
      <c r="E59" s="22">
        <v>672</v>
      </c>
      <c r="F59" s="22">
        <v>659.28890000000001</v>
      </c>
      <c r="G59" s="22">
        <v>930</v>
      </c>
      <c r="H59" s="22" t="s">
        <v>9</v>
      </c>
      <c r="I59" s="22" t="s">
        <v>9</v>
      </c>
      <c r="J59" s="22">
        <v>930</v>
      </c>
      <c r="K59" s="22">
        <v>930</v>
      </c>
      <c r="L59" s="22" t="s">
        <v>9</v>
      </c>
      <c r="M59" s="22">
        <v>659.28890000000001</v>
      </c>
      <c r="N59" s="22">
        <v>769.30226470588241</v>
      </c>
      <c r="O59" s="22" t="s">
        <v>9</v>
      </c>
      <c r="P59" s="22" t="s">
        <v>9</v>
      </c>
      <c r="Q59" s="22">
        <v>699.65350000000001</v>
      </c>
      <c r="R59" s="22" t="s">
        <v>9</v>
      </c>
      <c r="S59" s="22"/>
      <c r="T59" s="22" t="s">
        <v>9</v>
      </c>
      <c r="U59" s="22">
        <v>659</v>
      </c>
      <c r="V59" s="23"/>
      <c r="W59" s="24"/>
      <c r="X59" s="25"/>
      <c r="Y59" s="58">
        <f>SUMPRODUCT(D59:U59,D41:U41)/Y41</f>
        <v>750.94952091503262</v>
      </c>
      <c r="Z59" s="372"/>
      <c r="AA59" s="372"/>
      <c r="AB59" s="372"/>
      <c r="AC59" s="372"/>
      <c r="AD59" s="372"/>
      <c r="AE59" s="372"/>
      <c r="AF59" s="372"/>
      <c r="AG59" s="372"/>
    </row>
    <row r="60" spans="2:33" ht="13.1" customHeight="1" x14ac:dyDescent="0.65">
      <c r="B60" s="52" t="s">
        <v>11</v>
      </c>
      <c r="C60" s="22">
        <v>1000</v>
      </c>
      <c r="D60" s="22">
        <v>1484</v>
      </c>
      <c r="E60" s="22">
        <v>925</v>
      </c>
      <c r="F60" s="22">
        <v>896.99170000000004</v>
      </c>
      <c r="G60" s="22">
        <v>1484</v>
      </c>
      <c r="H60" s="22" t="s">
        <v>9</v>
      </c>
      <c r="I60" s="22" t="s">
        <v>9</v>
      </c>
      <c r="J60" s="22">
        <v>896.99170000000004</v>
      </c>
      <c r="K60" s="22">
        <v>1484</v>
      </c>
      <c r="L60" s="22" t="s">
        <v>9</v>
      </c>
      <c r="M60" s="22">
        <v>896.99170000000004</v>
      </c>
      <c r="N60" s="22">
        <v>986.69083333333322</v>
      </c>
      <c r="O60" s="22" t="s">
        <v>9</v>
      </c>
      <c r="P60" s="22" t="s">
        <v>9</v>
      </c>
      <c r="Q60" s="22" t="s">
        <v>9</v>
      </c>
      <c r="R60" s="22" t="s">
        <v>9</v>
      </c>
      <c r="S60" s="22"/>
      <c r="T60" s="22">
        <v>1000</v>
      </c>
      <c r="U60" s="22">
        <v>950</v>
      </c>
      <c r="V60" s="23"/>
      <c r="W60" s="24"/>
      <c r="X60" s="25"/>
      <c r="Y60" s="58">
        <f>SUMPRODUCT(D60:U60,D42:U42)/Y42</f>
        <v>1027.0415875000001</v>
      </c>
      <c r="Z60" s="372"/>
      <c r="AA60" s="372"/>
      <c r="AB60" s="372"/>
      <c r="AC60" s="372"/>
      <c r="AD60" s="372"/>
      <c r="AE60" s="372"/>
      <c r="AF60" s="372"/>
      <c r="AG60" s="372"/>
    </row>
    <row r="61" spans="2:33" ht="13.1" customHeight="1" x14ac:dyDescent="0.95">
      <c r="B61" s="52" t="s">
        <v>10</v>
      </c>
      <c r="C61" s="751" t="s">
        <v>9</v>
      </c>
      <c r="D61" s="751" t="s">
        <v>9</v>
      </c>
      <c r="E61" s="751">
        <v>1274</v>
      </c>
      <c r="F61" s="751">
        <v>1094.33</v>
      </c>
      <c r="G61" s="751" t="s">
        <v>9</v>
      </c>
      <c r="H61" s="751" t="s">
        <v>9</v>
      </c>
      <c r="I61" s="751" t="s">
        <v>9</v>
      </c>
      <c r="J61" s="751">
        <v>0</v>
      </c>
      <c r="K61" s="751" t="s">
        <v>9</v>
      </c>
      <c r="L61" s="751" t="s">
        <v>9</v>
      </c>
      <c r="M61" s="751">
        <v>1094.33</v>
      </c>
      <c r="N61" s="751">
        <v>1166.0891666666666</v>
      </c>
      <c r="O61" s="751" t="s">
        <v>9</v>
      </c>
      <c r="P61" s="751" t="s">
        <v>9</v>
      </c>
      <c r="Q61" s="751" t="s">
        <v>9</v>
      </c>
      <c r="R61" s="751" t="s">
        <v>9</v>
      </c>
      <c r="S61" s="751"/>
      <c r="T61" s="751" t="s">
        <v>9</v>
      </c>
      <c r="U61" s="751" t="s">
        <v>9</v>
      </c>
      <c r="V61" s="26"/>
      <c r="W61" s="27"/>
      <c r="X61" s="28"/>
      <c r="Y61" s="59">
        <f>SUMPRODUCT(D61:U61,D43:U43)/Y43</f>
        <v>1164.5215891472867</v>
      </c>
      <c r="Z61" s="372"/>
      <c r="AA61" s="372"/>
      <c r="AB61" s="372"/>
      <c r="AC61" s="372"/>
      <c r="AD61" s="372"/>
      <c r="AE61" s="372"/>
      <c r="AF61" s="372"/>
      <c r="AG61" s="372"/>
    </row>
    <row r="62" spans="2:33" ht="13.1" customHeight="1" x14ac:dyDescent="0.65">
      <c r="B62" s="60" t="s">
        <v>8</v>
      </c>
      <c r="C62" s="86">
        <f t="shared" ref="C62:R62" si="76">IFERROR(C21/C35,0)</f>
        <v>900</v>
      </c>
      <c r="D62" s="86">
        <f t="shared" si="76"/>
        <v>991.3046875</v>
      </c>
      <c r="E62" s="86">
        <f t="shared" si="76"/>
        <v>799.48148148148152</v>
      </c>
      <c r="F62" s="86">
        <f t="shared" si="76"/>
        <v>847.60997578947376</v>
      </c>
      <c r="G62" s="86">
        <f t="shared" si="76"/>
        <v>991.3046875</v>
      </c>
      <c r="H62" s="86">
        <f t="shared" si="76"/>
        <v>0</v>
      </c>
      <c r="I62" s="86">
        <f t="shared" si="76"/>
        <v>0</v>
      </c>
      <c r="J62" s="86">
        <f t="shared" si="76"/>
        <v>826.99833999999998</v>
      </c>
      <c r="K62" s="86">
        <f t="shared" si="76"/>
        <v>902.96</v>
      </c>
      <c r="L62" s="86">
        <f t="shared" si="76"/>
        <v>0</v>
      </c>
      <c r="M62" s="86">
        <f t="shared" si="76"/>
        <v>676.33175199999994</v>
      </c>
      <c r="N62" s="86">
        <f t="shared" si="76"/>
        <v>709.41167559736448</v>
      </c>
      <c r="O62" s="86">
        <f t="shared" si="76"/>
        <v>0</v>
      </c>
      <c r="P62" s="86">
        <f t="shared" si="76"/>
        <v>0</v>
      </c>
      <c r="Q62" s="86">
        <f t="shared" si="76"/>
        <v>603.97438888888894</v>
      </c>
      <c r="R62" s="86">
        <f t="shared" si="76"/>
        <v>0</v>
      </c>
      <c r="S62" s="86"/>
      <c r="T62" s="86">
        <f>IFERROR(T21/T35,0)</f>
        <v>1000</v>
      </c>
      <c r="U62" s="86">
        <f>IFERROR(U21/U35,0)</f>
        <v>772.56097560975604</v>
      </c>
      <c r="V62" s="87"/>
      <c r="W62" s="88"/>
      <c r="X62" s="89"/>
      <c r="Y62" s="90">
        <f>Y21/Y35</f>
        <v>824.23953854425565</v>
      </c>
      <c r="Z62" s="372"/>
      <c r="AA62" s="372"/>
      <c r="AB62" s="372"/>
      <c r="AC62" s="372"/>
      <c r="AD62" s="372"/>
      <c r="AE62" s="372"/>
      <c r="AF62" s="372"/>
      <c r="AG62" s="372"/>
    </row>
    <row r="63" spans="2:33" ht="13.1" customHeight="1" thickBot="1" x14ac:dyDescent="0.8">
      <c r="B63" s="85" t="s">
        <v>94</v>
      </c>
      <c r="C63" s="387"/>
      <c r="D63" s="387">
        <v>0</v>
      </c>
      <c r="E63" s="387">
        <v>995</v>
      </c>
      <c r="F63" s="387">
        <v>0</v>
      </c>
      <c r="G63" s="387">
        <v>0</v>
      </c>
      <c r="H63" s="387">
        <v>0</v>
      </c>
      <c r="I63" s="387">
        <v>0</v>
      </c>
      <c r="J63" s="387"/>
      <c r="K63" s="387"/>
      <c r="L63" s="387">
        <v>0</v>
      </c>
      <c r="M63" s="387"/>
      <c r="N63" s="387">
        <v>0</v>
      </c>
      <c r="O63" s="387">
        <v>0</v>
      </c>
      <c r="P63" s="387"/>
      <c r="Q63" s="387">
        <v>0</v>
      </c>
      <c r="R63" s="387">
        <v>735</v>
      </c>
      <c r="S63" s="387"/>
      <c r="T63" s="387"/>
      <c r="U63" s="387"/>
      <c r="V63" s="92">
        <f>SUMIF($C$18:$U$18,V$18,$C63:$U63)</f>
        <v>995</v>
      </c>
      <c r="W63" s="93">
        <f>SUMIF($C$18:$U$18,W$18,$C63:$U63)</f>
        <v>0</v>
      </c>
      <c r="X63" s="93">
        <f>SUMIF($C$18:$U$18,X$18,$C63:$U63)</f>
        <v>735</v>
      </c>
      <c r="Y63" s="346">
        <f>SUM(V63:X63)</f>
        <v>1730</v>
      </c>
      <c r="Z63" s="372"/>
      <c r="AA63" s="372"/>
      <c r="AB63" s="372"/>
      <c r="AC63" s="372"/>
      <c r="AD63" s="372"/>
      <c r="AE63" s="372"/>
      <c r="AF63" s="372"/>
    </row>
    <row r="66" spans="8:8" x14ac:dyDescent="0.65">
      <c r="H66" s="374"/>
    </row>
  </sheetData>
  <mergeCells count="1">
    <mergeCell ref="B6:C6"/>
  </mergeCells>
  <conditionalFormatting sqref="D46:E51 L46:O51">
    <cfRule type="expression" dxfId="25" priority="87">
      <formula>D46&gt;#REF!</formula>
    </cfRule>
  </conditionalFormatting>
  <conditionalFormatting sqref="D56:E57 G56:G57 L56:O57">
    <cfRule type="expression" dxfId="24" priority="86">
      <formula>D56&gt;#REF!</formula>
    </cfRule>
  </conditionalFormatting>
  <conditionalFormatting sqref="R56:S57">
    <cfRule type="expression" dxfId="23" priority="80">
      <formula>R56&gt;#REF!</formula>
    </cfRule>
  </conditionalFormatting>
  <conditionalFormatting sqref="R46:S51">
    <cfRule type="expression" dxfId="22" priority="81">
      <formula>R46&gt;#REF!</formula>
    </cfRule>
  </conditionalFormatting>
  <conditionalFormatting sqref="U46:U51">
    <cfRule type="expression" dxfId="21" priority="55">
      <formula>U46&gt;#REF!</formula>
    </cfRule>
  </conditionalFormatting>
  <conditionalFormatting sqref="U56:U57">
    <cfRule type="expression" dxfId="20" priority="54">
      <formula>U56&gt;#REF!</formula>
    </cfRule>
  </conditionalFormatting>
  <conditionalFormatting sqref="T56:T57">
    <cfRule type="expression" dxfId="19" priority="48">
      <formula>T56&gt;#REF!</formula>
    </cfRule>
  </conditionalFormatting>
  <conditionalFormatting sqref="T46:T51">
    <cfRule type="expression" dxfId="18" priority="49">
      <formula>T46&gt;#REF!</formula>
    </cfRule>
  </conditionalFormatting>
  <conditionalFormatting sqref="F46:F51">
    <cfRule type="expression" dxfId="17" priority="43">
      <formula>F46&gt;#REF!</formula>
    </cfRule>
  </conditionalFormatting>
  <conditionalFormatting sqref="F56:F57">
    <cfRule type="expression" dxfId="16" priority="42">
      <formula>F56&gt;#REF!</formula>
    </cfRule>
  </conditionalFormatting>
  <conditionalFormatting sqref="G46:G51">
    <cfRule type="expression" dxfId="15" priority="41">
      <formula>G46&gt;#REF!</formula>
    </cfRule>
  </conditionalFormatting>
  <conditionalFormatting sqref="H46:H51">
    <cfRule type="expression" dxfId="14" priority="38">
      <formula>H46&gt;#REF!</formula>
    </cfRule>
  </conditionalFormatting>
  <conditionalFormatting sqref="H56:H57">
    <cfRule type="expression" dxfId="13" priority="37">
      <formula>H56&gt;#REF!</formula>
    </cfRule>
  </conditionalFormatting>
  <conditionalFormatting sqref="K46:K51">
    <cfRule type="expression" dxfId="12" priority="30">
      <formula>K46&gt;#REF!</formula>
    </cfRule>
  </conditionalFormatting>
  <conditionalFormatting sqref="K56:K57">
    <cfRule type="expression" dxfId="11" priority="29">
      <formula>K56&gt;#REF!</formula>
    </cfRule>
  </conditionalFormatting>
  <conditionalFormatting sqref="I46:I51">
    <cfRule type="expression" dxfId="10" priority="28">
      <formula>I46&gt;#REF!</formula>
    </cfRule>
  </conditionalFormatting>
  <conditionalFormatting sqref="I56:I57">
    <cfRule type="expression" dxfId="9" priority="27">
      <formula>I56&gt;#REF!</formula>
    </cfRule>
  </conditionalFormatting>
  <conditionalFormatting sqref="Q46:Q51">
    <cfRule type="expression" dxfId="8" priority="17">
      <formula>Q46&gt;#REF!</formula>
    </cfRule>
  </conditionalFormatting>
  <conditionalFormatting sqref="Q56:Q57">
    <cfRule type="expression" dxfId="7" priority="16">
      <formula>Q56&gt;#REF!</formula>
    </cfRule>
  </conditionalFormatting>
  <conditionalFormatting sqref="P46:P51">
    <cfRule type="expression" dxfId="6" priority="15">
      <formula>P46&gt;#REF!</formula>
    </cfRule>
  </conditionalFormatting>
  <conditionalFormatting sqref="P56:P57">
    <cfRule type="expression" dxfId="5" priority="14">
      <formula>P56&gt;#REF!</formula>
    </cfRule>
  </conditionalFormatting>
  <conditionalFormatting sqref="J46:J51">
    <cfRule type="expression" dxfId="4" priority="11">
      <formula>J46&gt;#REF!</formula>
    </cfRule>
  </conditionalFormatting>
  <conditionalFormatting sqref="J56:J57">
    <cfRule type="expression" dxfId="3" priority="10">
      <formula>J56&gt;#REF!</formula>
    </cfRule>
  </conditionalFormatting>
  <conditionalFormatting sqref="C46:C47 C49:C51">
    <cfRule type="expression" dxfId="2" priority="9">
      <formula>C46&gt;#REF!</formula>
    </cfRule>
  </conditionalFormatting>
  <conditionalFormatting sqref="C56:C57">
    <cfRule type="expression" dxfId="1" priority="8">
      <formula>C56&gt;#REF!</formula>
    </cfRule>
  </conditionalFormatting>
  <conditionalFormatting sqref="C48">
    <cfRule type="expression" dxfId="0" priority="2">
      <formula>C48&gt;#REF!</formula>
    </cfRule>
  </conditionalFormatting>
  <hyperlinks>
    <hyperlink ref="R19" r:id="rId1" xr:uid="{EE66CFCC-D924-411F-A385-1E43F1E0EDAF}"/>
    <hyperlink ref="K19" r:id="rId2" xr:uid="{829562C4-DA6D-4484-AAC3-76E58437521B}"/>
  </hyperlinks>
  <pageMargins left="0.7" right="0.7" top="0.75" bottom="0.75" header="0.3" footer="0.3"/>
  <pageSetup orientation="portrait" r:id="rId3"/>
  <ignoredErrors>
    <ignoredError sqref="V23:X30 X22" formula="1"/>
  </ignoredError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9E1AC-71F7-4E2E-8EEB-A46A72CE170F}">
  <sheetPr>
    <tabColor rgb="FFFFF1AB"/>
  </sheetPr>
  <dimension ref="B1:V53"/>
  <sheetViews>
    <sheetView zoomScale="90" zoomScaleNormal="90" workbookViewId="0">
      <selection activeCell="D16" sqref="D16"/>
    </sheetView>
  </sheetViews>
  <sheetFormatPr defaultColWidth="9.08984375" defaultRowHeight="12.25" x14ac:dyDescent="0.65"/>
  <cols>
    <col min="1" max="1" width="2.76953125" style="1" customWidth="1"/>
    <col min="2" max="2" width="18.453125" style="1" customWidth="1"/>
    <col min="3" max="5" width="9.08984375" style="1" customWidth="1"/>
    <col min="6" max="6" width="2.76953125" style="1" customWidth="1"/>
    <col min="7" max="7" width="31.453125" style="1" customWidth="1"/>
    <col min="8" max="9" width="9.453125" style="1" customWidth="1"/>
    <col min="10" max="10" width="9.08984375" style="1"/>
    <col min="11" max="11" width="2.76953125" style="1" customWidth="1"/>
    <col min="12" max="12" width="25" style="1" customWidth="1"/>
    <col min="13" max="13" width="6.08984375" style="1" customWidth="1"/>
    <col min="14" max="14" width="25" style="1" customWidth="1"/>
    <col min="15" max="15" width="6.08984375" style="1" customWidth="1"/>
    <col min="16" max="16" width="2.76953125" style="1" customWidth="1"/>
    <col min="17" max="17" width="23.08984375" style="1" customWidth="1"/>
    <col min="18" max="19" width="7.08984375" style="1" customWidth="1"/>
    <col min="20" max="20" width="9.76953125" style="1" customWidth="1"/>
    <col min="21" max="21" width="9" style="1" customWidth="1"/>
    <col min="22" max="16384" width="9.08984375" style="1"/>
  </cols>
  <sheetData>
    <row r="1" spans="2:22" ht="13" thickBot="1" x14ac:dyDescent="0.8">
      <c r="H1" s="461"/>
      <c r="I1" s="461"/>
    </row>
    <row r="2" spans="2:22" ht="14.25" x14ac:dyDescent="0.9">
      <c r="B2" s="966" t="s">
        <v>37</v>
      </c>
      <c r="C2" s="967"/>
      <c r="H2" s="461"/>
      <c r="I2" s="461"/>
    </row>
    <row r="3" spans="2:22" x14ac:dyDescent="0.65">
      <c r="B3" s="3" t="s">
        <v>36</v>
      </c>
      <c r="C3" s="4" t="str">
        <f>ProjectName</f>
        <v>8th Hill</v>
      </c>
      <c r="H3" s="461"/>
      <c r="I3" s="461"/>
      <c r="L3" s="447"/>
    </row>
    <row r="4" spans="2:22" ht="13" thickBot="1" x14ac:dyDescent="0.8">
      <c r="B4" s="5" t="s">
        <v>35</v>
      </c>
      <c r="C4" s="6">
        <f>TeamNumber</f>
        <v>192021</v>
      </c>
      <c r="H4" s="461"/>
      <c r="I4" s="461"/>
      <c r="L4" s="447"/>
    </row>
    <row r="5" spans="2:22" ht="13" thickBot="1" x14ac:dyDescent="0.8">
      <c r="H5" s="462"/>
      <c r="I5" s="462"/>
    </row>
    <row r="6" spans="2:22" ht="14.25" x14ac:dyDescent="0.9">
      <c r="B6" s="979" t="s">
        <v>55</v>
      </c>
      <c r="C6" s="980"/>
      <c r="D6" s="980"/>
      <c r="E6" s="981"/>
      <c r="G6" s="961" t="s">
        <v>526</v>
      </c>
      <c r="H6" s="962"/>
      <c r="I6" s="962"/>
      <c r="J6" s="963"/>
      <c r="L6" s="961" t="s">
        <v>524</v>
      </c>
      <c r="M6" s="962"/>
      <c r="N6" s="962"/>
      <c r="O6" s="963"/>
      <c r="Q6" s="961" t="s">
        <v>605</v>
      </c>
      <c r="R6" s="962"/>
      <c r="S6" s="962"/>
      <c r="T6" s="962"/>
      <c r="U6" s="962"/>
      <c r="V6" s="963"/>
    </row>
    <row r="7" spans="2:22" x14ac:dyDescent="0.65">
      <c r="B7" s="33" t="s">
        <v>40</v>
      </c>
      <c r="C7" s="34"/>
      <c r="D7" s="7"/>
      <c r="E7" s="9"/>
      <c r="G7" s="353" t="s">
        <v>31</v>
      </c>
      <c r="H7" s="354"/>
      <c r="I7" s="355"/>
      <c r="J7" s="356"/>
      <c r="L7" s="33" t="s">
        <v>64</v>
      </c>
      <c r="M7" s="34"/>
      <c r="N7" s="80" t="s">
        <v>70</v>
      </c>
      <c r="O7" s="68"/>
      <c r="Q7" s="33" t="s">
        <v>530</v>
      </c>
      <c r="R7" s="964" t="s">
        <v>118</v>
      </c>
      <c r="S7" s="965"/>
      <c r="T7" s="106" t="s">
        <v>606</v>
      </c>
      <c r="U7" s="106" t="s">
        <v>119</v>
      </c>
      <c r="V7" s="107" t="s">
        <v>83</v>
      </c>
    </row>
    <row r="8" spans="2:22" x14ac:dyDescent="0.65">
      <c r="B8" s="36" t="s">
        <v>56</v>
      </c>
      <c r="C8" s="37" t="s">
        <v>57</v>
      </c>
      <c r="D8" s="37" t="s">
        <v>58</v>
      </c>
      <c r="E8" s="39" t="s">
        <v>59</v>
      </c>
      <c r="G8" s="357" t="s">
        <v>79</v>
      </c>
      <c r="H8" s="358" t="s">
        <v>81</v>
      </c>
      <c r="I8" s="359" t="s">
        <v>82</v>
      </c>
      <c r="J8" s="360" t="s">
        <v>83</v>
      </c>
      <c r="L8" s="36" t="s">
        <v>65</v>
      </c>
      <c r="M8" s="37"/>
      <c r="N8" s="81" t="s">
        <v>71</v>
      </c>
      <c r="O8" s="39"/>
      <c r="Q8" s="36" t="s">
        <v>117</v>
      </c>
      <c r="R8" s="113" t="s">
        <v>81</v>
      </c>
      <c r="S8" s="115" t="s">
        <v>82</v>
      </c>
      <c r="T8" s="108" t="s">
        <v>121</v>
      </c>
      <c r="U8" s="108" t="s">
        <v>120</v>
      </c>
      <c r="V8" s="109" t="s">
        <v>119</v>
      </c>
    </row>
    <row r="9" spans="2:22" x14ac:dyDescent="0.65">
      <c r="B9" s="3" t="s">
        <v>60</v>
      </c>
      <c r="C9" s="65">
        <v>43466</v>
      </c>
      <c r="D9" s="66">
        <v>24</v>
      </c>
      <c r="E9" s="63">
        <f>EDATE(C9,D9)-1</f>
        <v>44196</v>
      </c>
      <c r="G9" s="349" t="s">
        <v>399</v>
      </c>
      <c r="H9" s="350">
        <v>68.569999999999993</v>
      </c>
      <c r="I9" s="351">
        <v>106.02</v>
      </c>
      <c r="J9" s="352">
        <v>100</v>
      </c>
      <c r="L9" s="3" t="s">
        <v>67</v>
      </c>
      <c r="M9" s="74">
        <v>0.65</v>
      </c>
      <c r="N9" s="35" t="s">
        <v>67</v>
      </c>
      <c r="O9" s="70">
        <v>0.65</v>
      </c>
      <c r="Q9" s="3" t="s">
        <v>122</v>
      </c>
      <c r="R9" s="114"/>
      <c r="S9" s="116"/>
      <c r="T9" s="498">
        <f>AVERAGE(R10:S11)+1%</f>
        <v>7.4999999999999997E-2</v>
      </c>
      <c r="U9" s="117">
        <v>25</v>
      </c>
      <c r="V9" s="110">
        <f>IF(T9="","",T9+U9/10000)</f>
        <v>7.7499999999999999E-2</v>
      </c>
    </row>
    <row r="10" spans="2:22" x14ac:dyDescent="0.65">
      <c r="B10" s="3" t="s">
        <v>61</v>
      </c>
      <c r="C10" s="62">
        <f>E9+1</f>
        <v>44197</v>
      </c>
      <c r="D10" s="66">
        <v>24</v>
      </c>
      <c r="E10" s="63">
        <f t="shared" ref="E10:E11" si="0">EDATE(C10,D10)-1</f>
        <v>44926</v>
      </c>
      <c r="G10" s="349" t="s">
        <v>80</v>
      </c>
      <c r="H10" s="350">
        <v>87.18</v>
      </c>
      <c r="I10" s="351">
        <v>134.80000000000001</v>
      </c>
      <c r="J10" s="352">
        <v>135</v>
      </c>
      <c r="L10" s="3" t="s">
        <v>68</v>
      </c>
      <c r="M10" s="74">
        <v>0.2</v>
      </c>
      <c r="N10" s="35" t="s">
        <v>68</v>
      </c>
      <c r="O10" s="70">
        <v>0</v>
      </c>
      <c r="Q10" s="83" t="s">
        <v>434</v>
      </c>
      <c r="R10" s="114">
        <v>0.06</v>
      </c>
      <c r="S10" s="116">
        <v>7.0000000000000007E-2</v>
      </c>
      <c r="T10" s="499"/>
      <c r="U10" s="117"/>
      <c r="V10" s="110" t="str">
        <f t="shared" ref="V10:V27" si="1">IF(T10="","",T10+U10/10000)</f>
        <v/>
      </c>
    </row>
    <row r="11" spans="2:22" x14ac:dyDescent="0.65">
      <c r="B11" s="3" t="s">
        <v>62</v>
      </c>
      <c r="C11" s="62">
        <f>E10+1</f>
        <v>44927</v>
      </c>
      <c r="D11" s="66">
        <v>6</v>
      </c>
      <c r="E11" s="63">
        <f t="shared" si="0"/>
        <v>45107</v>
      </c>
      <c r="G11" s="349" t="s">
        <v>400</v>
      </c>
      <c r="H11" s="350">
        <v>87.18</v>
      </c>
      <c r="I11" s="351">
        <v>134.80000000000001</v>
      </c>
      <c r="J11" s="352">
        <v>135</v>
      </c>
      <c r="L11" s="3" t="s">
        <v>66</v>
      </c>
      <c r="M11" s="77">
        <f>1-SUM(M9:M10)</f>
        <v>0.14999999999999991</v>
      </c>
      <c r="N11" s="35" t="s">
        <v>66</v>
      </c>
      <c r="O11" s="71">
        <f>1-SUM(O9:O10)</f>
        <v>0.35</v>
      </c>
      <c r="Q11" s="83" t="s">
        <v>435</v>
      </c>
      <c r="R11" s="114">
        <v>0.06</v>
      </c>
      <c r="S11" s="116">
        <v>7.0000000000000007E-2</v>
      </c>
      <c r="T11" s="499"/>
      <c r="U11" s="117"/>
      <c r="V11" s="110" t="str">
        <f t="shared" si="1"/>
        <v/>
      </c>
    </row>
    <row r="12" spans="2:22" x14ac:dyDescent="0.65">
      <c r="B12" s="3" t="s">
        <v>63</v>
      </c>
      <c r="C12" s="62">
        <f>E11+1</f>
        <v>45108</v>
      </c>
      <c r="D12" s="66"/>
      <c r="E12" s="63"/>
      <c r="G12" s="347" t="s">
        <v>89</v>
      </c>
      <c r="H12" s="350">
        <v>0</v>
      </c>
      <c r="I12" s="351">
        <v>0</v>
      </c>
      <c r="J12" s="352">
        <v>10</v>
      </c>
      <c r="L12" s="3" t="s">
        <v>28</v>
      </c>
      <c r="M12" s="67">
        <f>SUM(M9:M11)</f>
        <v>1</v>
      </c>
      <c r="N12" s="35" t="s">
        <v>28</v>
      </c>
      <c r="O12" s="69">
        <f>SUM(O9:O11)</f>
        <v>1</v>
      </c>
      <c r="Q12" s="3"/>
      <c r="R12" s="114"/>
      <c r="S12" s="116"/>
      <c r="T12" s="499"/>
      <c r="U12" s="117"/>
      <c r="V12" s="110" t="str">
        <f t="shared" si="1"/>
        <v/>
      </c>
    </row>
    <row r="13" spans="2:22" x14ac:dyDescent="0.65">
      <c r="B13" s="671"/>
      <c r="C13" s="21"/>
      <c r="D13" s="21"/>
      <c r="E13" s="4"/>
      <c r="G13" s="349"/>
      <c r="H13" s="361"/>
      <c r="I13" s="362"/>
      <c r="J13" s="363"/>
      <c r="L13" s="3"/>
      <c r="M13" s="21"/>
      <c r="N13" s="35"/>
      <c r="O13" s="4"/>
      <c r="Q13" s="3" t="s">
        <v>47</v>
      </c>
      <c r="R13" s="114"/>
      <c r="S13" s="116"/>
      <c r="T13" s="498">
        <f>AVERAGE(R14:S16)+1%</f>
        <v>8.0166666666666664E-2</v>
      </c>
      <c r="U13" s="117">
        <v>25</v>
      </c>
      <c r="V13" s="110">
        <f>IF(T13="","",T13+U13/10000)</f>
        <v>8.2666666666666666E-2</v>
      </c>
    </row>
    <row r="14" spans="2:22" x14ac:dyDescent="0.65">
      <c r="B14" s="33" t="s">
        <v>39</v>
      </c>
      <c r="C14" s="21"/>
      <c r="D14" s="21"/>
      <c r="E14" s="4"/>
      <c r="G14" s="353" t="s">
        <v>47</v>
      </c>
      <c r="H14" s="361"/>
      <c r="I14" s="362"/>
      <c r="J14" s="363"/>
      <c r="L14" s="36" t="s">
        <v>76</v>
      </c>
      <c r="M14" s="37"/>
      <c r="N14" s="81" t="s">
        <v>76</v>
      </c>
      <c r="O14" s="39"/>
      <c r="Q14" s="83" t="s">
        <v>440</v>
      </c>
      <c r="R14" s="114">
        <v>7.0000000000000007E-2</v>
      </c>
      <c r="S14" s="116">
        <v>7.2499999999999995E-2</v>
      </c>
      <c r="T14" s="499"/>
      <c r="U14" s="117"/>
      <c r="V14" s="110" t="str">
        <f t="shared" si="1"/>
        <v/>
      </c>
    </row>
    <row r="15" spans="2:22" x14ac:dyDescent="0.65">
      <c r="B15" s="36" t="s">
        <v>56</v>
      </c>
      <c r="C15" s="37" t="s">
        <v>57</v>
      </c>
      <c r="D15" s="37" t="s">
        <v>58</v>
      </c>
      <c r="E15" s="39" t="s">
        <v>59</v>
      </c>
      <c r="G15" s="357" t="s">
        <v>79</v>
      </c>
      <c r="H15" s="358" t="s">
        <v>81</v>
      </c>
      <c r="I15" s="359" t="s">
        <v>82</v>
      </c>
      <c r="J15" s="360" t="s">
        <v>83</v>
      </c>
      <c r="L15" s="3" t="str">
        <f>L9</f>
        <v>Senior Loan</v>
      </c>
      <c r="M15" s="76">
        <v>0.05</v>
      </c>
      <c r="N15" s="35" t="str">
        <f>N9</f>
        <v>Senior Loan</v>
      </c>
      <c r="O15" s="73">
        <v>4.4999999999999998E-2</v>
      </c>
      <c r="Q15" s="83" t="s">
        <v>437</v>
      </c>
      <c r="R15" s="114">
        <v>0.06</v>
      </c>
      <c r="S15" s="116">
        <v>6.3500000000000001E-2</v>
      </c>
      <c r="T15" s="499"/>
      <c r="U15" s="117"/>
      <c r="V15" s="110" t="str">
        <f t="shared" si="1"/>
        <v/>
      </c>
    </row>
    <row r="16" spans="2:22" x14ac:dyDescent="0.65">
      <c r="B16" s="3" t="s">
        <v>60</v>
      </c>
      <c r="C16" s="65">
        <v>43831</v>
      </c>
      <c r="D16" s="66">
        <v>12</v>
      </c>
      <c r="E16" s="63">
        <f>EDATE(C16,D16)-1</f>
        <v>44196</v>
      </c>
      <c r="G16" s="349" t="s">
        <v>48</v>
      </c>
      <c r="H16" s="350">
        <v>101.89</v>
      </c>
      <c r="I16" s="351">
        <v>157.54</v>
      </c>
      <c r="J16" s="352">
        <v>150</v>
      </c>
      <c r="L16" s="3" t="str">
        <f>L10</f>
        <v>Mezzanine Loan</v>
      </c>
      <c r="M16" s="76">
        <v>0.12</v>
      </c>
      <c r="N16" s="35" t="str">
        <f>N10</f>
        <v>Mezzanine Loan</v>
      </c>
      <c r="O16" s="73" t="s">
        <v>9</v>
      </c>
      <c r="Q16" s="348" t="s">
        <v>438</v>
      </c>
      <c r="R16" s="114">
        <v>7.0000000000000007E-2</v>
      </c>
      <c r="S16" s="116">
        <v>8.5000000000000006E-2</v>
      </c>
      <c r="T16" s="499"/>
      <c r="U16" s="117"/>
      <c r="V16" s="110" t="str">
        <f t="shared" si="1"/>
        <v/>
      </c>
    </row>
    <row r="17" spans="2:22" x14ac:dyDescent="0.65">
      <c r="B17" s="3" t="s">
        <v>61</v>
      </c>
      <c r="C17" s="62">
        <f>E16+1</f>
        <v>44197</v>
      </c>
      <c r="D17" s="66">
        <v>18</v>
      </c>
      <c r="E17" s="63">
        <f t="shared" ref="E17:E18" si="2">EDATE(C17,D17)-1</f>
        <v>44742</v>
      </c>
      <c r="G17" s="349" t="s">
        <v>440</v>
      </c>
      <c r="H17" s="350">
        <v>94.59</v>
      </c>
      <c r="I17" s="351">
        <v>146.25</v>
      </c>
      <c r="J17" s="352">
        <v>125</v>
      </c>
      <c r="L17" s="3"/>
      <c r="M17" s="76"/>
      <c r="N17" s="35"/>
      <c r="O17" s="4"/>
      <c r="Q17" s="3"/>
      <c r="R17" s="114"/>
      <c r="S17" s="116"/>
      <c r="T17" s="499"/>
      <c r="U17" s="117"/>
      <c r="V17" s="110" t="str">
        <f t="shared" si="1"/>
        <v/>
      </c>
    </row>
    <row r="18" spans="2:22" x14ac:dyDescent="0.65">
      <c r="B18" s="3" t="s">
        <v>62</v>
      </c>
      <c r="C18" s="62">
        <f>E17+1</f>
        <v>44743</v>
      </c>
      <c r="D18" s="66">
        <v>12</v>
      </c>
      <c r="E18" s="63">
        <f t="shared" si="2"/>
        <v>45107</v>
      </c>
      <c r="G18" s="349" t="s">
        <v>437</v>
      </c>
      <c r="H18" s="350">
        <v>100</v>
      </c>
      <c r="I18" s="351">
        <v>120</v>
      </c>
      <c r="J18" s="352">
        <v>100</v>
      </c>
      <c r="L18" s="36" t="s">
        <v>75</v>
      </c>
      <c r="M18" s="76"/>
      <c r="N18" s="81" t="s">
        <v>75</v>
      </c>
      <c r="O18" s="39"/>
      <c r="Q18" s="3" t="s">
        <v>30</v>
      </c>
      <c r="R18" s="114"/>
      <c r="S18" s="116"/>
      <c r="T18" s="498">
        <f>AVERAGE(R19:S20)+1%</f>
        <v>9.5999999999999988E-2</v>
      </c>
      <c r="U18" s="117">
        <v>25</v>
      </c>
      <c r="V18" s="110">
        <f t="shared" si="1"/>
        <v>9.849999999999999E-2</v>
      </c>
    </row>
    <row r="19" spans="2:22" x14ac:dyDescent="0.65">
      <c r="B19" s="3" t="s">
        <v>63</v>
      </c>
      <c r="C19" s="62">
        <f>E18+1</f>
        <v>45108</v>
      </c>
      <c r="D19" s="66"/>
      <c r="E19" s="63"/>
      <c r="G19" s="349" t="s">
        <v>438</v>
      </c>
      <c r="H19" s="350">
        <v>77.290000000000006</v>
      </c>
      <c r="I19" s="351">
        <v>118.69</v>
      </c>
      <c r="J19" s="352">
        <v>80</v>
      </c>
      <c r="L19" s="3" t="str">
        <f>L15</f>
        <v>Senior Loan</v>
      </c>
      <c r="M19" s="79" t="s">
        <v>9</v>
      </c>
      <c r="N19" s="35" t="str">
        <f>N9</f>
        <v>Senior Loan</v>
      </c>
      <c r="O19" s="78">
        <v>1.2</v>
      </c>
      <c r="Q19" s="348" t="s">
        <v>527</v>
      </c>
      <c r="R19" s="114">
        <v>7.3999999999999996E-2</v>
      </c>
      <c r="S19" s="116">
        <v>0.09</v>
      </c>
      <c r="T19" s="499"/>
      <c r="U19" s="117"/>
      <c r="V19" s="110" t="str">
        <f t="shared" si="1"/>
        <v/>
      </c>
    </row>
    <row r="20" spans="2:22" x14ac:dyDescent="0.65">
      <c r="B20" s="3"/>
      <c r="C20" s="21"/>
      <c r="D20" s="21"/>
      <c r="E20" s="4"/>
      <c r="G20" s="349"/>
      <c r="H20" s="361"/>
      <c r="I20" s="362"/>
      <c r="J20" s="363"/>
      <c r="L20" s="3" t="str">
        <f>L16</f>
        <v>Mezzanine Loan</v>
      </c>
      <c r="M20" s="79" t="s">
        <v>9</v>
      </c>
      <c r="N20" s="35" t="str">
        <f>N10</f>
        <v>Mezzanine Loan</v>
      </c>
      <c r="O20" s="78" t="s">
        <v>9</v>
      </c>
      <c r="Q20" s="348" t="s">
        <v>528</v>
      </c>
      <c r="R20" s="114">
        <v>0.08</v>
      </c>
      <c r="S20" s="116">
        <v>0.1</v>
      </c>
      <c r="T20" s="499"/>
      <c r="U20" s="117"/>
      <c r="V20" s="110" t="str">
        <f t="shared" si="1"/>
        <v/>
      </c>
    </row>
    <row r="21" spans="2:22" x14ac:dyDescent="0.65">
      <c r="B21" s="33" t="s">
        <v>38</v>
      </c>
      <c r="C21" s="21"/>
      <c r="D21" s="21"/>
      <c r="E21" s="4"/>
      <c r="G21" s="353" t="s">
        <v>30</v>
      </c>
      <c r="H21" s="361"/>
      <c r="I21" s="362"/>
      <c r="J21" s="363"/>
      <c r="L21" s="3"/>
      <c r="M21" s="40"/>
      <c r="N21" s="35"/>
      <c r="O21" s="9"/>
      <c r="Q21" s="3"/>
      <c r="R21" s="114"/>
      <c r="S21" s="116"/>
      <c r="T21" s="499"/>
      <c r="U21" s="117"/>
      <c r="V21" s="110" t="str">
        <f t="shared" si="1"/>
        <v/>
      </c>
    </row>
    <row r="22" spans="2:22" x14ac:dyDescent="0.65">
      <c r="B22" s="36" t="s">
        <v>56</v>
      </c>
      <c r="C22" s="37" t="s">
        <v>57</v>
      </c>
      <c r="D22" s="37" t="s">
        <v>58</v>
      </c>
      <c r="E22" s="39" t="s">
        <v>59</v>
      </c>
      <c r="G22" s="357" t="s">
        <v>79</v>
      </c>
      <c r="H22" s="358" t="s">
        <v>81</v>
      </c>
      <c r="I22" s="359" t="s">
        <v>82</v>
      </c>
      <c r="J22" s="360" t="s">
        <v>83</v>
      </c>
      <c r="L22" s="36" t="s">
        <v>69</v>
      </c>
      <c r="M22" s="37"/>
      <c r="N22" s="81" t="s">
        <v>69</v>
      </c>
      <c r="O22" s="39"/>
      <c r="Q22" s="3" t="s">
        <v>49</v>
      </c>
      <c r="R22" s="114"/>
      <c r="S22" s="116"/>
      <c r="T22" s="498">
        <f>AVERAGE(R23:S24)+1%</f>
        <v>8.6249999999999993E-2</v>
      </c>
      <c r="U22" s="117">
        <v>25</v>
      </c>
      <c r="V22" s="110">
        <f t="shared" si="1"/>
        <v>8.8749999999999996E-2</v>
      </c>
    </row>
    <row r="23" spans="2:22" ht="15.45" customHeight="1" x14ac:dyDescent="0.65">
      <c r="B23" s="3" t="s">
        <v>60</v>
      </c>
      <c r="C23" s="65">
        <v>45292</v>
      </c>
      <c r="D23" s="66">
        <v>24</v>
      </c>
      <c r="E23" s="63">
        <f>EDATE(C23,D23)-1</f>
        <v>46022</v>
      </c>
      <c r="G23" s="349" t="s">
        <v>85</v>
      </c>
      <c r="H23" s="350">
        <v>125.48</v>
      </c>
      <c r="I23" s="351">
        <v>194.02</v>
      </c>
      <c r="J23" s="352">
        <v>155</v>
      </c>
      <c r="L23" s="3" t="str">
        <f>L15</f>
        <v>Senior Loan</v>
      </c>
      <c r="M23" s="76">
        <v>0.01</v>
      </c>
      <c r="N23" s="35" t="str">
        <f>N19</f>
        <v>Senior Loan</v>
      </c>
      <c r="O23" s="73">
        <v>0.01</v>
      </c>
      <c r="Q23" s="83" t="s">
        <v>436</v>
      </c>
      <c r="R23" s="114">
        <v>7.4999999999999997E-2</v>
      </c>
      <c r="S23" s="116">
        <v>0.08</v>
      </c>
      <c r="T23" s="499"/>
      <c r="U23" s="117"/>
      <c r="V23" s="110" t="str">
        <f t="shared" si="1"/>
        <v/>
      </c>
    </row>
    <row r="24" spans="2:22" x14ac:dyDescent="0.65">
      <c r="B24" s="3" t="s">
        <v>61</v>
      </c>
      <c r="C24" s="62">
        <f>E23+1</f>
        <v>46023</v>
      </c>
      <c r="D24" s="66">
        <v>24</v>
      </c>
      <c r="E24" s="63">
        <f t="shared" ref="E24:E25" si="3">EDATE(C24,D24)-1</f>
        <v>46752</v>
      </c>
      <c r="G24" s="347" t="s">
        <v>86</v>
      </c>
      <c r="H24" s="350">
        <v>10</v>
      </c>
      <c r="I24" s="351">
        <v>30</v>
      </c>
      <c r="J24" s="352">
        <v>30</v>
      </c>
      <c r="L24" s="3" t="str">
        <f>L16</f>
        <v>Mezzanine Loan</v>
      </c>
      <c r="M24" s="76">
        <v>0.01</v>
      </c>
      <c r="N24" s="35" t="str">
        <f>N20</f>
        <v>Mezzanine Loan</v>
      </c>
      <c r="O24" s="73" t="s">
        <v>9</v>
      </c>
      <c r="Q24" s="119" t="s">
        <v>433</v>
      </c>
      <c r="R24" s="120">
        <v>7.0000000000000007E-2</v>
      </c>
      <c r="S24" s="121">
        <v>0.08</v>
      </c>
      <c r="T24" s="122"/>
      <c r="U24" s="123"/>
      <c r="V24" s="124" t="str">
        <f t="shared" si="1"/>
        <v/>
      </c>
    </row>
    <row r="25" spans="2:22" x14ac:dyDescent="0.65">
      <c r="B25" s="3" t="s">
        <v>62</v>
      </c>
      <c r="C25" s="62">
        <f>E24+1</f>
        <v>46753</v>
      </c>
      <c r="D25" s="66">
        <v>12</v>
      </c>
      <c r="E25" s="63">
        <f t="shared" si="3"/>
        <v>47118</v>
      </c>
      <c r="G25" s="349"/>
      <c r="H25" s="361"/>
      <c r="I25" s="362"/>
      <c r="J25" s="363"/>
      <c r="L25" s="3"/>
      <c r="M25" s="76"/>
      <c r="N25" s="35"/>
      <c r="O25" s="9"/>
      <c r="Q25" s="33" t="s">
        <v>123</v>
      </c>
      <c r="R25" s="111"/>
      <c r="S25" s="111"/>
      <c r="T25" s="111"/>
      <c r="U25" s="117"/>
      <c r="V25" s="110" t="str">
        <f t="shared" si="1"/>
        <v/>
      </c>
    </row>
    <row r="26" spans="2:22" x14ac:dyDescent="0.65">
      <c r="B26" s="3" t="s">
        <v>63</v>
      </c>
      <c r="C26" s="62">
        <f>E25+1</f>
        <v>47119</v>
      </c>
      <c r="D26" s="66"/>
      <c r="E26" s="63"/>
      <c r="G26" s="353" t="s">
        <v>49</v>
      </c>
      <c r="H26" s="361"/>
      <c r="I26" s="362"/>
      <c r="J26" s="363"/>
      <c r="L26" s="36" t="s">
        <v>77</v>
      </c>
      <c r="M26" s="37"/>
      <c r="N26" s="81" t="s">
        <v>77</v>
      </c>
      <c r="O26" s="39"/>
      <c r="Q26" s="36" t="s">
        <v>92</v>
      </c>
      <c r="R26" s="112"/>
      <c r="S26" s="112"/>
      <c r="T26" s="112"/>
      <c r="U26" s="118"/>
      <c r="V26" s="110" t="str">
        <f t="shared" si="1"/>
        <v/>
      </c>
    </row>
    <row r="27" spans="2:22" ht="13" thickBot="1" x14ac:dyDescent="0.8">
      <c r="B27" s="3"/>
      <c r="C27" s="8"/>
      <c r="D27" s="8"/>
      <c r="E27" s="9"/>
      <c r="G27" s="357" t="s">
        <v>79</v>
      </c>
      <c r="H27" s="358" t="s">
        <v>81</v>
      </c>
      <c r="I27" s="359" t="s">
        <v>82</v>
      </c>
      <c r="J27" s="360" t="s">
        <v>83</v>
      </c>
      <c r="L27" s="3" t="str">
        <f>L23</f>
        <v>Senior Loan</v>
      </c>
      <c r="M27" s="76" t="s">
        <v>9</v>
      </c>
      <c r="N27" s="35" t="str">
        <f>N23</f>
        <v>Senior Loan</v>
      </c>
      <c r="O27" s="72">
        <v>30</v>
      </c>
      <c r="Q27" s="3" t="s">
        <v>124</v>
      </c>
      <c r="R27" s="111">
        <v>0.02</v>
      </c>
      <c r="S27" s="111"/>
      <c r="T27" s="111"/>
      <c r="U27" s="117"/>
      <c r="V27" s="110" t="str">
        <f t="shared" si="1"/>
        <v/>
      </c>
    </row>
    <row r="28" spans="2:22" ht="13" thickBot="1" x14ac:dyDescent="0.8">
      <c r="B28" s="33" t="s">
        <v>72</v>
      </c>
      <c r="C28" s="8"/>
      <c r="D28" s="8"/>
      <c r="E28" s="9"/>
      <c r="G28" s="349" t="s">
        <v>87</v>
      </c>
      <c r="H28" s="350">
        <v>65.540000000000006</v>
      </c>
      <c r="I28" s="351">
        <v>101.34</v>
      </c>
      <c r="J28" s="352">
        <v>250</v>
      </c>
      <c r="L28" s="3" t="str">
        <f>L24</f>
        <v>Mezzanine Loan</v>
      </c>
      <c r="M28" s="76" t="s">
        <v>9</v>
      </c>
      <c r="N28" s="35" t="str">
        <f>N24</f>
        <v>Mezzanine Loan</v>
      </c>
      <c r="O28" s="72" t="s">
        <v>9</v>
      </c>
      <c r="Q28" s="970" t="s">
        <v>529</v>
      </c>
      <c r="R28" s="971"/>
      <c r="S28" s="971"/>
      <c r="T28" s="971"/>
      <c r="U28" s="971"/>
      <c r="V28" s="972"/>
    </row>
    <row r="29" spans="2:22" x14ac:dyDescent="0.65">
      <c r="B29" s="3" t="s">
        <v>74</v>
      </c>
      <c r="C29" s="66">
        <v>10</v>
      </c>
      <c r="D29" s="8"/>
      <c r="E29" s="9"/>
      <c r="G29" s="347" t="s">
        <v>88</v>
      </c>
      <c r="H29" s="350">
        <v>25</v>
      </c>
      <c r="I29" s="351">
        <v>60</v>
      </c>
      <c r="J29" s="352">
        <v>160</v>
      </c>
      <c r="L29" s="3"/>
      <c r="M29" s="76"/>
      <c r="N29" s="35"/>
      <c r="O29" s="9"/>
    </row>
    <row r="30" spans="2:22" ht="13" thickBot="1" x14ac:dyDescent="0.8">
      <c r="B30" s="5" t="s">
        <v>73</v>
      </c>
      <c r="C30" s="64">
        <f>EDATE(C9,C29*12)-1</f>
        <v>47118</v>
      </c>
      <c r="D30" s="10"/>
      <c r="E30" s="11"/>
      <c r="G30" s="349"/>
      <c r="H30" s="361"/>
      <c r="I30" s="362"/>
      <c r="J30" s="363"/>
      <c r="L30" s="3"/>
      <c r="M30" s="76"/>
      <c r="N30" s="81" t="s">
        <v>78</v>
      </c>
      <c r="O30" s="9"/>
    </row>
    <row r="31" spans="2:22" ht="13" thickBot="1" x14ac:dyDescent="0.8">
      <c r="G31" s="353" t="s">
        <v>90</v>
      </c>
      <c r="H31" s="361"/>
      <c r="I31" s="362"/>
      <c r="J31" s="363"/>
      <c r="L31" s="3"/>
      <c r="M31" s="8"/>
      <c r="N31" s="35" t="str">
        <f>N23</f>
        <v>Senior Loan</v>
      </c>
      <c r="O31" s="72">
        <v>10</v>
      </c>
    </row>
    <row r="32" spans="2:22" ht="15" thickBot="1" x14ac:dyDescent="1.05">
      <c r="B32" s="961" t="s">
        <v>125</v>
      </c>
      <c r="C32" s="963"/>
      <c r="G32" s="357" t="s">
        <v>79</v>
      </c>
      <c r="H32" s="358" t="s">
        <v>81</v>
      </c>
      <c r="I32" s="359" t="s">
        <v>82</v>
      </c>
      <c r="J32" s="360" t="s">
        <v>83</v>
      </c>
      <c r="L32" s="95"/>
      <c r="M32" s="32"/>
      <c r="N32" s="125" t="str">
        <f>N24</f>
        <v>Mezzanine Loan</v>
      </c>
      <c r="O32" s="126" t="s">
        <v>9</v>
      </c>
    </row>
    <row r="33" spans="2:15" ht="13" thickBot="1" x14ac:dyDescent="0.8">
      <c r="B33" s="36" t="s">
        <v>92</v>
      </c>
      <c r="C33" s="39" t="s">
        <v>126</v>
      </c>
      <c r="G33" s="349" t="s">
        <v>84</v>
      </c>
      <c r="H33" s="350">
        <v>28.86</v>
      </c>
      <c r="I33" s="351">
        <v>44.63</v>
      </c>
      <c r="J33" s="352">
        <v>40</v>
      </c>
      <c r="L33" s="970" t="s">
        <v>525</v>
      </c>
      <c r="M33" s="971"/>
      <c r="N33" s="971"/>
      <c r="O33" s="972"/>
    </row>
    <row r="34" spans="2:15" x14ac:dyDescent="0.65">
      <c r="B34" s="3" t="s">
        <v>224</v>
      </c>
      <c r="C34" s="130">
        <v>0.03</v>
      </c>
      <c r="G34" s="349" t="s">
        <v>441</v>
      </c>
      <c r="H34" s="350">
        <v>91.97</v>
      </c>
      <c r="I34" s="351">
        <v>142.19999999999999</v>
      </c>
      <c r="J34" s="352">
        <v>140</v>
      </c>
    </row>
    <row r="35" spans="2:15" x14ac:dyDescent="0.65">
      <c r="B35" s="3" t="s">
        <v>127</v>
      </c>
      <c r="C35" s="130">
        <v>0.03</v>
      </c>
      <c r="G35" s="349" t="s">
        <v>420</v>
      </c>
      <c r="H35" s="350">
        <v>109.13</v>
      </c>
      <c r="I35" s="351">
        <v>168.73</v>
      </c>
      <c r="J35" s="352">
        <v>250</v>
      </c>
      <c r="N35" s="74"/>
      <c r="O35" s="74"/>
    </row>
    <row r="36" spans="2:15" x14ac:dyDescent="0.65">
      <c r="B36" s="3" t="s">
        <v>574</v>
      </c>
      <c r="C36" s="130">
        <v>0.03</v>
      </c>
      <c r="G36" s="349"/>
      <c r="H36" s="350"/>
      <c r="I36" s="351"/>
      <c r="J36" s="352"/>
      <c r="N36" s="74"/>
      <c r="O36" s="74"/>
    </row>
    <row r="37" spans="2:15" x14ac:dyDescent="0.65">
      <c r="B37" s="3" t="s">
        <v>243</v>
      </c>
      <c r="C37" s="130">
        <v>0.03</v>
      </c>
      <c r="G37" s="353" t="s">
        <v>91</v>
      </c>
      <c r="H37" s="361"/>
      <c r="I37" s="362"/>
      <c r="J37" s="363"/>
      <c r="N37" s="75"/>
      <c r="O37" s="75"/>
    </row>
    <row r="38" spans="2:15" x14ac:dyDescent="0.65">
      <c r="B38" s="3" t="s">
        <v>252</v>
      </c>
      <c r="C38" s="130">
        <v>0.01</v>
      </c>
      <c r="G38" s="409" t="s">
        <v>92</v>
      </c>
      <c r="H38" s="378" t="s">
        <v>81</v>
      </c>
      <c r="I38" s="482" t="s">
        <v>82</v>
      </c>
      <c r="J38" s="483" t="s">
        <v>83</v>
      </c>
      <c r="N38" s="67"/>
      <c r="O38" s="67"/>
    </row>
    <row r="39" spans="2:15" x14ac:dyDescent="0.65">
      <c r="B39" s="3" t="s">
        <v>128</v>
      </c>
      <c r="C39" s="130">
        <v>0.03</v>
      </c>
      <c r="G39" s="391" t="s">
        <v>562</v>
      </c>
      <c r="H39" s="484">
        <v>4100</v>
      </c>
      <c r="I39" s="485">
        <v>4900</v>
      </c>
      <c r="J39" s="486">
        <v>4800</v>
      </c>
      <c r="N39" s="21"/>
      <c r="O39" s="21"/>
    </row>
    <row r="40" spans="2:15" x14ac:dyDescent="0.65">
      <c r="B40" s="3" t="s">
        <v>129</v>
      </c>
      <c r="C40" s="130">
        <v>0.03</v>
      </c>
      <c r="G40" s="487" t="s">
        <v>269</v>
      </c>
      <c r="H40" s="488">
        <v>187000</v>
      </c>
      <c r="I40" s="489">
        <v>313000</v>
      </c>
      <c r="J40" s="490">
        <v>220000</v>
      </c>
      <c r="N40" s="37"/>
      <c r="O40" s="37"/>
    </row>
    <row r="41" spans="2:15" ht="13" thickBot="1" x14ac:dyDescent="0.8">
      <c r="B41" s="5" t="s">
        <v>130</v>
      </c>
      <c r="C41" s="131">
        <v>0.03</v>
      </c>
      <c r="G41" s="491" t="s">
        <v>113</v>
      </c>
      <c r="H41" s="492"/>
      <c r="I41" s="492"/>
      <c r="J41" s="493"/>
      <c r="N41" s="76"/>
      <c r="O41" s="76"/>
    </row>
    <row r="42" spans="2:15" x14ac:dyDescent="0.65">
      <c r="G42" s="409" t="s">
        <v>92</v>
      </c>
      <c r="H42" s="377"/>
      <c r="I42" s="377"/>
      <c r="J42" s="379"/>
      <c r="N42" s="21"/>
      <c r="O42" s="21"/>
    </row>
    <row r="43" spans="2:15" x14ac:dyDescent="0.65">
      <c r="G43" s="391" t="s">
        <v>114</v>
      </c>
      <c r="H43" s="438">
        <v>0.06</v>
      </c>
      <c r="I43" s="494"/>
      <c r="J43" s="495"/>
      <c r="N43" s="37"/>
      <c r="O43" s="37"/>
    </row>
    <row r="44" spans="2:15" x14ac:dyDescent="0.65">
      <c r="G44" s="391" t="s">
        <v>115</v>
      </c>
      <c r="H44" s="438">
        <v>0.1</v>
      </c>
      <c r="I44" s="494"/>
      <c r="J44" s="495"/>
      <c r="N44" s="76"/>
      <c r="O44" s="76"/>
    </row>
    <row r="45" spans="2:15" ht="13" thickBot="1" x14ac:dyDescent="0.8">
      <c r="G45" s="392" t="s">
        <v>116</v>
      </c>
      <c r="H45" s="441">
        <v>0.05</v>
      </c>
      <c r="I45" s="496"/>
      <c r="J45" s="497"/>
      <c r="N45" s="76"/>
      <c r="O45" s="76"/>
    </row>
    <row r="46" spans="2:15" ht="36.75" customHeight="1" x14ac:dyDescent="0.65">
      <c r="G46" s="973" t="s">
        <v>442</v>
      </c>
      <c r="H46" s="974"/>
      <c r="I46" s="974"/>
      <c r="J46" s="975"/>
      <c r="N46" s="40"/>
      <c r="O46" s="40"/>
    </row>
    <row r="47" spans="2:15" ht="13" thickBot="1" x14ac:dyDescent="0.8">
      <c r="G47" s="976"/>
      <c r="H47" s="977"/>
      <c r="I47" s="977"/>
      <c r="J47" s="978"/>
      <c r="N47" s="37"/>
      <c r="O47" s="37"/>
    </row>
    <row r="48" spans="2:15" x14ac:dyDescent="0.65">
      <c r="N48" s="76"/>
      <c r="O48" s="76"/>
    </row>
    <row r="49" spans="14:15" x14ac:dyDescent="0.65">
      <c r="N49" s="76"/>
      <c r="O49" s="76"/>
    </row>
    <row r="50" spans="14:15" x14ac:dyDescent="0.65">
      <c r="N50" s="76"/>
      <c r="O50" s="76"/>
    </row>
    <row r="51" spans="14:15" x14ac:dyDescent="0.65">
      <c r="N51" s="37"/>
      <c r="O51" s="37"/>
    </row>
    <row r="52" spans="14:15" x14ac:dyDescent="0.65">
      <c r="N52" s="76"/>
      <c r="O52" s="76"/>
    </row>
    <row r="53" spans="14:15" x14ac:dyDescent="0.65">
      <c r="N53" s="76"/>
      <c r="O53" s="76"/>
    </row>
  </sheetData>
  <mergeCells count="11">
    <mergeCell ref="B32:C32"/>
    <mergeCell ref="L33:O33"/>
    <mergeCell ref="G46:J46"/>
    <mergeCell ref="G47:J47"/>
    <mergeCell ref="B6:E6"/>
    <mergeCell ref="B2:C2"/>
    <mergeCell ref="G6:J6"/>
    <mergeCell ref="R7:S7"/>
    <mergeCell ref="Q28:V28"/>
    <mergeCell ref="Q6:V6"/>
    <mergeCell ref="L6:O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C079A-9103-4429-A261-5AAED647C51F}">
  <sheetPr>
    <tabColor rgb="FFF0C2DC"/>
  </sheetPr>
  <dimension ref="B1:S37"/>
  <sheetViews>
    <sheetView topLeftCell="B1" zoomScaleNormal="100" workbookViewId="0">
      <selection activeCell="J14" sqref="J14"/>
    </sheetView>
  </sheetViews>
  <sheetFormatPr defaultColWidth="9.08984375" defaultRowHeight="12.25" x14ac:dyDescent="0.65"/>
  <cols>
    <col min="1" max="1" width="2.76953125" style="1" customWidth="1"/>
    <col min="2" max="2" width="22.453125" style="1" customWidth="1"/>
    <col min="3" max="3" width="9.08984375" style="1"/>
    <col min="4" max="5" width="7.08984375" style="1" customWidth="1"/>
    <col min="6" max="6" width="7.76953125" style="1" customWidth="1"/>
    <col min="7" max="7" width="2.76953125" style="1" customWidth="1"/>
    <col min="8" max="8" width="17.453125" style="1" customWidth="1"/>
    <col min="9" max="9" width="14.453125" style="1" customWidth="1"/>
    <col min="10" max="10" width="11.76953125" style="1" customWidth="1"/>
    <col min="11" max="11" width="15.453125" style="1" customWidth="1"/>
    <col min="12" max="13" width="17.453125" style="1" customWidth="1"/>
    <col min="14" max="14" width="2.76953125" style="1" customWidth="1"/>
    <col min="15" max="15" width="14.76953125" style="1" customWidth="1"/>
    <col min="16" max="16" width="14.453125" style="1" customWidth="1"/>
    <col min="17" max="17" width="15.76953125" style="1" customWidth="1"/>
    <col min="18" max="18" width="19.453125" style="1" customWidth="1"/>
    <col min="19" max="19" width="18.76953125" style="1" customWidth="1"/>
    <col min="20" max="20" width="2.76953125" style="1" customWidth="1"/>
    <col min="21" max="21" width="17.453125" style="1" bestFit="1" customWidth="1"/>
    <col min="22" max="22" width="9.453125" style="1" bestFit="1" customWidth="1"/>
    <col min="23" max="16384" width="9.08984375" style="1"/>
  </cols>
  <sheetData>
    <row r="1" spans="2:19" ht="13" thickBot="1" x14ac:dyDescent="0.8"/>
    <row r="2" spans="2:19" ht="14.25" x14ac:dyDescent="0.9">
      <c r="B2" s="982" t="s">
        <v>37</v>
      </c>
      <c r="C2" s="983"/>
    </row>
    <row r="3" spans="2:19" x14ac:dyDescent="0.65">
      <c r="B3" s="3" t="s">
        <v>36</v>
      </c>
      <c r="C3" s="4" t="str">
        <f>ProjectName</f>
        <v>8th Hill</v>
      </c>
    </row>
    <row r="4" spans="2:19" ht="13" thickBot="1" x14ac:dyDescent="0.8">
      <c r="B4" s="5" t="s">
        <v>35</v>
      </c>
      <c r="C4" s="6">
        <f>TeamNumber</f>
        <v>192021</v>
      </c>
    </row>
    <row r="5" spans="2:19" ht="13" thickBot="1" x14ac:dyDescent="0.8"/>
    <row r="6" spans="2:19" ht="15" thickBot="1" x14ac:dyDescent="1.05">
      <c r="B6" s="979" t="s">
        <v>102</v>
      </c>
      <c r="C6" s="980"/>
      <c r="D6" s="980"/>
      <c r="E6" s="980"/>
      <c r="F6" s="981"/>
      <c r="H6" s="979" t="s">
        <v>105</v>
      </c>
      <c r="I6" s="980"/>
      <c r="J6" s="980"/>
      <c r="K6" s="980"/>
      <c r="L6" s="980"/>
      <c r="M6" s="981"/>
      <c r="O6" s="986" t="s">
        <v>576</v>
      </c>
      <c r="P6" s="987"/>
      <c r="Q6" s="987"/>
      <c r="R6" s="987"/>
      <c r="S6" s="988"/>
    </row>
    <row r="7" spans="2:19" x14ac:dyDescent="0.65">
      <c r="B7" s="33" t="s">
        <v>42</v>
      </c>
      <c r="C7" s="21"/>
      <c r="D7" s="47" t="s">
        <v>104</v>
      </c>
      <c r="E7" s="21" t="s">
        <v>104</v>
      </c>
      <c r="F7" s="4" t="s">
        <v>104</v>
      </c>
      <c r="H7" s="36" t="s">
        <v>41</v>
      </c>
      <c r="I7" s="97" t="s">
        <v>106</v>
      </c>
      <c r="J7" s="37" t="s">
        <v>107</v>
      </c>
      <c r="K7" s="37" t="s">
        <v>482</v>
      </c>
      <c r="L7" s="37" t="s">
        <v>109</v>
      </c>
      <c r="M7" s="39" t="s">
        <v>108</v>
      </c>
      <c r="O7" s="587" t="s">
        <v>41</v>
      </c>
      <c r="P7" s="710" t="s">
        <v>106</v>
      </c>
      <c r="Q7" s="710" t="s">
        <v>112</v>
      </c>
      <c r="R7" s="710" t="s">
        <v>110</v>
      </c>
      <c r="S7" s="589" t="s">
        <v>111</v>
      </c>
    </row>
    <row r="8" spans="2:19" x14ac:dyDescent="0.65">
      <c r="B8" s="36" t="s">
        <v>41</v>
      </c>
      <c r="C8" s="37" t="s">
        <v>103</v>
      </c>
      <c r="D8" s="38" t="s">
        <v>25</v>
      </c>
      <c r="E8" s="37" t="s">
        <v>24</v>
      </c>
      <c r="F8" s="39" t="s">
        <v>23</v>
      </c>
      <c r="H8" s="3" t="s">
        <v>13</v>
      </c>
      <c r="I8" s="40">
        <f>BuildingSummary!Y58</f>
        <v>556.1131112224449</v>
      </c>
      <c r="J8" s="98">
        <v>2.2999999999999998</v>
      </c>
      <c r="K8" s="75">
        <v>0</v>
      </c>
      <c r="L8" s="84">
        <f>I8*J8*(1+K8)</f>
        <v>1279.0601558116232</v>
      </c>
      <c r="M8" s="101">
        <f>L8*12</f>
        <v>15348.721869739478</v>
      </c>
      <c r="O8" s="3" t="s">
        <v>13</v>
      </c>
      <c r="P8" s="40">
        <f>I8</f>
        <v>556.1131112224449</v>
      </c>
      <c r="Q8" s="82">
        <f>R8/P8</f>
        <v>1.1499999999999999</v>
      </c>
      <c r="R8" s="103">
        <f>L8*0.5</f>
        <v>639.53007790581159</v>
      </c>
      <c r="S8" s="101">
        <f>R8*12</f>
        <v>7674.3609348697391</v>
      </c>
    </row>
    <row r="9" spans="2:19" x14ac:dyDescent="0.65">
      <c r="B9" s="3" t="s">
        <v>13</v>
      </c>
      <c r="C9" s="40">
        <f>SUM(D9:F9)</f>
        <v>368</v>
      </c>
      <c r="D9" s="41">
        <f>BuildingSummary!$V52</f>
        <v>257</v>
      </c>
      <c r="E9" s="40">
        <f>SUMIFS(BuildingSummary!$D52:$U52,BuildingSummary!$D$34:$U$34,"Rental",BuildingSummary!$D$18:$U$18,'Assumptions-ResRental'!E$8)</f>
        <v>35</v>
      </c>
      <c r="F9" s="42">
        <f>SUMIFS(BuildingSummary!$D52:$U52,BuildingSummary!$D$34:$U$34,"Rental",BuildingSummary!$D$18:$U$18,'Assumptions-ResRental'!F$8)</f>
        <v>76</v>
      </c>
      <c r="H9" s="3" t="s">
        <v>12</v>
      </c>
      <c r="I9" s="40">
        <f>BuildingSummary!Y59</f>
        <v>750.94952091503262</v>
      </c>
      <c r="J9" s="98">
        <v>2.25</v>
      </c>
      <c r="K9" s="75">
        <v>0</v>
      </c>
      <c r="L9" s="84">
        <f>I9*J9*(1+K9)</f>
        <v>1689.6364220588234</v>
      </c>
      <c r="M9" s="101">
        <f t="shared" ref="M9:M11" si="0">L9*12</f>
        <v>20275.637064705879</v>
      </c>
      <c r="O9" s="3" t="s">
        <v>12</v>
      </c>
      <c r="P9" s="40">
        <f>I9</f>
        <v>750.94952091503262</v>
      </c>
      <c r="Q9" s="82">
        <f>R9/P9</f>
        <v>1.125</v>
      </c>
      <c r="R9" s="103">
        <f t="shared" ref="R9:R11" si="1">L9*0.5</f>
        <v>844.81821102941171</v>
      </c>
      <c r="S9" s="101">
        <f t="shared" ref="S9:S11" si="2">R9*12</f>
        <v>10137.81853235294</v>
      </c>
    </row>
    <row r="10" spans="2:19" x14ac:dyDescent="0.65">
      <c r="B10" s="3" t="s">
        <v>12</v>
      </c>
      <c r="C10" s="40">
        <f>SUM(D10:F10)</f>
        <v>509</v>
      </c>
      <c r="D10" s="41">
        <f>SUMIFS(BuildingSummary!$D53:$U53,BuildingSummary!$D$34:$U$34,"Rental",BuildingSummary!$D$18:$U$18,'Assumptions-ResRental'!D$8)</f>
        <v>387</v>
      </c>
      <c r="E10" s="40">
        <f>SUMIFS(BuildingSummary!$D53:$U53,BuildingSummary!$D$34:$U$34,"Rental",BuildingSummary!$D$18:$U$18,'Assumptions-ResRental'!E$8)</f>
        <v>28</v>
      </c>
      <c r="F10" s="42">
        <f>SUMIFS(BuildingSummary!$D53:$U53,BuildingSummary!$D$34:$U$34,"Rental",BuildingSummary!$D$18:$U$18,'Assumptions-ResRental'!F$8)</f>
        <v>94</v>
      </c>
      <c r="H10" s="3" t="s">
        <v>11</v>
      </c>
      <c r="I10" s="40">
        <f>BuildingSummary!Y60</f>
        <v>1027.0415875000001</v>
      </c>
      <c r="J10" s="98">
        <v>2.2000000000000002</v>
      </c>
      <c r="K10" s="75">
        <v>0</v>
      </c>
      <c r="L10" s="84">
        <f t="shared" ref="L10:L11" si="3">I10*J10*(1+K10)</f>
        <v>2259.4914925000003</v>
      </c>
      <c r="M10" s="101">
        <f t="shared" si="0"/>
        <v>27113.897910000003</v>
      </c>
      <c r="O10" s="3" t="s">
        <v>11</v>
      </c>
      <c r="P10" s="40">
        <f>I10</f>
        <v>1027.0415875000001</v>
      </c>
      <c r="Q10" s="82">
        <f t="shared" ref="Q10:Q11" si="4">R10/P10</f>
        <v>1.1000000000000001</v>
      </c>
      <c r="R10" s="103">
        <f t="shared" si="1"/>
        <v>1129.7457462500001</v>
      </c>
      <c r="S10" s="101">
        <f t="shared" si="2"/>
        <v>13556.948955000002</v>
      </c>
    </row>
    <row r="11" spans="2:19" ht="13" thickBot="1" x14ac:dyDescent="0.8">
      <c r="B11" s="3" t="s">
        <v>11</v>
      </c>
      <c r="C11" s="40">
        <f>SUM(D11:F11)</f>
        <v>254</v>
      </c>
      <c r="D11" s="41">
        <f>SUMIFS(BuildingSummary!$D54:$U54,BuildingSummary!$D$34:$U$34,"Rental",BuildingSummary!$D$18:$U$18,'Assumptions-ResRental'!D$8)</f>
        <v>244</v>
      </c>
      <c r="E11" s="40">
        <f>SUMIFS(BuildingSummary!$D54:$U54,BuildingSummary!$D$34:$U$34,"Rental",BuildingSummary!$D$18:$U$18,'Assumptions-ResRental'!E$8)</f>
        <v>10</v>
      </c>
      <c r="F11" s="42">
        <f>SUMIFS(BuildingSummary!$D54:$U54,BuildingSummary!$D$34:$U$34,"Rental",BuildingSummary!$D$18:$U$18,'Assumptions-ResRental'!F$8)</f>
        <v>0</v>
      </c>
      <c r="H11" s="5" t="s">
        <v>10</v>
      </c>
      <c r="I11" s="48">
        <f>BuildingSummary!Y61</f>
        <v>1164.5215891472867</v>
      </c>
      <c r="J11" s="99">
        <v>2.15</v>
      </c>
      <c r="K11" s="506">
        <v>0</v>
      </c>
      <c r="L11" s="507">
        <f t="shared" si="3"/>
        <v>2503.7214166666663</v>
      </c>
      <c r="M11" s="102">
        <f t="shared" si="0"/>
        <v>30044.656999999996</v>
      </c>
      <c r="O11" s="5" t="s">
        <v>10</v>
      </c>
      <c r="P11" s="48">
        <f>I11</f>
        <v>1164.5215891472867</v>
      </c>
      <c r="Q11" s="100">
        <f t="shared" si="4"/>
        <v>1.075</v>
      </c>
      <c r="R11" s="105">
        <f t="shared" si="1"/>
        <v>1251.8607083333332</v>
      </c>
      <c r="S11" s="102">
        <f t="shared" si="2"/>
        <v>15022.328499999998</v>
      </c>
    </row>
    <row r="12" spans="2:19" ht="13" thickBot="1" x14ac:dyDescent="0.8">
      <c r="B12" s="3" t="s">
        <v>10</v>
      </c>
      <c r="C12" s="43">
        <f>SUM(D12:F12)</f>
        <v>75</v>
      </c>
      <c r="D12" s="44">
        <f>SUMIFS(BuildingSummary!$D55:$U55,BuildingSummary!$D$34:$U$34,"Rental",BuildingSummary!$D$18:$U$18,'Assumptions-ResRental'!D$8)</f>
        <v>74</v>
      </c>
      <c r="E12" s="45">
        <f>SUMIFS(BuildingSummary!$D55:$U55,BuildingSummary!$D$34:$U$34,"Rental",BuildingSummary!$D$18:$U$18,'Assumptions-ResRental'!E$8)</f>
        <v>1</v>
      </c>
      <c r="F12" s="46">
        <f>SUMIFS(BuildingSummary!$D55:$U55,BuildingSummary!$D$34:$U$34,"Rental",BuildingSummary!$D$18:$U$18,'Assumptions-ResRental'!F$8)</f>
        <v>0</v>
      </c>
    </row>
    <row r="13" spans="2:19" ht="14.25" x14ac:dyDescent="0.9">
      <c r="B13" s="3" t="s">
        <v>28</v>
      </c>
      <c r="C13" s="40">
        <f>SUM(C9:C12)</f>
        <v>1206</v>
      </c>
      <c r="D13" s="41">
        <f>SUM(D9:D12)</f>
        <v>962</v>
      </c>
      <c r="E13" s="40">
        <f>SUM(E9:E12)</f>
        <v>74</v>
      </c>
      <c r="F13" s="42">
        <f>SUM(F9:F12)</f>
        <v>170</v>
      </c>
      <c r="H13" s="979" t="s">
        <v>160</v>
      </c>
      <c r="I13" s="981"/>
      <c r="J13" s="447"/>
      <c r="O13" s="979" t="s">
        <v>577</v>
      </c>
      <c r="P13" s="981"/>
      <c r="Q13" s="2"/>
      <c r="R13" s="979" t="s">
        <v>578</v>
      </c>
      <c r="S13" s="981"/>
    </row>
    <row r="14" spans="2:19" x14ac:dyDescent="0.65">
      <c r="B14" s="3"/>
      <c r="C14" s="21"/>
      <c r="D14" s="47"/>
      <c r="E14" s="21"/>
      <c r="F14" s="4"/>
      <c r="H14" s="36" t="s">
        <v>161</v>
      </c>
      <c r="I14" s="39" t="s">
        <v>131</v>
      </c>
      <c r="O14" s="989" t="s">
        <v>579</v>
      </c>
      <c r="P14" s="990"/>
      <c r="R14" s="449" t="s">
        <v>137</v>
      </c>
      <c r="S14" s="508">
        <v>0.75</v>
      </c>
    </row>
    <row r="15" spans="2:19" ht="13" thickBot="1" x14ac:dyDescent="0.8">
      <c r="B15" s="33" t="s">
        <v>430</v>
      </c>
      <c r="C15" s="21"/>
      <c r="D15" s="47" t="s">
        <v>104</v>
      </c>
      <c r="E15" s="21" t="s">
        <v>104</v>
      </c>
      <c r="F15" s="4" t="s">
        <v>104</v>
      </c>
      <c r="H15" s="3" t="s">
        <v>162</v>
      </c>
      <c r="I15" s="73">
        <v>0.1</v>
      </c>
      <c r="J15" s="365"/>
      <c r="K15" s="365"/>
      <c r="L15" s="365"/>
      <c r="M15" s="365"/>
      <c r="O15" s="36" t="s">
        <v>132</v>
      </c>
      <c r="P15" s="39" t="s">
        <v>131</v>
      </c>
      <c r="R15" s="509" t="s">
        <v>138</v>
      </c>
      <c r="S15" s="510">
        <v>77155</v>
      </c>
    </row>
    <row r="16" spans="2:19" x14ac:dyDescent="0.65">
      <c r="B16" s="36" t="s">
        <v>41</v>
      </c>
      <c r="C16" s="37" t="s">
        <v>103</v>
      </c>
      <c r="D16" s="38" t="s">
        <v>25</v>
      </c>
      <c r="E16" s="37" t="s">
        <v>24</v>
      </c>
      <c r="F16" s="39" t="s">
        <v>23</v>
      </c>
      <c r="H16" s="3" t="s">
        <v>285</v>
      </c>
      <c r="I16" s="427">
        <v>5.1999999999999998E-2</v>
      </c>
      <c r="J16" s="365"/>
      <c r="K16" s="365"/>
      <c r="L16" s="365"/>
      <c r="M16" s="365"/>
      <c r="O16" s="3" t="s">
        <v>20</v>
      </c>
      <c r="P16" s="70">
        <v>0.1</v>
      </c>
    </row>
    <row r="17" spans="2:16" ht="12" customHeight="1" x14ac:dyDescent="0.65">
      <c r="B17" s="3" t="s">
        <v>13</v>
      </c>
      <c r="C17" s="40">
        <f>SUM(D17:F17)</f>
        <v>16</v>
      </c>
      <c r="D17" s="41">
        <f>SUMIFS(BuildingSummary!$D46:$U46,BuildingSummary!$D$34:$U$34,"Rental",BuildingSummary!$D$18:$U$18,'Assumptions-ResRental'!D$8)</f>
        <v>11</v>
      </c>
      <c r="E17" s="40">
        <f>SUMIFS(BuildingSummary!$D46:$U46,BuildingSummary!$D$34:$U$34,"Rental",BuildingSummary!$D$18:$U$18,'Assumptions-ResRental'!E$8)</f>
        <v>1</v>
      </c>
      <c r="F17" s="42">
        <f>SUMIFS(BuildingSummary!$D46:$U46,BuildingSummary!$D$34:$U$34,"Rental",BuildingSummary!$D$18:$U$18,'Assumptions-ResRental'!F$8)</f>
        <v>4</v>
      </c>
      <c r="H17" s="3" t="s">
        <v>163</v>
      </c>
      <c r="I17" s="73">
        <v>0.2</v>
      </c>
      <c r="J17" s="660"/>
      <c r="K17" s="661"/>
      <c r="L17" s="661"/>
      <c r="M17" s="365"/>
      <c r="O17" s="3" t="s">
        <v>19</v>
      </c>
      <c r="P17" s="70">
        <v>0.1</v>
      </c>
    </row>
    <row r="18" spans="2:16" x14ac:dyDescent="0.65">
      <c r="B18" s="3" t="s">
        <v>12</v>
      </c>
      <c r="C18" s="40">
        <f>SUM(D18:F18)</f>
        <v>41</v>
      </c>
      <c r="D18" s="41">
        <f>SUMIFS(BuildingSummary!$D47:$U47,BuildingSummary!$D$34:$U$34,"Rental",BuildingSummary!$D$18:$U$18,'Assumptions-ResRental'!D$8)</f>
        <v>33</v>
      </c>
      <c r="E18" s="40">
        <f>SUMIFS(BuildingSummary!$D47:$U47,BuildingSummary!$D$34:$U$34,"Rental",BuildingSummary!$D$18:$U$18,'Assumptions-ResRental'!E$8)</f>
        <v>2</v>
      </c>
      <c r="F18" s="42">
        <f>SUMIFS(BuildingSummary!$D47:$U47,BuildingSummary!$D$34:$U$34,"Rental",BuildingSummary!$D$18:$U$18,'Assumptions-ResRental'!F$8)</f>
        <v>6</v>
      </c>
      <c r="H18" s="3"/>
      <c r="I18" s="9"/>
      <c r="J18" s="660"/>
      <c r="K18" s="661"/>
      <c r="L18" s="661"/>
      <c r="M18" s="365"/>
      <c r="O18" s="3"/>
      <c r="P18" s="9"/>
    </row>
    <row r="19" spans="2:16" x14ac:dyDescent="0.65">
      <c r="B19" s="3" t="s">
        <v>11</v>
      </c>
      <c r="C19" s="40">
        <f>SUM(D19:F19)</f>
        <v>48</v>
      </c>
      <c r="D19" s="41">
        <f>SUMIFS(BuildingSummary!$D48:$U48,BuildingSummary!$D$34:$U$34,"Rental",BuildingSummary!$D$18:$U$18,'Assumptions-ResRental'!D$8)</f>
        <v>44</v>
      </c>
      <c r="E19" s="40">
        <f>SUMIFS(BuildingSummary!$D48:$U48,BuildingSummary!$D$34:$U$34,"Rental",BuildingSummary!$D$18:$U$18,'Assumptions-ResRental'!E$8)</f>
        <v>4</v>
      </c>
      <c r="F19" s="42">
        <f>SUMIFS(BuildingSummary!$D48:$U48,BuildingSummary!$D$34:$U$34,"Rental",BuildingSummary!$D$18:$U$18,'Assumptions-ResRental'!F$8)</f>
        <v>0</v>
      </c>
      <c r="H19" s="36" t="s">
        <v>164</v>
      </c>
      <c r="I19" s="39"/>
      <c r="J19" s="660"/>
      <c r="K19" s="661"/>
      <c r="L19" s="661"/>
      <c r="M19" s="365"/>
      <c r="O19" s="984" t="s">
        <v>575</v>
      </c>
      <c r="P19" s="985"/>
    </row>
    <row r="20" spans="2:16" x14ac:dyDescent="0.65">
      <c r="B20" s="3" t="s">
        <v>10</v>
      </c>
      <c r="C20" s="43">
        <f>SUM(D20:F20)</f>
        <v>7</v>
      </c>
      <c r="D20" s="44">
        <f>SUMIFS(BuildingSummary!$D49:$U49,BuildingSummary!$D$34:$U$34,"Rental",BuildingSummary!$D$18:$U$18,'Assumptions-ResRental'!D$8)</f>
        <v>6</v>
      </c>
      <c r="E20" s="45">
        <f>SUMIFS(BuildingSummary!$D49:$U49,BuildingSummary!$D$34:$U$34,"Rental",BuildingSummary!$D$18:$U$18,'Assumptions-ResRental'!E$8)</f>
        <v>1</v>
      </c>
      <c r="F20" s="46">
        <f>SUMIFS(BuildingSummary!$D49:$U49,BuildingSummary!$D$34:$U$34,"Rental",BuildingSummary!$D$18:$U$18,'Assumptions-ResRental'!F$8)</f>
        <v>0</v>
      </c>
      <c r="H20" s="3" t="s">
        <v>165</v>
      </c>
      <c r="I20" s="70">
        <v>0.3</v>
      </c>
      <c r="J20" s="660"/>
      <c r="K20" s="661"/>
      <c r="L20" s="661"/>
      <c r="M20" s="365"/>
      <c r="O20" s="36" t="s">
        <v>41</v>
      </c>
      <c r="P20" s="39" t="s">
        <v>131</v>
      </c>
    </row>
    <row r="21" spans="2:16" ht="13" thickBot="1" x14ac:dyDescent="0.8">
      <c r="B21" s="5" t="s">
        <v>28</v>
      </c>
      <c r="C21" s="48">
        <f>SUM(C17:C20)</f>
        <v>112</v>
      </c>
      <c r="D21" s="49">
        <f>SUM(D17:D20)</f>
        <v>94</v>
      </c>
      <c r="E21" s="48">
        <f>SUM(E17:E20)</f>
        <v>8</v>
      </c>
      <c r="F21" s="50">
        <f>SUM(F17:F20)</f>
        <v>10</v>
      </c>
      <c r="H21" s="3"/>
      <c r="I21" s="70"/>
      <c r="J21" s="660"/>
      <c r="K21" s="661"/>
      <c r="L21" s="661"/>
      <c r="M21" s="365"/>
      <c r="O21" s="3" t="s">
        <v>13</v>
      </c>
      <c r="P21" s="70">
        <v>0.2</v>
      </c>
    </row>
    <row r="22" spans="2:16" ht="13" thickBot="1" x14ac:dyDescent="0.8">
      <c r="H22" s="5" t="s">
        <v>166</v>
      </c>
      <c r="I22" s="133">
        <v>300</v>
      </c>
      <c r="J22" s="365"/>
      <c r="K22" s="365"/>
      <c r="L22" s="365"/>
      <c r="M22" s="365"/>
      <c r="O22" s="3" t="s">
        <v>12</v>
      </c>
      <c r="P22" s="70">
        <v>0.3</v>
      </c>
    </row>
    <row r="23" spans="2:16" x14ac:dyDescent="0.65">
      <c r="B23" s="500" t="s">
        <v>428</v>
      </c>
      <c r="C23" s="501"/>
      <c r="D23" s="502" t="s">
        <v>104</v>
      </c>
      <c r="E23" s="501" t="s">
        <v>104</v>
      </c>
      <c r="F23" s="503" t="s">
        <v>104</v>
      </c>
      <c r="O23" s="3" t="s">
        <v>11</v>
      </c>
      <c r="P23" s="70">
        <v>0.4</v>
      </c>
    </row>
    <row r="24" spans="2:16" ht="13" thickBot="1" x14ac:dyDescent="0.8">
      <c r="B24" s="36" t="s">
        <v>41</v>
      </c>
      <c r="C24" s="37" t="s">
        <v>103</v>
      </c>
      <c r="D24" s="38" t="s">
        <v>25</v>
      </c>
      <c r="E24" s="37" t="s">
        <v>24</v>
      </c>
      <c r="F24" s="39" t="s">
        <v>23</v>
      </c>
      <c r="O24" s="5" t="s">
        <v>10</v>
      </c>
      <c r="P24" s="129">
        <v>0.1</v>
      </c>
    </row>
    <row r="25" spans="2:16" x14ac:dyDescent="0.65">
      <c r="B25" s="3" t="s">
        <v>13</v>
      </c>
      <c r="C25" s="40">
        <f>SUM(D25:F25)</f>
        <v>4</v>
      </c>
      <c r="D25" s="41">
        <f>SUMIFS(BuildingSummary!$C$52:$C$52,BuildingSummary!$C$34:$C$34,"Rental",BuildingSummary!$C$18:$C$18,'Assumptions-ResRental'!D$8)</f>
        <v>4</v>
      </c>
      <c r="E25" s="41">
        <f>SUMIFS(BuildingSummary!$C$52:$C$52,BuildingSummary!$C$34:$C$34,"Rental",BuildingSummary!$C$18:$C$18,'Assumptions-ResRental'!E$8)</f>
        <v>0</v>
      </c>
      <c r="F25" s="504">
        <f>SUMIFS(BuildingSummary!$C$52:$C$52,BuildingSummary!$C$34:$C$34,"Rental",BuildingSummary!$C$18:$C$18,'Assumptions-ResRental'!F$8)</f>
        <v>0</v>
      </c>
    </row>
    <row r="26" spans="2:16" x14ac:dyDescent="0.65">
      <c r="B26" s="3" t="s">
        <v>12</v>
      </c>
      <c r="C26" s="40">
        <f>SUM(D26:F26)</f>
        <v>0</v>
      </c>
      <c r="D26" s="41">
        <f>SUMIFS(BuildingSummary!$C$53:$C$53,BuildingSummary!$C$34:$C$34,"Rental",BuildingSummary!$C$18:$C$18,'Assumptions-ResRental'!D$8)</f>
        <v>0</v>
      </c>
      <c r="E26" s="41">
        <f>SUMIFS(BuildingSummary!$C$53:$C$53,BuildingSummary!$C$34:$C$34,"Rental",BuildingSummary!$C$18:$C$18,'Assumptions-ResRental'!E$8)</f>
        <v>0</v>
      </c>
      <c r="F26" s="504">
        <f>SUMIFS(BuildingSummary!$C$53:$C$53,BuildingSummary!$C$34:$C$34,"Rental",BuildingSummary!$C$18:$C$18,'Assumptions-ResRental'!F$8)</f>
        <v>0</v>
      </c>
    </row>
    <row r="27" spans="2:16" x14ac:dyDescent="0.65">
      <c r="B27" s="3" t="s">
        <v>11</v>
      </c>
      <c r="C27" s="40">
        <f>SUM(D27:F27)</f>
        <v>15</v>
      </c>
      <c r="D27" s="41">
        <f>SUMIFS(BuildingSummary!$C$54:$C$54,BuildingSummary!$C$34:$C$34,"Rental",BuildingSummary!$C$18:$C$18,'Assumptions-ResRental'!D$8)</f>
        <v>15</v>
      </c>
      <c r="E27" s="41">
        <f>SUMIFS(BuildingSummary!$C$54:$C$54,BuildingSummary!$C$34:$C$34,"Rental",BuildingSummary!$C$18:$C$18,'Assumptions-ResRental'!E$8)</f>
        <v>0</v>
      </c>
      <c r="F27" s="504">
        <f>SUMIFS(BuildingSummary!$C$54:$C$54,BuildingSummary!$C$34:$C$34,"Rental",BuildingSummary!$C$18:$C$18,'Assumptions-ResRental'!F$8)</f>
        <v>0</v>
      </c>
    </row>
    <row r="28" spans="2:16" x14ac:dyDescent="0.65">
      <c r="B28" s="3" t="s">
        <v>10</v>
      </c>
      <c r="C28" s="43">
        <f>SUM(D28:F28)</f>
        <v>0</v>
      </c>
      <c r="D28" s="41">
        <f>SUMIFS(BuildingSummary!$C$55:$C$55,BuildingSummary!$C$34:$C$34,"Rental",BuildingSummary!$C$18:$C$18,'Assumptions-ResRental'!D$8)</f>
        <v>0</v>
      </c>
      <c r="E28" s="41">
        <f>SUMIFS(BuildingSummary!$C$55:$C$55,BuildingSummary!$C$34:$C$34,"Rental",BuildingSummary!$C$18:$C$18,'Assumptions-ResRental'!E$8)</f>
        <v>0</v>
      </c>
      <c r="F28" s="504">
        <f>SUMIFS(BuildingSummary!$C$55:$C$55,BuildingSummary!$C$34:$C$34,"Rental",BuildingSummary!$C$18:$C$18,'Assumptions-ResRental'!F$8)</f>
        <v>0</v>
      </c>
    </row>
    <row r="29" spans="2:16" ht="13" thickBot="1" x14ac:dyDescent="0.8">
      <c r="B29" s="5" t="s">
        <v>28</v>
      </c>
      <c r="C29" s="48">
        <f>SUM(C25:C28)</f>
        <v>19</v>
      </c>
      <c r="D29" s="49">
        <f>SUM(D25:D28)</f>
        <v>19</v>
      </c>
      <c r="E29" s="49">
        <f t="shared" ref="E29:F29" si="5">SUM(E25:E28)</f>
        <v>0</v>
      </c>
      <c r="F29" s="505">
        <f t="shared" si="5"/>
        <v>0</v>
      </c>
    </row>
    <row r="30" spans="2:16" ht="13" thickBot="1" x14ac:dyDescent="0.8"/>
    <row r="31" spans="2:16" x14ac:dyDescent="0.65">
      <c r="B31" s="500" t="s">
        <v>431</v>
      </c>
      <c r="C31" s="501"/>
      <c r="D31" s="502" t="s">
        <v>104</v>
      </c>
      <c r="E31" s="501" t="s">
        <v>104</v>
      </c>
      <c r="F31" s="503" t="s">
        <v>104</v>
      </c>
    </row>
    <row r="32" spans="2:16" x14ac:dyDescent="0.65">
      <c r="B32" s="36" t="s">
        <v>41</v>
      </c>
      <c r="C32" s="37" t="s">
        <v>103</v>
      </c>
      <c r="D32" s="38" t="s">
        <v>25</v>
      </c>
      <c r="E32" s="37" t="s">
        <v>24</v>
      </c>
      <c r="F32" s="39" t="s">
        <v>23</v>
      </c>
    </row>
    <row r="33" spans="2:6" x14ac:dyDescent="0.65">
      <c r="B33" s="3" t="s">
        <v>13</v>
      </c>
      <c r="C33" s="40">
        <f>SUM(D33:F33)</f>
        <v>0</v>
      </c>
      <c r="D33" s="41">
        <f>SUMIFS(BuildingSummary!$C$46:$C$46,BuildingSummary!$C$34:$C$34,"Rental",BuildingSummary!$C$18:$C$18,'Assumptions-ResRental'!D$8)</f>
        <v>0</v>
      </c>
      <c r="E33" s="41">
        <f>SUMIFS(BuildingSummary!$C$52:$C$52,BuildingSummary!$C$34:$C$34,"Rental",BuildingSummary!$C$18:$C$18,'Assumptions-ResRental'!E$8)</f>
        <v>0</v>
      </c>
      <c r="F33" s="504">
        <f>SUMIFS(BuildingSummary!$C$52:$C$52,BuildingSummary!$C$34:$C$34,"Rental",BuildingSummary!$C$18:$C$18,'Assumptions-ResRental'!F$8)</f>
        <v>0</v>
      </c>
    </row>
    <row r="34" spans="2:6" x14ac:dyDescent="0.65">
      <c r="B34" s="3" t="s">
        <v>12</v>
      </c>
      <c r="C34" s="40">
        <f>SUM(D34:F34)</f>
        <v>0</v>
      </c>
      <c r="D34" s="41">
        <f>SUMIFS(BuildingSummary!$C$47:$C$47,BuildingSummary!$C$34:$C$34,"Rental",BuildingSummary!$C$18:$C$18,'Assumptions-ResRental'!D$8)</f>
        <v>0</v>
      </c>
      <c r="E34" s="41">
        <f>SUMIFS(BuildingSummary!$C$53:$C$53,BuildingSummary!$C$34:$C$34,"Rental",BuildingSummary!$C$18:$C$18,'Assumptions-ResRental'!E$8)</f>
        <v>0</v>
      </c>
      <c r="F34" s="504">
        <f>SUMIFS(BuildingSummary!$C$53:$C$53,BuildingSummary!$C$34:$C$34,"Rental",BuildingSummary!$C$18:$C$18,'Assumptions-ResRental'!F$8)</f>
        <v>0</v>
      </c>
    </row>
    <row r="35" spans="2:6" x14ac:dyDescent="0.65">
      <c r="B35" s="3" t="s">
        <v>11</v>
      </c>
      <c r="C35" s="40">
        <f>SUM(D35:F35)</f>
        <v>1</v>
      </c>
      <c r="D35" s="41">
        <f>SUMIFS(BuildingSummary!$C$48:$C$48,BuildingSummary!$C$34:$C$34,"Rental",BuildingSummary!$C$18:$C$18,'Assumptions-ResRental'!D$8)</f>
        <v>1</v>
      </c>
      <c r="E35" s="41">
        <f>SUMIFS(BuildingSummary!$C$54:$C$54,BuildingSummary!$C$34:$C$34,"Rental",BuildingSummary!$C$18:$C$18,'Assumptions-ResRental'!E$8)</f>
        <v>0</v>
      </c>
      <c r="F35" s="504">
        <f>SUMIFS(BuildingSummary!$C$54:$C$54,BuildingSummary!$C$34:$C$34,"Rental",BuildingSummary!$C$18:$C$18,'Assumptions-ResRental'!F$8)</f>
        <v>0</v>
      </c>
    </row>
    <row r="36" spans="2:6" x14ac:dyDescent="0.65">
      <c r="B36" s="3" t="s">
        <v>10</v>
      </c>
      <c r="C36" s="43">
        <f>SUM(D36:F36)</f>
        <v>0</v>
      </c>
      <c r="D36" s="41">
        <f>SUMIFS(BuildingSummary!$C$49:$C$49,BuildingSummary!$C$34:$C$34,"Rental",BuildingSummary!$C$18:$C$18,'Assumptions-ResRental'!D$8)</f>
        <v>0</v>
      </c>
      <c r="E36" s="41">
        <f>SUMIFS(BuildingSummary!$C$55:$C$55,BuildingSummary!$C$34:$C$34,"Rental",BuildingSummary!$C$18:$C$18,'Assumptions-ResRental'!E$8)</f>
        <v>0</v>
      </c>
      <c r="F36" s="504">
        <f>SUMIFS(BuildingSummary!$C$55:$C$55,BuildingSummary!$C$34:$C$34,"Rental",BuildingSummary!$C$18:$C$18,'Assumptions-ResRental'!F$8)</f>
        <v>0</v>
      </c>
    </row>
    <row r="37" spans="2:6" ht="13" thickBot="1" x14ac:dyDescent="0.8">
      <c r="B37" s="5" t="s">
        <v>28</v>
      </c>
      <c r="C37" s="48">
        <f>SUM(C33:C36)</f>
        <v>1</v>
      </c>
      <c r="D37" s="49">
        <f>SUM(D33:D36)</f>
        <v>1</v>
      </c>
      <c r="E37" s="49">
        <f t="shared" ref="E37" si="6">SUM(E33:E36)</f>
        <v>0</v>
      </c>
      <c r="F37" s="505">
        <f t="shared" ref="F37" si="7">SUM(F33:F36)</f>
        <v>0</v>
      </c>
    </row>
  </sheetData>
  <mergeCells count="9">
    <mergeCell ref="B6:F6"/>
    <mergeCell ref="B2:C2"/>
    <mergeCell ref="O19:P19"/>
    <mergeCell ref="R13:S13"/>
    <mergeCell ref="H13:I13"/>
    <mergeCell ref="H6:M6"/>
    <mergeCell ref="O6:S6"/>
    <mergeCell ref="O13:P13"/>
    <mergeCell ref="O14:P14"/>
  </mergeCells>
  <pageMargins left="0.7" right="0.7" top="0.75" bottom="0.75" header="0.3" footer="0.3"/>
  <pageSetup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0108D-C923-4A49-A0C6-ABF8FB99D071}">
  <sheetPr>
    <tabColor rgb="FFC1F5FB"/>
  </sheetPr>
  <dimension ref="B1:P179"/>
  <sheetViews>
    <sheetView workbookViewId="0">
      <selection activeCell="H11" sqref="H11"/>
    </sheetView>
  </sheetViews>
  <sheetFormatPr defaultColWidth="9.08984375" defaultRowHeight="12.25" x14ac:dyDescent="0.65"/>
  <cols>
    <col min="1" max="1" width="2.76953125" style="1" customWidth="1"/>
    <col min="2" max="2" width="29.76953125" style="1" customWidth="1"/>
    <col min="3" max="3" width="12.76953125" style="1" customWidth="1"/>
    <col min="4" max="14" width="11.453125" style="1" customWidth="1"/>
    <col min="15" max="15" width="9.08984375" style="1"/>
    <col min="16" max="16" width="10.76953125" style="1" customWidth="1"/>
    <col min="17" max="16384" width="9.08984375" style="1"/>
  </cols>
  <sheetData>
    <row r="1" spans="2:16" ht="13" thickBot="1" x14ac:dyDescent="0.8"/>
    <row r="2" spans="2:16" ht="14.25" x14ac:dyDescent="0.9">
      <c r="B2" s="982" t="s">
        <v>37</v>
      </c>
      <c r="C2" s="983"/>
    </row>
    <row r="3" spans="2:16" x14ac:dyDescent="0.65">
      <c r="B3" s="3" t="s">
        <v>36</v>
      </c>
      <c r="C3" s="4" t="str">
        <f>ProjectName</f>
        <v>8th Hill</v>
      </c>
    </row>
    <row r="4" spans="2:16" ht="13" thickBot="1" x14ac:dyDescent="0.8">
      <c r="B4" s="5" t="s">
        <v>35</v>
      </c>
      <c r="C4" s="6">
        <f>TeamNumber</f>
        <v>192021</v>
      </c>
    </row>
    <row r="5" spans="2:16" ht="13" thickBot="1" x14ac:dyDescent="0.8"/>
    <row r="6" spans="2:16" ht="14.25" x14ac:dyDescent="0.9">
      <c r="B6" s="979" t="s">
        <v>190</v>
      </c>
      <c r="C6" s="980"/>
      <c r="D6" s="980"/>
      <c r="E6" s="980"/>
      <c r="F6" s="980"/>
      <c r="G6" s="980"/>
      <c r="H6" s="980"/>
      <c r="I6" s="980"/>
      <c r="J6" s="980"/>
      <c r="K6" s="980"/>
      <c r="L6" s="980"/>
      <c r="M6" s="980"/>
      <c r="N6" s="981"/>
    </row>
    <row r="7" spans="2:16" x14ac:dyDescent="0.65">
      <c r="B7" s="3" t="s">
        <v>191</v>
      </c>
      <c r="C7" s="8"/>
      <c r="D7" s="8">
        <v>1</v>
      </c>
      <c r="E7" s="8">
        <f>D7+1</f>
        <v>2</v>
      </c>
      <c r="F7" s="8">
        <f t="shared" ref="F7:N7" si="0">E7+1</f>
        <v>3</v>
      </c>
      <c r="G7" s="8">
        <f t="shared" si="0"/>
        <v>4</v>
      </c>
      <c r="H7" s="8">
        <f t="shared" si="0"/>
        <v>5</v>
      </c>
      <c r="I7" s="8">
        <f t="shared" si="0"/>
        <v>6</v>
      </c>
      <c r="J7" s="8">
        <f t="shared" si="0"/>
        <v>7</v>
      </c>
      <c r="K7" s="8">
        <f t="shared" si="0"/>
        <v>8</v>
      </c>
      <c r="L7" s="8">
        <f t="shared" si="0"/>
        <v>9</v>
      </c>
      <c r="M7" s="8">
        <f t="shared" si="0"/>
        <v>10</v>
      </c>
      <c r="N7" s="9">
        <f t="shared" si="0"/>
        <v>11</v>
      </c>
    </row>
    <row r="8" spans="2:16" x14ac:dyDescent="0.65">
      <c r="B8" s="3" t="s">
        <v>192</v>
      </c>
      <c r="C8" s="8"/>
      <c r="D8" s="8">
        <f>YEAR('Assumptions-Overall'!C9)</f>
        <v>2019</v>
      </c>
      <c r="E8" s="8">
        <f>D8+1</f>
        <v>2020</v>
      </c>
      <c r="F8" s="8">
        <f t="shared" ref="F8:N8" si="1">E8+1</f>
        <v>2021</v>
      </c>
      <c r="G8" s="8">
        <f t="shared" si="1"/>
        <v>2022</v>
      </c>
      <c r="H8" s="8">
        <f t="shared" si="1"/>
        <v>2023</v>
      </c>
      <c r="I8" s="8">
        <f t="shared" si="1"/>
        <v>2024</v>
      </c>
      <c r="J8" s="8">
        <f t="shared" si="1"/>
        <v>2025</v>
      </c>
      <c r="K8" s="8">
        <f t="shared" si="1"/>
        <v>2026</v>
      </c>
      <c r="L8" s="8">
        <f t="shared" si="1"/>
        <v>2027</v>
      </c>
      <c r="M8" s="8">
        <f t="shared" si="1"/>
        <v>2028</v>
      </c>
      <c r="N8" s="9">
        <f t="shared" si="1"/>
        <v>2029</v>
      </c>
    </row>
    <row r="9" spans="2:16" x14ac:dyDescent="0.65">
      <c r="B9" s="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2:16" x14ac:dyDescent="0.65">
      <c r="B10" s="147" t="s">
        <v>193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2:16" x14ac:dyDescent="0.65">
      <c r="B11" s="3" t="s">
        <v>194</v>
      </c>
      <c r="C11" s="8"/>
      <c r="D11" s="148">
        <f>(D$8&gt;=YEAR(PhaseIComplete))*SUMIFS(BuildingSummary!$D$21:$U$21,BuildingSummary!$D$34:$U$34,"Rental",BuildingSummary!$D$18:$U$18,"I")+(D$8&gt;=YEAR(PhaseIComplete))*SUMIFS(BuildingSummary!$D$29:$U$29,BuildingSummary!$D$34:$U$34,"Rental",BuildingSummary!$D$18:$U$18,"I")</f>
        <v>0</v>
      </c>
      <c r="E11" s="148">
        <f>(E$8&gt;=YEAR(PhaseIComplete))*SUMIFS(BuildingSummary!$D$21:$U$21,BuildingSummary!$D$34:$U$34,"Rental",BuildingSummary!$D$18:$U$18,"I")+(E$8&gt;=YEAR(PhaseIComplete))*SUMIFS(BuildingSummary!$D$29:$U$29,BuildingSummary!$D$34:$U$34,"Rental",BuildingSummary!$D$18:$U$18,"I")</f>
        <v>0</v>
      </c>
      <c r="F11" s="148">
        <f>(F$8&gt;=YEAR(PhaseIComplete))*SUMIFS(BuildingSummary!$D$21:$U$21,BuildingSummary!$D$34:$U$34,"Rental",BuildingSummary!$D$18:$U$18,"I")+(F$8&gt;=YEAR(PhaseIComplete))*SUMIFS(BuildingSummary!$D$29:$U$29,BuildingSummary!$D$34:$U$34,"Rental",BuildingSummary!$D$18:$U$18,"I")</f>
        <v>0</v>
      </c>
      <c r="G11" s="148">
        <f>(G$8&gt;=YEAR(PhaseIComplete))*SUMIFS(BuildingSummary!$D$21:$U$21,BuildingSummary!$D$34:$U$34,"Rental",BuildingSummary!$D$18:$U$18,"I")+(G$8&gt;=YEAR(PhaseIComplete))*SUMIFS(BuildingSummary!$D$29:$U$29,BuildingSummary!$D$34:$U$34,"Rental",BuildingSummary!$D$18:$U$18,"I")</f>
        <v>0</v>
      </c>
      <c r="H11" s="148">
        <f>(H$8&gt;=YEAR(PhaseIComplete))*SUMIFS(BuildingSummary!$D$21:$U$21,BuildingSummary!$D$34:$U$34,"Rental",BuildingSummary!$D$18:$U$18,"I")+(H$8&gt;=YEAR(PhaseIComplete))*SUMIFS(BuildingSummary!$D$29:$U$29,BuildingSummary!$D$34:$U$34,"Rental",BuildingSummary!$D$18:$U$18,"I")</f>
        <v>1066570</v>
      </c>
      <c r="I11" s="148">
        <f>(I$8&gt;=YEAR(PhaseIComplete))*SUMIFS(BuildingSummary!$D$21:$U$21,BuildingSummary!$D$34:$U$34,"Rental",BuildingSummary!$D$18:$U$18,"I")+(I$8&gt;=YEAR(PhaseIComplete))*SUMIFS(BuildingSummary!$D$29:$U$29,BuildingSummary!$D$34:$U$34,"Rental",BuildingSummary!$D$18:$U$18,"I")</f>
        <v>1066570</v>
      </c>
      <c r="J11" s="148">
        <f>(J$8&gt;=YEAR(PhaseIComplete))*SUMIFS(BuildingSummary!$D$21:$U$21,BuildingSummary!$D$34:$U$34,"Rental",BuildingSummary!$D$18:$U$18,"I")+(J$8&gt;=YEAR(PhaseIComplete))*SUMIFS(BuildingSummary!$D$29:$U$29,BuildingSummary!$D$34:$U$34,"Rental",BuildingSummary!$D$18:$U$18,"I")</f>
        <v>1066570</v>
      </c>
      <c r="K11" s="148">
        <f>(K$8&gt;=YEAR(PhaseIComplete))*SUMIFS(BuildingSummary!$D$21:$U$21,BuildingSummary!$D$34:$U$34,"Rental",BuildingSummary!$D$18:$U$18,"I")+(K$8&gt;=YEAR(PhaseIComplete))*SUMIFS(BuildingSummary!$D$29:$U$29,BuildingSummary!$D$34:$U$34,"Rental",BuildingSummary!$D$18:$U$18,"I")</f>
        <v>1066570</v>
      </c>
      <c r="L11" s="148">
        <f>(L$8&gt;=YEAR(PhaseIComplete))*SUMIFS(BuildingSummary!$D$21:$U$21,BuildingSummary!$D$34:$U$34,"Rental",BuildingSummary!$D$18:$U$18,"I")+(L$8&gt;=YEAR(PhaseIComplete))*SUMIFS(BuildingSummary!$D$29:$U$29,BuildingSummary!$D$34:$U$34,"Rental",BuildingSummary!$D$18:$U$18,"I")</f>
        <v>1066570</v>
      </c>
      <c r="M11" s="148">
        <f>(M$8&gt;=YEAR(PhaseIComplete))*SUMIFS(BuildingSummary!$D$21:$U$21,BuildingSummary!$D$34:$U$34,"Rental",BuildingSummary!$D$18:$U$18,"I")+(M$8&gt;=YEAR(PhaseIComplete))*SUMIFS(BuildingSummary!$D$29:$U$29,BuildingSummary!$D$34:$U$34,"Rental",BuildingSummary!$D$18:$U$18,"I")</f>
        <v>1066570</v>
      </c>
      <c r="N11" s="149">
        <f>(N$8&gt;=YEAR(PhaseIComplete))*SUMIFS(BuildingSummary!$D$21:$U$21,BuildingSummary!$D$34:$U$34,"Rental",BuildingSummary!$D$18:$U$18,"I")+(N$8&gt;=YEAR(PhaseIComplete))*SUMIFS(BuildingSummary!$D$29:$U$29,BuildingSummary!$D$34:$U$34,"Rental",BuildingSummary!$D$18:$U$18,"I")</f>
        <v>1066570</v>
      </c>
      <c r="P11" s="91"/>
    </row>
    <row r="12" spans="2:16" x14ac:dyDescent="0.65">
      <c r="B12" s="3" t="s">
        <v>195</v>
      </c>
      <c r="C12" s="8"/>
      <c r="D12" s="148">
        <f>D11-C11</f>
        <v>0</v>
      </c>
      <c r="E12" s="148">
        <f t="shared" ref="E12:N12" si="2">E11-D11</f>
        <v>0</v>
      </c>
      <c r="F12" s="148">
        <f t="shared" si="2"/>
        <v>0</v>
      </c>
      <c r="G12" s="148">
        <f t="shared" si="2"/>
        <v>0</v>
      </c>
      <c r="H12" s="148">
        <f t="shared" si="2"/>
        <v>1066570</v>
      </c>
      <c r="I12" s="148">
        <f t="shared" si="2"/>
        <v>0</v>
      </c>
      <c r="J12" s="148">
        <f t="shared" si="2"/>
        <v>0</v>
      </c>
      <c r="K12" s="148">
        <f t="shared" si="2"/>
        <v>0</v>
      </c>
      <c r="L12" s="148">
        <f t="shared" si="2"/>
        <v>0</v>
      </c>
      <c r="M12" s="148">
        <f t="shared" si="2"/>
        <v>0</v>
      </c>
      <c r="N12" s="149">
        <f t="shared" si="2"/>
        <v>0</v>
      </c>
    </row>
    <row r="13" spans="2:16" x14ac:dyDescent="0.65">
      <c r="B13" s="3"/>
      <c r="C13" s="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9"/>
    </row>
    <row r="14" spans="2:16" x14ac:dyDescent="0.65">
      <c r="B14" s="36" t="s">
        <v>196</v>
      </c>
      <c r="C14" s="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9"/>
    </row>
    <row r="15" spans="2:16" x14ac:dyDescent="0.65">
      <c r="B15" s="3" t="s">
        <v>13</v>
      </c>
      <c r="C15" s="8"/>
      <c r="D15" s="148">
        <f>(D$8&gt;=YEAR(PhaseIComplete))*'Assumptions-ResRental'!$D9</f>
        <v>0</v>
      </c>
      <c r="E15" s="148">
        <f>(E$8&gt;=YEAR(PhaseIComplete))*'Assumptions-ResRental'!$D9</f>
        <v>0</v>
      </c>
      <c r="F15" s="148">
        <f>(F$8&gt;=YEAR(PhaseIComplete))*'Assumptions-ResRental'!$D9</f>
        <v>0</v>
      </c>
      <c r="G15" s="148">
        <f>(G$8&gt;=YEAR(PhaseIComplete))*'Assumptions-ResRental'!$D9</f>
        <v>0</v>
      </c>
      <c r="H15" s="148">
        <f>(H$8&gt;=YEAR(PhaseIComplete))*'Assumptions-ResRental'!$D9</f>
        <v>257</v>
      </c>
      <c r="I15" s="148">
        <f>(I$8&gt;=YEAR(PhaseIComplete))*'Assumptions-ResRental'!$D9</f>
        <v>257</v>
      </c>
      <c r="J15" s="148">
        <f>(J$8&gt;=YEAR(PhaseIComplete))*'Assumptions-ResRental'!$D9</f>
        <v>257</v>
      </c>
      <c r="K15" s="148">
        <f>(K$8&gt;=YEAR(PhaseIComplete))*'Assumptions-ResRental'!$D9</f>
        <v>257</v>
      </c>
      <c r="L15" s="148">
        <f>(L$8&gt;=YEAR(PhaseIComplete))*'Assumptions-ResRental'!$D9</f>
        <v>257</v>
      </c>
      <c r="M15" s="148">
        <f>(M$8&gt;=YEAR(PhaseIComplete))*'Assumptions-ResRental'!$D9</f>
        <v>257</v>
      </c>
      <c r="N15" s="149">
        <f>(N$8&gt;=YEAR(PhaseIComplete))*'Assumptions-ResRental'!$D9</f>
        <v>257</v>
      </c>
    </row>
    <row r="16" spans="2:16" x14ac:dyDescent="0.65">
      <c r="B16" s="3" t="s">
        <v>12</v>
      </c>
      <c r="C16" s="8"/>
      <c r="D16" s="148">
        <f>(D$8&gt;=YEAR(PhaseIComplete))*'Assumptions-ResRental'!$D10</f>
        <v>0</v>
      </c>
      <c r="E16" s="148">
        <f>(E$8&gt;=YEAR(PhaseIComplete))*'Assumptions-ResRental'!$D10</f>
        <v>0</v>
      </c>
      <c r="F16" s="148">
        <f>(F$8&gt;=YEAR(PhaseIComplete))*'Assumptions-ResRental'!$D10</f>
        <v>0</v>
      </c>
      <c r="G16" s="148">
        <f>(G$8&gt;=YEAR(PhaseIComplete))*'Assumptions-ResRental'!$D10</f>
        <v>0</v>
      </c>
      <c r="H16" s="148">
        <f>(H$8&gt;=YEAR(PhaseIComplete))*'Assumptions-ResRental'!$D10</f>
        <v>387</v>
      </c>
      <c r="I16" s="148">
        <f>(I$8&gt;=YEAR(PhaseIComplete))*'Assumptions-ResRental'!$D10</f>
        <v>387</v>
      </c>
      <c r="J16" s="148">
        <f>(J$8&gt;=YEAR(PhaseIComplete))*'Assumptions-ResRental'!$D10</f>
        <v>387</v>
      </c>
      <c r="K16" s="148">
        <f>(K$8&gt;=YEAR(PhaseIComplete))*'Assumptions-ResRental'!$D10</f>
        <v>387</v>
      </c>
      <c r="L16" s="148">
        <f>(L$8&gt;=YEAR(PhaseIComplete))*'Assumptions-ResRental'!$D10</f>
        <v>387</v>
      </c>
      <c r="M16" s="148">
        <f>(M$8&gt;=YEAR(PhaseIComplete))*'Assumptions-ResRental'!$D10</f>
        <v>387</v>
      </c>
      <c r="N16" s="149">
        <f>(N$8&gt;=YEAR(PhaseIComplete))*'Assumptions-ResRental'!$D10</f>
        <v>387</v>
      </c>
    </row>
    <row r="17" spans="2:14" x14ac:dyDescent="0.65">
      <c r="B17" s="3" t="s">
        <v>11</v>
      </c>
      <c r="C17" s="8"/>
      <c r="D17" s="148">
        <f>(D$8&gt;=YEAR(PhaseIComplete))*'Assumptions-ResRental'!$D11</f>
        <v>0</v>
      </c>
      <c r="E17" s="148">
        <f>(E$8&gt;=YEAR(PhaseIComplete))*'Assumptions-ResRental'!$D11</f>
        <v>0</v>
      </c>
      <c r="F17" s="148">
        <f>(F$8&gt;=YEAR(PhaseIComplete))*'Assumptions-ResRental'!$D11</f>
        <v>0</v>
      </c>
      <c r="G17" s="148">
        <f>(G$8&gt;=YEAR(PhaseIComplete))*'Assumptions-ResRental'!$D11</f>
        <v>0</v>
      </c>
      <c r="H17" s="148">
        <f>(H$8&gt;=YEAR(PhaseIComplete))*'Assumptions-ResRental'!$D11</f>
        <v>244</v>
      </c>
      <c r="I17" s="148">
        <f>(I$8&gt;=YEAR(PhaseIComplete))*'Assumptions-ResRental'!$D11</f>
        <v>244</v>
      </c>
      <c r="J17" s="148">
        <f>(J$8&gt;=YEAR(PhaseIComplete))*'Assumptions-ResRental'!$D11</f>
        <v>244</v>
      </c>
      <c r="K17" s="148">
        <f>(K$8&gt;=YEAR(PhaseIComplete))*'Assumptions-ResRental'!$D11</f>
        <v>244</v>
      </c>
      <c r="L17" s="148">
        <f>(L$8&gt;=YEAR(PhaseIComplete))*'Assumptions-ResRental'!$D11</f>
        <v>244</v>
      </c>
      <c r="M17" s="148">
        <f>(M$8&gt;=YEAR(PhaseIComplete))*'Assumptions-ResRental'!$D11</f>
        <v>244</v>
      </c>
      <c r="N17" s="149">
        <f>(N$8&gt;=YEAR(PhaseIComplete))*'Assumptions-ResRental'!$D11</f>
        <v>244</v>
      </c>
    </row>
    <row r="18" spans="2:14" x14ac:dyDescent="0.65">
      <c r="B18" s="3" t="s">
        <v>10</v>
      </c>
      <c r="C18" s="8"/>
      <c r="D18" s="148">
        <f>(D$8&gt;=YEAR(PhaseIComplete))*'Assumptions-ResRental'!$D12</f>
        <v>0</v>
      </c>
      <c r="E18" s="148">
        <f>(E$8&gt;=YEAR(PhaseIComplete))*'Assumptions-ResRental'!$D12</f>
        <v>0</v>
      </c>
      <c r="F18" s="148">
        <f>(F$8&gt;=YEAR(PhaseIComplete))*'Assumptions-ResRental'!$D12</f>
        <v>0</v>
      </c>
      <c r="G18" s="148">
        <f>(G$8&gt;=YEAR(PhaseIComplete))*'Assumptions-ResRental'!$D12</f>
        <v>0</v>
      </c>
      <c r="H18" s="148">
        <f>(H$8&gt;=YEAR(PhaseIComplete))*'Assumptions-ResRental'!$D12</f>
        <v>74</v>
      </c>
      <c r="I18" s="148">
        <f>(I$8&gt;=YEAR(PhaseIComplete))*'Assumptions-ResRental'!$D12</f>
        <v>74</v>
      </c>
      <c r="J18" s="148">
        <f>(J$8&gt;=YEAR(PhaseIComplete))*'Assumptions-ResRental'!$D12</f>
        <v>74</v>
      </c>
      <c r="K18" s="148">
        <f>(K$8&gt;=YEAR(PhaseIComplete))*'Assumptions-ResRental'!$D12</f>
        <v>74</v>
      </c>
      <c r="L18" s="148">
        <f>(L$8&gt;=YEAR(PhaseIComplete))*'Assumptions-ResRental'!$D12</f>
        <v>74</v>
      </c>
      <c r="M18" s="148">
        <f>(M$8&gt;=YEAR(PhaseIComplete))*'Assumptions-ResRental'!$D12</f>
        <v>74</v>
      </c>
      <c r="N18" s="149">
        <f>(N$8&gt;=YEAR(PhaseIComplete))*'Assumptions-ResRental'!$D12</f>
        <v>74</v>
      </c>
    </row>
    <row r="19" spans="2:14" x14ac:dyDescent="0.65">
      <c r="B19" s="3"/>
      <c r="C19" s="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9"/>
    </row>
    <row r="20" spans="2:14" x14ac:dyDescent="0.65">
      <c r="B20" s="36" t="s">
        <v>580</v>
      </c>
      <c r="C20" s="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9"/>
    </row>
    <row r="21" spans="2:14" x14ac:dyDescent="0.65">
      <c r="B21" s="3" t="s">
        <v>13</v>
      </c>
      <c r="C21" s="8"/>
      <c r="D21" s="148">
        <f>(D$8&gt;=YEAR(PhaseIComplete))*'Assumptions-ResRental'!$D17</f>
        <v>0</v>
      </c>
      <c r="E21" s="148">
        <f>(E$8&gt;=YEAR(PhaseIComplete))*'Assumptions-ResRental'!$D17</f>
        <v>0</v>
      </c>
      <c r="F21" s="148">
        <f>(F$8&gt;=YEAR(PhaseIComplete))*'Assumptions-ResRental'!$D17</f>
        <v>0</v>
      </c>
      <c r="G21" s="148">
        <f>(G$8&gt;=YEAR(PhaseIComplete))*'Assumptions-ResRental'!$D17</f>
        <v>0</v>
      </c>
      <c r="H21" s="148">
        <f>(H$8&gt;=YEAR(PhaseIComplete))*'Assumptions-ResRental'!$D17</f>
        <v>11</v>
      </c>
      <c r="I21" s="148">
        <f>(I$8&gt;=YEAR(PhaseIComplete))*'Assumptions-ResRental'!$D17</f>
        <v>11</v>
      </c>
      <c r="J21" s="148">
        <f>(J$8&gt;=YEAR(PhaseIComplete))*'Assumptions-ResRental'!$D17</f>
        <v>11</v>
      </c>
      <c r="K21" s="148">
        <f>(K$8&gt;=YEAR(PhaseIComplete))*'Assumptions-ResRental'!$D17</f>
        <v>11</v>
      </c>
      <c r="L21" s="148">
        <f>(L$8&gt;=YEAR(PhaseIComplete))*'Assumptions-ResRental'!$D17</f>
        <v>11</v>
      </c>
      <c r="M21" s="148">
        <f>(M$8&gt;=YEAR(PhaseIComplete))*'Assumptions-ResRental'!$D17</f>
        <v>11</v>
      </c>
      <c r="N21" s="149">
        <f>(N$8&gt;=YEAR(PhaseIComplete))*'Assumptions-ResRental'!$D17</f>
        <v>11</v>
      </c>
    </row>
    <row r="22" spans="2:14" x14ac:dyDescent="0.65">
      <c r="B22" s="3" t="s">
        <v>12</v>
      </c>
      <c r="C22" s="8"/>
      <c r="D22" s="148">
        <f>(D$8&gt;=YEAR(PhaseIComplete))*'Assumptions-ResRental'!$D18</f>
        <v>0</v>
      </c>
      <c r="E22" s="148">
        <f>(E$8&gt;=YEAR(PhaseIComplete))*'Assumptions-ResRental'!$D18</f>
        <v>0</v>
      </c>
      <c r="F22" s="148">
        <f>(F$8&gt;=YEAR(PhaseIComplete))*'Assumptions-ResRental'!$D18</f>
        <v>0</v>
      </c>
      <c r="G22" s="148">
        <f>(G$8&gt;=YEAR(PhaseIComplete))*'Assumptions-ResRental'!$D18</f>
        <v>0</v>
      </c>
      <c r="H22" s="148">
        <f>(H$8&gt;=YEAR(PhaseIComplete))*'Assumptions-ResRental'!$D18</f>
        <v>33</v>
      </c>
      <c r="I22" s="148">
        <f>(I$8&gt;=YEAR(PhaseIComplete))*'Assumptions-ResRental'!$D18</f>
        <v>33</v>
      </c>
      <c r="J22" s="148">
        <f>(J$8&gt;=YEAR(PhaseIComplete))*'Assumptions-ResRental'!$D18</f>
        <v>33</v>
      </c>
      <c r="K22" s="148">
        <f>(K$8&gt;=YEAR(PhaseIComplete))*'Assumptions-ResRental'!$D18</f>
        <v>33</v>
      </c>
      <c r="L22" s="148">
        <f>(L$8&gt;=YEAR(PhaseIComplete))*'Assumptions-ResRental'!$D18</f>
        <v>33</v>
      </c>
      <c r="M22" s="148">
        <f>(M$8&gt;=YEAR(PhaseIComplete))*'Assumptions-ResRental'!$D18</f>
        <v>33</v>
      </c>
      <c r="N22" s="149">
        <f>(N$8&gt;=YEAR(PhaseIComplete))*'Assumptions-ResRental'!$D18</f>
        <v>33</v>
      </c>
    </row>
    <row r="23" spans="2:14" x14ac:dyDescent="0.65">
      <c r="B23" s="3" t="s">
        <v>11</v>
      </c>
      <c r="C23" s="8"/>
      <c r="D23" s="148">
        <f>(D$8&gt;=YEAR(PhaseIComplete))*'Assumptions-ResRental'!$D19</f>
        <v>0</v>
      </c>
      <c r="E23" s="148">
        <f>(E$8&gt;=YEAR(PhaseIComplete))*'Assumptions-ResRental'!$D19</f>
        <v>0</v>
      </c>
      <c r="F23" s="148">
        <f>(F$8&gt;=YEAR(PhaseIComplete))*'Assumptions-ResRental'!$D19</f>
        <v>0</v>
      </c>
      <c r="G23" s="148">
        <f>(G$8&gt;=YEAR(PhaseIComplete))*'Assumptions-ResRental'!$D19</f>
        <v>0</v>
      </c>
      <c r="H23" s="148">
        <f>(H$8&gt;=YEAR(PhaseIComplete))*'Assumptions-ResRental'!$D19</f>
        <v>44</v>
      </c>
      <c r="I23" s="148">
        <f>(I$8&gt;=YEAR(PhaseIComplete))*'Assumptions-ResRental'!$D19</f>
        <v>44</v>
      </c>
      <c r="J23" s="148">
        <f>(J$8&gt;=YEAR(PhaseIComplete))*'Assumptions-ResRental'!$D19</f>
        <v>44</v>
      </c>
      <c r="K23" s="148">
        <f>(K$8&gt;=YEAR(PhaseIComplete))*'Assumptions-ResRental'!$D19</f>
        <v>44</v>
      </c>
      <c r="L23" s="148">
        <f>(L$8&gt;=YEAR(PhaseIComplete))*'Assumptions-ResRental'!$D19</f>
        <v>44</v>
      </c>
      <c r="M23" s="148">
        <f>(M$8&gt;=YEAR(PhaseIComplete))*'Assumptions-ResRental'!$D19</f>
        <v>44</v>
      </c>
      <c r="N23" s="149">
        <f>(N$8&gt;=YEAR(PhaseIComplete))*'Assumptions-ResRental'!$D19</f>
        <v>44</v>
      </c>
    </row>
    <row r="24" spans="2:14" x14ac:dyDescent="0.65">
      <c r="B24" s="3" t="s">
        <v>10</v>
      </c>
      <c r="C24" s="8"/>
      <c r="D24" s="148">
        <f>(D$8&gt;=YEAR(PhaseIComplete))*'Assumptions-ResRental'!$D20</f>
        <v>0</v>
      </c>
      <c r="E24" s="148">
        <f>(E$8&gt;=YEAR(PhaseIComplete))*'Assumptions-ResRental'!$D20</f>
        <v>0</v>
      </c>
      <c r="F24" s="148">
        <f>(F$8&gt;=YEAR(PhaseIComplete))*'Assumptions-ResRental'!$D20</f>
        <v>0</v>
      </c>
      <c r="G24" s="148">
        <f>(G$8&gt;=YEAR(PhaseIComplete))*'Assumptions-ResRental'!$D20</f>
        <v>0</v>
      </c>
      <c r="H24" s="148">
        <f>(H$8&gt;=YEAR(PhaseIComplete))*'Assumptions-ResRental'!$D20</f>
        <v>6</v>
      </c>
      <c r="I24" s="148">
        <f>(I$8&gt;=YEAR(PhaseIComplete))*'Assumptions-ResRental'!$D20</f>
        <v>6</v>
      </c>
      <c r="J24" s="148">
        <f>(J$8&gt;=YEAR(PhaseIComplete))*'Assumptions-ResRental'!$D20</f>
        <v>6</v>
      </c>
      <c r="K24" s="148">
        <f>(K$8&gt;=YEAR(PhaseIComplete))*'Assumptions-ResRental'!$D20</f>
        <v>6</v>
      </c>
      <c r="L24" s="148">
        <f>(L$8&gt;=YEAR(PhaseIComplete))*'Assumptions-ResRental'!$D20</f>
        <v>6</v>
      </c>
      <c r="M24" s="148">
        <f>(M$8&gt;=YEAR(PhaseIComplete))*'Assumptions-ResRental'!$D20</f>
        <v>6</v>
      </c>
      <c r="N24" s="149">
        <f>(N$8&gt;=YEAR(PhaseIComplete))*'Assumptions-ResRental'!$D20</f>
        <v>6</v>
      </c>
    </row>
    <row r="25" spans="2:14" x14ac:dyDescent="0.65">
      <c r="B25" s="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2:14" x14ac:dyDescent="0.65">
      <c r="B26" s="36" t="s">
        <v>206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9"/>
    </row>
    <row r="27" spans="2:14" x14ac:dyDescent="0.65">
      <c r="B27" s="3" t="s">
        <v>199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9"/>
    </row>
    <row r="28" spans="2:14" x14ac:dyDescent="0.65">
      <c r="B28" s="150" t="s">
        <v>162</v>
      </c>
      <c r="C28" s="8"/>
      <c r="D28" s="146">
        <f>SUMPRODUCT(D15:D18,'Assumptions-ResRental'!$M$8:$M$11)*(1+'Assumptions-Overall'!$C$35)^('CashFlow-ResRental'!D$7-1)</f>
        <v>0</v>
      </c>
      <c r="E28" s="146">
        <f>SUMPRODUCT(E15:E18,'Assumptions-ResRental'!$M$8:$M$11)*(1+'Assumptions-Overall'!$C$35)^('CashFlow-ResRental'!E$7-1)</f>
        <v>0</v>
      </c>
      <c r="F28" s="146">
        <f>SUMPRODUCT(F15:F18,'Assumptions-ResRental'!$M$8:$M$11)*(1+'Assumptions-Overall'!$C$35)^('CashFlow-ResRental'!F$7-1)</f>
        <v>0</v>
      </c>
      <c r="G28" s="146">
        <f>SUMPRODUCT(G15:G18,'Assumptions-ResRental'!$M$8:$M$11)*(1+'Assumptions-Overall'!$C$35)^('CashFlow-ResRental'!G$7-1)</f>
        <v>0</v>
      </c>
      <c r="H28" s="146">
        <f>SUMPRODUCT(H15:H18,'Assumptions-ResRental'!$M$8:$M$11)*(1+'Assumptions-Overall'!$C$35)^('CashFlow-ResRental'!H$7-1)</f>
        <v>23219684.317291137</v>
      </c>
      <c r="I28" s="146">
        <f>SUMPRODUCT(I15:I18,'Assumptions-ResRental'!$M$8:$M$11)*(1+'Assumptions-Overall'!$C$35)^('CashFlow-ResRental'!I$7-1)</f>
        <v>23916274.846809871</v>
      </c>
      <c r="J28" s="146">
        <f>SUMPRODUCT(J15:J18,'Assumptions-ResRental'!$M$8:$M$11)*(1+'Assumptions-Overall'!$C$35)^('CashFlow-ResRental'!J$7-1)</f>
        <v>24633763.092214167</v>
      </c>
      <c r="K28" s="146">
        <f>SUMPRODUCT(K15:K18,'Assumptions-ResRental'!$M$8:$M$11)*(1+'Assumptions-Overall'!$C$35)^('CashFlow-ResRental'!K$7-1)</f>
        <v>25372775.984980594</v>
      </c>
      <c r="L28" s="146">
        <f>SUMPRODUCT(L15:L18,'Assumptions-ResRental'!$M$8:$M$11)*(1+'Assumptions-Overall'!$C$35)^('CashFlow-ResRental'!L$7-1)</f>
        <v>26133959.264530011</v>
      </c>
      <c r="M28" s="146">
        <f>SUMPRODUCT(M15:M18,'Assumptions-ResRental'!$M$8:$M$11)*(1+'Assumptions-Overall'!$C$35)^('CashFlow-ResRental'!M$7-1)</f>
        <v>26917978.04246591</v>
      </c>
      <c r="N28" s="151">
        <f>SUMPRODUCT(N15:N18,'Assumptions-ResRental'!$M$8:$M$11)*(1+'Assumptions-Overall'!$C$35)^('CashFlow-ResRental'!N$7-1)</f>
        <v>27725517.383739889</v>
      </c>
    </row>
    <row r="29" spans="2:14" x14ac:dyDescent="0.65">
      <c r="B29" s="150" t="s">
        <v>285</v>
      </c>
      <c r="C29" s="8"/>
      <c r="D29" s="144">
        <f>SUMPRODUCT(D21:D24,'Assumptions-ResRental'!$S$8:$S$11)*(1+'Assumptions-Overall'!$C$36)^('CashFlow-ResRental'!D$7-1)</f>
        <v>0</v>
      </c>
      <c r="E29" s="144">
        <f>SUMPRODUCT(E21:E24,'Assumptions-ResRental'!$S$8:$S$11)*(1+'Assumptions-Overall'!$C$36)^('CashFlow-ResRental'!E$7-1)</f>
        <v>0</v>
      </c>
      <c r="F29" s="144">
        <f>SUMPRODUCT(F21:F24,'Assumptions-ResRental'!$S$8:$S$11)*(1+'Assumptions-Overall'!$C$36)^('CashFlow-ResRental'!F$7-1)</f>
        <v>0</v>
      </c>
      <c r="G29" s="144">
        <f>SUMPRODUCT(G21:G24,'Assumptions-ResRental'!$S$8:$S$11)*(1+'Assumptions-Overall'!$C$36)^('CashFlow-ResRental'!G$7-1)</f>
        <v>0</v>
      </c>
      <c r="H29" s="144">
        <f>SUMPRODUCT(H21:H24,'Assumptions-ResRental'!$S$8:$S$11)*(1+'Assumptions-Overall'!$C$36)^('CashFlow-ResRental'!H$7-1)</f>
        <v>1244368.9634698289</v>
      </c>
      <c r="I29" s="144">
        <f>SUMPRODUCT(I21:I24,'Assumptions-ResRental'!$S$8:$S$11)*(1+'Assumptions-Overall'!$C$36)^('CashFlow-ResRental'!I$7-1)</f>
        <v>1281700.0323739238</v>
      </c>
      <c r="J29" s="144">
        <f>SUMPRODUCT(J21:J24,'Assumptions-ResRental'!$S$8:$S$11)*(1+'Assumptions-Overall'!$C$36)^('CashFlow-ResRental'!J$7-1)</f>
        <v>1320151.0333451414</v>
      </c>
      <c r="K29" s="144">
        <f>SUMPRODUCT(K21:K24,'Assumptions-ResRental'!$S$8:$S$11)*(1+'Assumptions-Overall'!$C$36)^('CashFlow-ResRental'!K$7-1)</f>
        <v>1359755.5643454958</v>
      </c>
      <c r="L29" s="144">
        <f>SUMPRODUCT(L21:L24,'Assumptions-ResRental'!$S$8:$S$11)*(1+'Assumptions-Overall'!$C$36)^('CashFlow-ResRental'!L$7-1)</f>
        <v>1400548.2312758605</v>
      </c>
      <c r="M29" s="144">
        <f>SUMPRODUCT(M21:M24,'Assumptions-ResRental'!$S$8:$S$11)*(1+'Assumptions-Overall'!$C$36)^('CashFlow-ResRental'!M$7-1)</f>
        <v>1442564.6782141363</v>
      </c>
      <c r="N29" s="152">
        <f>SUMPRODUCT(N21:N24,'Assumptions-ResRental'!$S$8:$S$11)*(1+'Assumptions-Overall'!$C$36)^('CashFlow-ResRental'!N$7-1)</f>
        <v>1485841.6185605605</v>
      </c>
    </row>
    <row r="30" spans="2:14" x14ac:dyDescent="0.65">
      <c r="B30" s="3" t="s">
        <v>200</v>
      </c>
      <c r="C30" s="8"/>
      <c r="D30" s="146">
        <f>SUM(D28:D29)</f>
        <v>0</v>
      </c>
      <c r="E30" s="146">
        <f t="shared" ref="E30:N30" si="3">SUM(E28:E29)</f>
        <v>0</v>
      </c>
      <c r="F30" s="146">
        <f t="shared" si="3"/>
        <v>0</v>
      </c>
      <c r="G30" s="146">
        <f t="shared" si="3"/>
        <v>0</v>
      </c>
      <c r="H30" s="146">
        <f>SUM(H28:H29)</f>
        <v>24464053.280760966</v>
      </c>
      <c r="I30" s="146">
        <f t="shared" si="3"/>
        <v>25197974.879183795</v>
      </c>
      <c r="J30" s="146">
        <f t="shared" si="3"/>
        <v>25953914.125559308</v>
      </c>
      <c r="K30" s="146">
        <f t="shared" si="3"/>
        <v>26732531.549326092</v>
      </c>
      <c r="L30" s="146">
        <f t="shared" si="3"/>
        <v>27534507.495805871</v>
      </c>
      <c r="M30" s="146">
        <f t="shared" si="3"/>
        <v>28360542.720680047</v>
      </c>
      <c r="N30" s="151">
        <f t="shared" si="3"/>
        <v>29211359.002300449</v>
      </c>
    </row>
    <row r="31" spans="2:14" x14ac:dyDescent="0.65">
      <c r="B31" s="3"/>
      <c r="C31" s="8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51"/>
    </row>
    <row r="32" spans="2:14" x14ac:dyDescent="0.65">
      <c r="B32" s="3" t="s">
        <v>201</v>
      </c>
      <c r="C32" s="8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51"/>
    </row>
    <row r="33" spans="2:14" x14ac:dyDescent="0.65">
      <c r="B33" s="150" t="s">
        <v>202</v>
      </c>
      <c r="C33" s="8"/>
      <c r="D33" s="146">
        <f>-D28*'Assumptions-ResRental'!$I$15</f>
        <v>0</v>
      </c>
      <c r="E33" s="146">
        <f>-E28*'Assumptions-ResRental'!$I$15</f>
        <v>0</v>
      </c>
      <c r="F33" s="146">
        <f>-F28*'Assumptions-ResRental'!$I$15</f>
        <v>0</v>
      </c>
      <c r="G33" s="146">
        <f>-G28*'Assumptions-ResRental'!$I$15</f>
        <v>0</v>
      </c>
      <c r="H33" s="146">
        <f>-H28*'Assumptions-ResRental'!$I$15</f>
        <v>-2321968.4317291137</v>
      </c>
      <c r="I33" s="146">
        <f>-I28*'Assumptions-ResRental'!$I$15</f>
        <v>-2391627.4846809874</v>
      </c>
      <c r="J33" s="146">
        <f>-J28*'Assumptions-ResRental'!$I$15</f>
        <v>-2463376.3092214167</v>
      </c>
      <c r="K33" s="146">
        <f>-K28*'Assumptions-ResRental'!$I$15</f>
        <v>-2537277.5984980594</v>
      </c>
      <c r="L33" s="146">
        <f>-L28*'Assumptions-ResRental'!$I$15</f>
        <v>-2613395.9264530013</v>
      </c>
      <c r="M33" s="146">
        <f>-M28*'Assumptions-ResRental'!$I$15</f>
        <v>-2691797.8042465914</v>
      </c>
      <c r="N33" s="151">
        <f>-N28*'Assumptions-ResRental'!$I$15</f>
        <v>-2772551.7383739892</v>
      </c>
    </row>
    <row r="34" spans="2:14" x14ac:dyDescent="0.65">
      <c r="B34" s="150" t="s">
        <v>581</v>
      </c>
      <c r="C34" s="8"/>
      <c r="D34" s="146">
        <f>-D29*'Assumptions-ResRental'!$I$16</f>
        <v>0</v>
      </c>
      <c r="E34" s="146">
        <f>-E29*'Assumptions-ResRental'!$I$16</f>
        <v>0</v>
      </c>
      <c r="F34" s="146">
        <f>-F29*'Assumptions-ResRental'!$I$16</f>
        <v>0</v>
      </c>
      <c r="G34" s="146">
        <f>-G29*'Assumptions-ResRental'!$I$16</f>
        <v>0</v>
      </c>
      <c r="H34" s="146">
        <f>-H29*'Assumptions-ResRental'!$I$16</f>
        <v>-64707.186100431099</v>
      </c>
      <c r="I34" s="146">
        <f>-I29*'Assumptions-ResRental'!$I$16</f>
        <v>-66648.401683444041</v>
      </c>
      <c r="J34" s="146">
        <f>-J29*'Assumptions-ResRental'!$I$16</f>
        <v>-68647.853733947355</v>
      </c>
      <c r="K34" s="146">
        <f>-K29*'Assumptions-ResRental'!$I$16</f>
        <v>-70707.289345965779</v>
      </c>
      <c r="L34" s="146">
        <f>-L29*'Assumptions-ResRental'!$I$16</f>
        <v>-72828.508026344745</v>
      </c>
      <c r="M34" s="146">
        <f>-M29*'Assumptions-ResRental'!$I$16</f>
        <v>-75013.363267135079</v>
      </c>
      <c r="N34" s="151">
        <f>-N29*'Assumptions-ResRental'!$I$16</f>
        <v>-77263.764165149143</v>
      </c>
    </row>
    <row r="35" spans="2:14" x14ac:dyDescent="0.65">
      <c r="B35" s="150" t="s">
        <v>203</v>
      </c>
      <c r="C35" s="8"/>
      <c r="D35" s="144">
        <f>-(C30=0)*(D30*'Assumptions-ResRental'!$I$20+SUM('CashFlow-ResRental'!D33:D34))</f>
        <v>0</v>
      </c>
      <c r="E35" s="144">
        <f>-(D30=0)*(E30*'Assumptions-ResRental'!$I$20+SUM('CashFlow-ResRental'!E33:E34))</f>
        <v>0</v>
      </c>
      <c r="F35" s="144">
        <f>-(E30=0)*(F30*'Assumptions-ResRental'!$I$20+SUM('CashFlow-ResRental'!F33:F34))</f>
        <v>0</v>
      </c>
      <c r="G35" s="144">
        <f>-(F30=0)*(G30*'Assumptions-ResRental'!$I$20+SUM('CashFlow-ResRental'!G33:G34))</f>
        <v>0</v>
      </c>
      <c r="H35" s="144">
        <f>-(G30=0)*(H30*'Assumptions-ResRental'!$I$20+SUM('CashFlow-ResRental'!H33:H34))</f>
        <v>-4952540.3663987443</v>
      </c>
      <c r="I35" s="144">
        <f>-(H30=0)*(I30*'Assumptions-ResRental'!$I$20+SUM('CashFlow-ResRental'!I33:I34))</f>
        <v>0</v>
      </c>
      <c r="J35" s="144">
        <f>-(I30=0)*(J30*'Assumptions-ResRental'!$I$20+SUM('CashFlow-ResRental'!J33:J34))</f>
        <v>0</v>
      </c>
      <c r="K35" s="144">
        <f>-(J30=0)*(K30*'Assumptions-ResRental'!$I$20+SUM('CashFlow-ResRental'!K33:K34))</f>
        <v>0</v>
      </c>
      <c r="L35" s="144">
        <f>-(K30=0)*(L30*'Assumptions-ResRental'!$I$20+SUM('CashFlow-ResRental'!L33:L34))</f>
        <v>0</v>
      </c>
      <c r="M35" s="144">
        <f>-(L30=0)*(M30*'Assumptions-ResRental'!$I$20+SUM('CashFlow-ResRental'!M33:M34))</f>
        <v>0</v>
      </c>
      <c r="N35" s="152">
        <f>-(M30=0)*(N30*'Assumptions-ResRental'!$I$20+SUM('CashFlow-ResRental'!N33:N34))</f>
        <v>0</v>
      </c>
    </row>
    <row r="36" spans="2:14" x14ac:dyDescent="0.65">
      <c r="B36" s="3" t="s">
        <v>204</v>
      </c>
      <c r="C36" s="8"/>
      <c r="D36" s="146">
        <f>SUM(D33:D35)</f>
        <v>0</v>
      </c>
      <c r="E36" s="146">
        <f t="shared" ref="E36:N36" si="4">SUM(E33:E35)</f>
        <v>0</v>
      </c>
      <c r="F36" s="146">
        <f t="shared" si="4"/>
        <v>0</v>
      </c>
      <c r="G36" s="146">
        <f t="shared" si="4"/>
        <v>0</v>
      </c>
      <c r="H36" s="146">
        <f t="shared" si="4"/>
        <v>-7339215.9842282888</v>
      </c>
      <c r="I36" s="146">
        <f t="shared" si="4"/>
        <v>-2458275.8863644316</v>
      </c>
      <c r="J36" s="146">
        <f t="shared" si="4"/>
        <v>-2532024.1629553642</v>
      </c>
      <c r="K36" s="146">
        <f t="shared" si="4"/>
        <v>-2607984.8878440252</v>
      </c>
      <c r="L36" s="146">
        <f t="shared" si="4"/>
        <v>-2686224.434479346</v>
      </c>
      <c r="M36" s="146">
        <f t="shared" si="4"/>
        <v>-2766811.1675137263</v>
      </c>
      <c r="N36" s="151">
        <f t="shared" si="4"/>
        <v>-2849815.5025391383</v>
      </c>
    </row>
    <row r="37" spans="2:14" x14ac:dyDescent="0.65">
      <c r="B37" s="3"/>
      <c r="C37" s="8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51"/>
    </row>
    <row r="38" spans="2:14" x14ac:dyDescent="0.65">
      <c r="B38" s="3" t="s">
        <v>205</v>
      </c>
      <c r="C38" s="8"/>
      <c r="D38" s="145">
        <f>D30+D36</f>
        <v>0</v>
      </c>
      <c r="E38" s="145">
        <f t="shared" ref="E38:N38" si="5">E30+E36</f>
        <v>0</v>
      </c>
      <c r="F38" s="145">
        <f t="shared" si="5"/>
        <v>0</v>
      </c>
      <c r="G38" s="145">
        <f t="shared" si="5"/>
        <v>0</v>
      </c>
      <c r="H38" s="145">
        <f t="shared" si="5"/>
        <v>17124837.296532676</v>
      </c>
      <c r="I38" s="145">
        <f t="shared" si="5"/>
        <v>22739698.992819365</v>
      </c>
      <c r="J38" s="145">
        <f t="shared" si="5"/>
        <v>23421889.962603942</v>
      </c>
      <c r="K38" s="145">
        <f t="shared" si="5"/>
        <v>24124546.661482066</v>
      </c>
      <c r="L38" s="145">
        <f t="shared" si="5"/>
        <v>24848283.061326526</v>
      </c>
      <c r="M38" s="145">
        <f t="shared" si="5"/>
        <v>25593731.553166322</v>
      </c>
      <c r="N38" s="153">
        <f t="shared" si="5"/>
        <v>26361543.499761309</v>
      </c>
    </row>
    <row r="39" spans="2:14" x14ac:dyDescent="0.65">
      <c r="B39" s="3"/>
      <c r="C39" s="8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51"/>
    </row>
    <row r="40" spans="2:14" x14ac:dyDescent="0.65">
      <c r="B40" s="3" t="s">
        <v>207</v>
      </c>
      <c r="C40" s="8"/>
      <c r="D40" s="146">
        <f>-D38*'Assumptions-ResRental'!$I$20</f>
        <v>0</v>
      </c>
      <c r="E40" s="146">
        <f>-E38*'Assumptions-ResRental'!$I$20</f>
        <v>0</v>
      </c>
      <c r="F40" s="146">
        <f>-F38*'Assumptions-ResRental'!$I$20</f>
        <v>0</v>
      </c>
      <c r="G40" s="146">
        <f>-G38*'Assumptions-ResRental'!$I$20</f>
        <v>0</v>
      </c>
      <c r="H40" s="146">
        <f>-H38*'Assumptions-ResRental'!$I$20</f>
        <v>-5137451.1889598025</v>
      </c>
      <c r="I40" s="146">
        <f>-I38*'Assumptions-ResRental'!$I$20</f>
        <v>-6821909.6978458092</v>
      </c>
      <c r="J40" s="146">
        <f>-J38*'Assumptions-ResRental'!$I$20</f>
        <v>-7026566.9887811821</v>
      </c>
      <c r="K40" s="146">
        <f>-K38*'Assumptions-ResRental'!$I$20</f>
        <v>-7237363.9984446196</v>
      </c>
      <c r="L40" s="146">
        <f>-L38*'Assumptions-ResRental'!$I$20</f>
        <v>-7454484.9183979575</v>
      </c>
      <c r="M40" s="146">
        <f>-M38*'Assumptions-ResRental'!$I$20</f>
        <v>-7678119.4659498967</v>
      </c>
      <c r="N40" s="151">
        <f>-N38*'Assumptions-ResRental'!$I$20</f>
        <v>-7908463.0499283923</v>
      </c>
    </row>
    <row r="41" spans="2:14" x14ac:dyDescent="0.65">
      <c r="B41" s="3"/>
      <c r="C41" s="8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51"/>
    </row>
    <row r="42" spans="2:14" x14ac:dyDescent="0.65">
      <c r="B42" s="3" t="s">
        <v>209</v>
      </c>
      <c r="C42" s="8"/>
      <c r="D42" s="145">
        <f>SUM(D38:D40)</f>
        <v>0</v>
      </c>
      <c r="E42" s="145">
        <f t="shared" ref="E42:N42" si="6">SUM(E38:E40)</f>
        <v>0</v>
      </c>
      <c r="F42" s="145">
        <f t="shared" si="6"/>
        <v>0</v>
      </c>
      <c r="G42" s="145">
        <f t="shared" si="6"/>
        <v>0</v>
      </c>
      <c r="H42" s="145">
        <f t="shared" si="6"/>
        <v>11987386.107572872</v>
      </c>
      <c r="I42" s="145">
        <f t="shared" si="6"/>
        <v>15917789.294973556</v>
      </c>
      <c r="J42" s="145">
        <f t="shared" si="6"/>
        <v>16395322.973822759</v>
      </c>
      <c r="K42" s="145">
        <f t="shared" si="6"/>
        <v>16887182.663037445</v>
      </c>
      <c r="L42" s="145">
        <f t="shared" si="6"/>
        <v>17393798.142928571</v>
      </c>
      <c r="M42" s="145">
        <f t="shared" si="6"/>
        <v>17915612.087216426</v>
      </c>
      <c r="N42" s="153">
        <f t="shared" si="6"/>
        <v>18453080.449832916</v>
      </c>
    </row>
    <row r="43" spans="2:14" x14ac:dyDescent="0.65">
      <c r="B43" s="3"/>
      <c r="C43" s="8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59"/>
    </row>
    <row r="44" spans="2:14" x14ac:dyDescent="0.65">
      <c r="B44" s="3" t="s">
        <v>189</v>
      </c>
      <c r="C44" s="8"/>
      <c r="D44" s="146">
        <f>-SUM(D15:D24)*'Assumptions-ResRental'!$I$22*(1+'Assumptions-Overall'!$C$40)^('CashFlow-ResRental'!D$7-1)</f>
        <v>0</v>
      </c>
      <c r="E44" s="146">
        <f>-SUM(E15:E24)*'Assumptions-ResRental'!$I$22*(1+'Assumptions-Overall'!$C$40)^('CashFlow-ResRental'!E$7-1)</f>
        <v>0</v>
      </c>
      <c r="F44" s="146">
        <f>-SUM(F15:F24)*'Assumptions-ResRental'!$I$22*(1+'Assumptions-Overall'!$C$40)^('CashFlow-ResRental'!F$7-1)</f>
        <v>0</v>
      </c>
      <c r="G44" s="146">
        <f>-SUM(G15:G24)*'Assumptions-ResRental'!$I$22*(1+'Assumptions-Overall'!$C$40)^('CashFlow-ResRental'!G$7-1)</f>
        <v>0</v>
      </c>
      <c r="H44" s="146">
        <f>-SUM(H15:H24)*'Assumptions-ResRental'!$I$22*(1+'Assumptions-Overall'!$C$40)^('CashFlow-ResRental'!H$7-1)</f>
        <v>-356561.19100799999</v>
      </c>
      <c r="I44" s="146">
        <f>-SUM(I15:I24)*'Assumptions-ResRental'!$I$22*(1+'Assumptions-Overall'!$C$40)^('CashFlow-ResRental'!I$7-1)</f>
        <v>-367258.02673823998</v>
      </c>
      <c r="J44" s="146">
        <f>-SUM(J15:J24)*'Assumptions-ResRental'!$I$22*(1+'Assumptions-Overall'!$C$40)^('CashFlow-ResRental'!J$7-1)</f>
        <v>-378275.76754038717</v>
      </c>
      <c r="K44" s="146">
        <f>-SUM(K15:K24)*'Assumptions-ResRental'!$I$22*(1+'Assumptions-Overall'!$C$40)^('CashFlow-ResRental'!K$7-1)</f>
        <v>-389624.04056659882</v>
      </c>
      <c r="L44" s="146">
        <f>-SUM(L15:L24)*'Assumptions-ResRental'!$I$22*(1+'Assumptions-Overall'!$C$40)^('CashFlow-ResRental'!L$7-1)</f>
        <v>-401312.76178359671</v>
      </c>
      <c r="M44" s="146">
        <f>-SUM(M15:M24)*'Assumptions-ResRental'!$I$22*(1+'Assumptions-Overall'!$C$40)^('CashFlow-ResRental'!M$7-1)</f>
        <v>-413352.14463710465</v>
      </c>
      <c r="N44" s="151"/>
    </row>
    <row r="45" spans="2:14" x14ac:dyDescent="0.65">
      <c r="B45" s="3"/>
      <c r="C45" s="8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51"/>
    </row>
    <row r="46" spans="2:14" x14ac:dyDescent="0.65">
      <c r="B46" s="3" t="s">
        <v>208</v>
      </c>
      <c r="C46" s="8"/>
      <c r="D46" s="145">
        <f>SUM(D42:D44)</f>
        <v>0</v>
      </c>
      <c r="E46" s="145">
        <f t="shared" ref="E46:M46" si="7">SUM(E42:E44)</f>
        <v>0</v>
      </c>
      <c r="F46" s="145">
        <f t="shared" si="7"/>
        <v>0</v>
      </c>
      <c r="G46" s="145">
        <f t="shared" si="7"/>
        <v>0</v>
      </c>
      <c r="H46" s="145">
        <f t="shared" si="7"/>
        <v>11630824.916564872</v>
      </c>
      <c r="I46" s="145">
        <f t="shared" si="7"/>
        <v>15550531.268235317</v>
      </c>
      <c r="J46" s="145">
        <f t="shared" si="7"/>
        <v>16017047.206282372</v>
      </c>
      <c r="K46" s="145">
        <f t="shared" si="7"/>
        <v>16497558.622470846</v>
      </c>
      <c r="L46" s="145">
        <f t="shared" si="7"/>
        <v>16992485.381144974</v>
      </c>
      <c r="M46" s="145">
        <f t="shared" si="7"/>
        <v>17502259.942579322</v>
      </c>
      <c r="N46" s="151"/>
    </row>
    <row r="47" spans="2:14" x14ac:dyDescent="0.65">
      <c r="B47" s="3"/>
      <c r="C47" s="8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51"/>
    </row>
    <row r="48" spans="2:14" x14ac:dyDescent="0.65">
      <c r="B48" s="36" t="s">
        <v>130</v>
      </c>
      <c r="C48" s="8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51"/>
    </row>
    <row r="49" spans="2:14" x14ac:dyDescent="0.65">
      <c r="B49" s="3" t="s">
        <v>210</v>
      </c>
      <c r="C49" s="8"/>
      <c r="D49" s="146">
        <f>-(AND(D$8&gt;=YEAR(PhaseIConBegin),D$8&lt;=YEAR(PhaseIConEnd)))*SUM($D12:$N12)*('Assumptions-Overall'!$J$10+'Assumptions-Overall'!$J$12)*(1+'Assumptions-Overall'!$C$41)^('CashFlow-ResRental'!D$7-1)/(YEAR(PhaseIConEnd)-YEAR(PhaseIConBegin)+1)</f>
        <v>0</v>
      </c>
      <c r="E49" s="146">
        <f>-(AND(E$8&gt;=YEAR(PhaseIConBegin),E$8&lt;=YEAR(PhaseIConEnd)))*SUM($D12:$N12)*('Assumptions-Overall'!$J$10+'Assumptions-Overall'!$J$12)*(1+'Assumptions-Overall'!$C$41)^('CashFlow-ResRental'!E$7-1)/(YEAR(PhaseIConEnd)-YEAR(PhaseIConBegin)+1)</f>
        <v>0</v>
      </c>
      <c r="F49" s="146">
        <f>-(AND(F$8&gt;=YEAR(PhaseIConBegin),F$8&lt;=YEAR(PhaseIConEnd)))*SUM($D12:$N12)*('Assumptions-Overall'!$J$10+'Assumptions-Overall'!$J$12)*(1+'Assumptions-Overall'!$C$41)^('CashFlow-ResRental'!F$7-1)/(YEAR(PhaseIConEnd)-YEAR(PhaseIConBegin)+1)</f>
        <v>-82035498.192499995</v>
      </c>
      <c r="G49" s="146">
        <f>-(AND(G$8&gt;=YEAR(PhaseIConBegin),G$8&lt;=YEAR(PhaseIConEnd)))*SUM($D12:$N12)*('Assumptions-Overall'!$J$10+'Assumptions-Overall'!$J$12)*(1+'Assumptions-Overall'!$C$41)^('CashFlow-ResRental'!G$7-1)/(YEAR(PhaseIConEnd)-YEAR(PhaseIConBegin)+1)</f>
        <v>-84496563.138274997</v>
      </c>
      <c r="H49" s="146">
        <f>-(AND(H$8&gt;=YEAR(PhaseIConBegin),H$8&lt;=YEAR(PhaseIConEnd)))*SUM($D12:$N12)*('Assumptions-Overall'!$J$10+'Assumptions-Overall'!$J$12)*(1+'Assumptions-Overall'!$C$41)^('CashFlow-ResRental'!H$7-1)/(YEAR(PhaseIConEnd)-YEAR(PhaseIConBegin)+1)</f>
        <v>0</v>
      </c>
      <c r="I49" s="146">
        <f>-(AND(I$8&gt;=YEAR(PhaseIConBegin),I$8&lt;=YEAR(PhaseIConEnd)))*SUM($D12:$N12)*('Assumptions-Overall'!$J$10+'Assumptions-Overall'!$J$12)*(1+'Assumptions-Overall'!$C$41)^('CashFlow-ResRental'!I$7-1)/(YEAR(PhaseIConEnd)-YEAR(PhaseIConBegin)+1)</f>
        <v>0</v>
      </c>
      <c r="J49" s="146">
        <f>-(AND(J$8&gt;=YEAR(PhaseIConBegin),J$8&lt;=YEAR(PhaseIConEnd)))*SUM($D12:$N12)*('Assumptions-Overall'!$J$10+'Assumptions-Overall'!$J$12)*(1+'Assumptions-Overall'!$C$41)^('CashFlow-ResRental'!J$7-1)/(YEAR(PhaseIConEnd)-YEAR(PhaseIConBegin)+1)</f>
        <v>0</v>
      </c>
      <c r="K49" s="146">
        <f>-(AND(K$8&gt;=YEAR(PhaseIConBegin),K$8&lt;=YEAR(PhaseIConEnd)))*SUM($D12:$N12)*('Assumptions-Overall'!$J$10+'Assumptions-Overall'!$J$12)*(1+'Assumptions-Overall'!$C$41)^('CashFlow-ResRental'!K$7-1)/(YEAR(PhaseIConEnd)-YEAR(PhaseIConBegin)+1)</f>
        <v>0</v>
      </c>
      <c r="L49" s="146">
        <f>-(AND(L$8&gt;=YEAR(PhaseIConBegin),L$8&lt;=YEAR(PhaseIConEnd)))*SUM($D12:$N12)*('Assumptions-Overall'!$J$10+'Assumptions-Overall'!$J$12)*(1+'Assumptions-Overall'!$C$41)^('CashFlow-ResRental'!L$7-1)/(YEAR(PhaseIConEnd)-YEAR(PhaseIConBegin)+1)</f>
        <v>0</v>
      </c>
      <c r="M49" s="146">
        <f>-(AND(M$8&gt;=YEAR(PhaseIConBegin),M$8&lt;=YEAR(PhaseIConEnd)))*SUM($D12:$N12)*('Assumptions-Overall'!$J$10+'Assumptions-Overall'!$J$12)*(1+'Assumptions-Overall'!$C$41)^('CashFlow-ResRental'!M$7-1)/(YEAR(PhaseIConEnd)-YEAR(PhaseIConBegin)+1)</f>
        <v>0</v>
      </c>
      <c r="N49" s="151"/>
    </row>
    <row r="50" spans="2:14" x14ac:dyDescent="0.65">
      <c r="B50" s="3" t="s">
        <v>211</v>
      </c>
      <c r="C50" s="8"/>
      <c r="D50" s="146">
        <f>(AND(D$8&gt;=YEAR(PhaseIPreconBegin),D$8&lt;=YEAR(PhaseIConEnd)))*SUM($D49:$N49)*'Assumptions-Overall'!$H$43/(YEAR(PhaseIConEnd)-YEAR(PhaseIPreconBegin)+1)</f>
        <v>-2497980.9199616248</v>
      </c>
      <c r="E50" s="146">
        <f>(AND(E$8&gt;=YEAR(PhaseIPreconBegin),E$8&lt;=YEAR(PhaseIConEnd)))*SUM($D49:$N49)*'Assumptions-Overall'!$H$43/(YEAR(PhaseIConEnd)-YEAR(PhaseIPreconBegin)+1)</f>
        <v>-2497980.9199616248</v>
      </c>
      <c r="F50" s="146">
        <f>(AND(F$8&gt;=YEAR(PhaseIPreconBegin),F$8&lt;=YEAR(PhaseIConEnd)))*SUM($D49:$N49)*'Assumptions-Overall'!$H$43/(YEAR(PhaseIConEnd)-YEAR(PhaseIPreconBegin)+1)</f>
        <v>-2497980.9199616248</v>
      </c>
      <c r="G50" s="146">
        <f>(AND(G$8&gt;=YEAR(PhaseIPreconBegin),G$8&lt;=YEAR(PhaseIConEnd)))*SUM($D49:$N49)*'Assumptions-Overall'!$H$43/(YEAR(PhaseIConEnd)-YEAR(PhaseIPreconBegin)+1)</f>
        <v>-2497980.9199616248</v>
      </c>
      <c r="H50" s="146">
        <f>(AND(H$8&gt;=YEAR(PhaseIPreconBegin),H$8&lt;=YEAR(PhaseIConEnd)))*SUM($D49:$N49)*'Assumptions-Overall'!$H$43/(YEAR(PhaseIConEnd)-YEAR(PhaseIPreconBegin)+1)</f>
        <v>0</v>
      </c>
      <c r="I50" s="146">
        <f>(AND(I$8&gt;=YEAR(PhaseIPreconBegin),I$8&lt;=YEAR(PhaseIConEnd)))*SUM($D49:$N49)*'Assumptions-Overall'!$H$43/(YEAR(PhaseIConEnd)-YEAR(PhaseIPreconBegin)+1)</f>
        <v>0</v>
      </c>
      <c r="J50" s="146">
        <f>(AND(J$8&gt;=YEAR(PhaseIPreconBegin),J$8&lt;=YEAR(PhaseIConEnd)))*SUM($D49:$N49)*'Assumptions-Overall'!$H$43/(YEAR(PhaseIConEnd)-YEAR(PhaseIPreconBegin)+1)</f>
        <v>0</v>
      </c>
      <c r="K50" s="146">
        <f>(AND(K$8&gt;=YEAR(PhaseIPreconBegin),K$8&lt;=YEAR(PhaseIConEnd)))*SUM($D49:$N49)*'Assumptions-Overall'!$H$43/(YEAR(PhaseIConEnd)-YEAR(PhaseIPreconBegin)+1)</f>
        <v>0</v>
      </c>
      <c r="L50" s="146">
        <f>(AND(L$8&gt;=YEAR(PhaseIPreconBegin),L$8&lt;=YEAR(PhaseIConEnd)))*SUM($D49:$N49)*'Assumptions-Overall'!$H$43/(YEAR(PhaseIConEnd)-YEAR(PhaseIPreconBegin)+1)</f>
        <v>0</v>
      </c>
      <c r="M50" s="146">
        <f>(AND(M$8&gt;=YEAR(PhaseIPreconBegin),M$8&lt;=YEAR(PhaseIConEnd)))*SUM($D49:$N49)*'Assumptions-Overall'!$H$43/(YEAR(PhaseIConEnd)-YEAR(PhaseIPreconBegin)+1)</f>
        <v>0</v>
      </c>
      <c r="N50" s="151"/>
    </row>
    <row r="51" spans="2:14" x14ac:dyDescent="0.65">
      <c r="B51" s="3" t="s">
        <v>115</v>
      </c>
      <c r="C51" s="8"/>
      <c r="D51" s="146">
        <f>(AND(D$8&gt;=YEAR(PhaseIPreconBegin),D$8&lt;=YEAR(PhaseIConEnd)))*SUM($D49:$N49)*'Assumptions-Overall'!$H$44/(YEAR(PhaseIConEnd)-YEAR(PhaseIPreconBegin)+1)</f>
        <v>-4163301.5332693751</v>
      </c>
      <c r="E51" s="146">
        <f>(AND(E$8&gt;=YEAR(PhaseIPreconBegin),E$8&lt;=YEAR(PhaseIConEnd)))*SUM($D49:$N49)*'Assumptions-Overall'!$H$44/(YEAR(PhaseIConEnd)-YEAR(PhaseIPreconBegin)+1)</f>
        <v>-4163301.5332693751</v>
      </c>
      <c r="F51" s="146">
        <f>(AND(F$8&gt;=YEAR(PhaseIPreconBegin),F$8&lt;=YEAR(PhaseIConEnd)))*SUM($D49:$N49)*'Assumptions-Overall'!$H$44/(YEAR(PhaseIConEnd)-YEAR(PhaseIPreconBegin)+1)</f>
        <v>-4163301.5332693751</v>
      </c>
      <c r="G51" s="146">
        <f>(AND(G$8&gt;=YEAR(PhaseIPreconBegin),G$8&lt;=YEAR(PhaseIConEnd)))*SUM($D49:$N49)*'Assumptions-Overall'!$H$44/(YEAR(PhaseIConEnd)-YEAR(PhaseIPreconBegin)+1)</f>
        <v>-4163301.5332693751</v>
      </c>
      <c r="H51" s="146">
        <f>(AND(H$8&gt;=YEAR(PhaseIPreconBegin),H$8&lt;=YEAR(PhaseIConEnd)))*SUM($D49:$N49)*'Assumptions-Overall'!$H$44/(YEAR(PhaseIConEnd)-YEAR(PhaseIPreconBegin)+1)</f>
        <v>0</v>
      </c>
      <c r="I51" s="146">
        <f>(AND(I$8&gt;=YEAR(PhaseIPreconBegin),I$8&lt;=YEAR(PhaseIConEnd)))*SUM($D49:$N49)*'Assumptions-Overall'!$H$44/(YEAR(PhaseIConEnd)-YEAR(PhaseIPreconBegin)+1)</f>
        <v>0</v>
      </c>
      <c r="J51" s="146">
        <f>(AND(J$8&gt;=YEAR(PhaseIPreconBegin),J$8&lt;=YEAR(PhaseIConEnd)))*SUM($D49:$N49)*'Assumptions-Overall'!$H$44/(YEAR(PhaseIConEnd)-YEAR(PhaseIPreconBegin)+1)</f>
        <v>0</v>
      </c>
      <c r="K51" s="146">
        <f>(AND(K$8&gt;=YEAR(PhaseIPreconBegin),K$8&lt;=YEAR(PhaseIConEnd)))*SUM($D49:$N49)*'Assumptions-Overall'!$H$44/(YEAR(PhaseIConEnd)-YEAR(PhaseIPreconBegin)+1)</f>
        <v>0</v>
      </c>
      <c r="L51" s="146">
        <f>(AND(L$8&gt;=YEAR(PhaseIPreconBegin),L$8&lt;=YEAR(PhaseIConEnd)))*SUM($D49:$N49)*'Assumptions-Overall'!$H$44/(YEAR(PhaseIConEnd)-YEAR(PhaseIPreconBegin)+1)</f>
        <v>0</v>
      </c>
      <c r="M51" s="146">
        <f>(AND(M$8&gt;=YEAR(PhaseIPreconBegin),M$8&lt;=YEAR(PhaseIConEnd)))*SUM($D49:$N49)*'Assumptions-Overall'!$H$44/(YEAR(PhaseIConEnd)-YEAR(PhaseIPreconBegin)+1)</f>
        <v>0</v>
      </c>
      <c r="N51" s="151"/>
    </row>
    <row r="52" spans="2:14" x14ac:dyDescent="0.65">
      <c r="B52" s="3" t="s">
        <v>116</v>
      </c>
      <c r="C52" s="8"/>
      <c r="D52" s="144">
        <f>SUM(D49:D51)*'Assumptions-Overall'!$H$45</f>
        <v>-333064.12266155001</v>
      </c>
      <c r="E52" s="144">
        <f>SUM(E49:E51)*'Assumptions-Overall'!$H$45</f>
        <v>-333064.12266155001</v>
      </c>
      <c r="F52" s="144">
        <f>SUM(F49:F51)*'Assumptions-Overall'!$H$45</f>
        <v>-4434839.0322865499</v>
      </c>
      <c r="G52" s="144">
        <f>SUM(G49:G51)*'Assumptions-Overall'!$H$45</f>
        <v>-4557892.2795753004</v>
      </c>
      <c r="H52" s="144">
        <f>SUM(H49:H51)*'Assumptions-Overall'!$H$45</f>
        <v>0</v>
      </c>
      <c r="I52" s="144">
        <f>SUM(I49:I51)*'Assumptions-Overall'!$H$45</f>
        <v>0</v>
      </c>
      <c r="J52" s="144">
        <f>SUM(J49:J51)*'Assumptions-Overall'!$H$45</f>
        <v>0</v>
      </c>
      <c r="K52" s="144">
        <f>SUM(K49:K51)*'Assumptions-Overall'!$H$45</f>
        <v>0</v>
      </c>
      <c r="L52" s="144">
        <f>SUM(L49:L51)*'Assumptions-Overall'!$H$45</f>
        <v>0</v>
      </c>
      <c r="M52" s="144">
        <f>SUM(M49:M51)*'Assumptions-Overall'!$H$45</f>
        <v>0</v>
      </c>
      <c r="N52" s="151"/>
    </row>
    <row r="53" spans="2:14" x14ac:dyDescent="0.65">
      <c r="B53" s="3" t="s">
        <v>212</v>
      </c>
      <c r="C53" s="8"/>
      <c r="D53" s="146">
        <f>SUM(D49:D52)</f>
        <v>-6994346.575892549</v>
      </c>
      <c r="E53" s="146">
        <f t="shared" ref="E53:M53" si="8">SUM(E49:E52)</f>
        <v>-6994346.575892549</v>
      </c>
      <c r="F53" s="146">
        <f t="shared" si="8"/>
        <v>-93131619.678017557</v>
      </c>
      <c r="G53" s="146">
        <f t="shared" si="8"/>
        <v>-95715737.871081308</v>
      </c>
      <c r="H53" s="146">
        <f t="shared" si="8"/>
        <v>0</v>
      </c>
      <c r="I53" s="146">
        <f t="shared" si="8"/>
        <v>0</v>
      </c>
      <c r="J53" s="146">
        <f t="shared" si="8"/>
        <v>0</v>
      </c>
      <c r="K53" s="146">
        <f t="shared" si="8"/>
        <v>0</v>
      </c>
      <c r="L53" s="146">
        <f t="shared" si="8"/>
        <v>0</v>
      </c>
      <c r="M53" s="146">
        <f t="shared" si="8"/>
        <v>0</v>
      </c>
      <c r="N53" s="151"/>
    </row>
    <row r="54" spans="2:14" x14ac:dyDescent="0.65">
      <c r="B54" s="3"/>
      <c r="C54" s="8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51"/>
    </row>
    <row r="55" spans="2:14" x14ac:dyDescent="0.65">
      <c r="B55" s="3" t="s">
        <v>571</v>
      </c>
      <c r="C55" s="8"/>
      <c r="D55" s="146">
        <f>ABS((D$8=YEAR(PhaseIComplete))*MAX(SUM(D21:D24)*'Assumptions-ResRental'!$S$15,'Assumptions-ResRental'!$S$14*'CashFlow-ResRental'!$D53:$N53))</f>
        <v>0</v>
      </c>
      <c r="E55" s="146">
        <f>ABS((E$8=YEAR(PhaseIComplete))*MAX(SUM(E21:E24)*'Assumptions-ResRental'!$S$15,'Assumptions-ResRental'!$S$14*'CashFlow-ResRental'!$D53:$N53))</f>
        <v>0</v>
      </c>
      <c r="F55" s="146">
        <f>ABS((F$8=YEAR(PhaseIComplete))*MAX(SUM(F21:F24)*'Assumptions-ResRental'!$S$15,'Assumptions-ResRental'!$S$14*'CashFlow-ResRental'!$D53:$N53))</f>
        <v>0</v>
      </c>
      <c r="G55" s="146">
        <f>ABS((G$8=YEAR(PhaseIComplete))*MAX(SUM(G21:G24)*'Assumptions-ResRental'!$S$15,'Assumptions-ResRental'!$S$14*'CashFlow-ResRental'!$D53:$N53))</f>
        <v>0</v>
      </c>
      <c r="H55" s="146">
        <f>ABS((H$8=YEAR(PhaseIComplete))*MAX(SUM(H21:H24)*'Assumptions-ResRental'!$S$15,'Assumptions-ResRental'!$S$14*'CashFlow-ResRental'!$D53:$N53))</f>
        <v>7252570</v>
      </c>
      <c r="I55" s="146">
        <f>ABS((I$8=YEAR(PhaseIComplete))*MAX(SUM(I21:I24)*'Assumptions-ResRental'!$S$15,'Assumptions-ResRental'!$S$14*'CashFlow-ResRental'!$D53:$N53))</f>
        <v>0</v>
      </c>
      <c r="J55" s="146">
        <f>ABS((J$8=YEAR(PhaseIComplete))*MAX(SUM(J21:J24)*'Assumptions-ResRental'!$S$15,'Assumptions-ResRental'!$S$14*'CashFlow-ResRental'!$D53:$N53))</f>
        <v>0</v>
      </c>
      <c r="K55" s="146">
        <f>ABS((K$8=YEAR(PhaseIComplete))*MAX(SUM(K21:K24)*'Assumptions-ResRental'!$S$15,'Assumptions-ResRental'!$S$14*'CashFlow-ResRental'!$D53:$N53))</f>
        <v>0</v>
      </c>
      <c r="L55" s="146">
        <f>ABS((L$8=YEAR(PhaseIComplete))*MAX(SUM(L21:L24)*'Assumptions-ResRental'!$S$15,'Assumptions-ResRental'!$S$14*'CashFlow-ResRental'!$D53:$N53))</f>
        <v>0</v>
      </c>
      <c r="M55" s="146">
        <f>ABS((M$8=YEAR(PhaseIComplete))*MAX(SUM(M21:M24)*'Assumptions-ResRental'!$S$15,'Assumptions-ResRental'!$S$14*'CashFlow-ResRental'!$D53:$N53))</f>
        <v>0</v>
      </c>
      <c r="N55" s="151"/>
    </row>
    <row r="56" spans="2:14" x14ac:dyDescent="0.65">
      <c r="B56" s="3"/>
      <c r="C56" s="8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51"/>
    </row>
    <row r="57" spans="2:14" x14ac:dyDescent="0.65">
      <c r="B57" s="36" t="s">
        <v>213</v>
      </c>
      <c r="C57" s="8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51"/>
    </row>
    <row r="58" spans="2:14" x14ac:dyDescent="0.65">
      <c r="B58" s="3" t="s">
        <v>215</v>
      </c>
      <c r="C58" s="8"/>
      <c r="D58" s="146">
        <f>(D$8=YEAR('Assumptions-Overall'!$C$30))*E42/'Assumptions-Overall'!$V$9</f>
        <v>0</v>
      </c>
      <c r="E58" s="146">
        <f>(E$8=YEAR('Assumptions-Overall'!$C$30))*F42/'Assumptions-Overall'!$V$9</f>
        <v>0</v>
      </c>
      <c r="F58" s="146">
        <f>(F$8=YEAR('Assumptions-Overall'!$C$30))*G42/'Assumptions-Overall'!$V$9</f>
        <v>0</v>
      </c>
      <c r="G58" s="146">
        <f>(G$8=YEAR('Assumptions-Overall'!$C$30))*H42/'Assumptions-Overall'!$V$9</f>
        <v>0</v>
      </c>
      <c r="H58" s="146">
        <f>(H$8=YEAR('Assumptions-Overall'!$C$30))*I42/'Assumptions-Overall'!$V$9</f>
        <v>0</v>
      </c>
      <c r="I58" s="146">
        <f>(I$8=YEAR('Assumptions-Overall'!$C$30))*J42/'Assumptions-Overall'!$V$9</f>
        <v>0</v>
      </c>
      <c r="J58" s="146">
        <f>(J$8=YEAR('Assumptions-Overall'!$C$30))*K42/'Assumptions-Overall'!$V$9</f>
        <v>0</v>
      </c>
      <c r="K58" s="146">
        <f>(K$8=YEAR('Assumptions-Overall'!$C$30))*L42/'Assumptions-Overall'!$V$9</f>
        <v>0</v>
      </c>
      <c r="L58" s="146">
        <f>(L$8=YEAR('Assumptions-Overall'!$C$30))*M42/'Assumptions-Overall'!$V$9</f>
        <v>0</v>
      </c>
      <c r="M58" s="146">
        <f>(M$8=YEAR('Assumptions-Overall'!$C$30))*N42/'Assumptions-Overall'!$V$9</f>
        <v>238104263.86881182</v>
      </c>
      <c r="N58" s="151"/>
    </row>
    <row r="59" spans="2:14" x14ac:dyDescent="0.65">
      <c r="B59" s="3" t="s">
        <v>216</v>
      </c>
      <c r="C59" s="8"/>
      <c r="D59" s="144">
        <f>-D58*'Assumptions-Overall'!$R$27</f>
        <v>0</v>
      </c>
      <c r="E59" s="144">
        <f>-E58*'Assumptions-Overall'!$R$27</f>
        <v>0</v>
      </c>
      <c r="F59" s="144">
        <f>-F58*'Assumptions-Overall'!$R$27</f>
        <v>0</v>
      </c>
      <c r="G59" s="144">
        <f>-G58*'Assumptions-Overall'!$R$27</f>
        <v>0</v>
      </c>
      <c r="H59" s="144">
        <f>-H58*'Assumptions-Overall'!$R$27</f>
        <v>0</v>
      </c>
      <c r="I59" s="144">
        <f>-I58*'Assumptions-Overall'!$R$27</f>
        <v>0</v>
      </c>
      <c r="J59" s="144">
        <f>-J58*'Assumptions-Overall'!$R$27</f>
        <v>0</v>
      </c>
      <c r="K59" s="144">
        <f>-K58*'Assumptions-Overall'!$R$27</f>
        <v>0</v>
      </c>
      <c r="L59" s="144">
        <f>-L58*'Assumptions-Overall'!$R$27</f>
        <v>0</v>
      </c>
      <c r="M59" s="144">
        <f>-M58*'Assumptions-Overall'!$R$27</f>
        <v>-4762085.2773762364</v>
      </c>
      <c r="N59" s="151"/>
    </row>
    <row r="60" spans="2:14" x14ac:dyDescent="0.65">
      <c r="B60" s="3" t="s">
        <v>217</v>
      </c>
      <c r="C60" s="8"/>
      <c r="D60" s="146">
        <f>SUM(D58:D59)</f>
        <v>0</v>
      </c>
      <c r="E60" s="146">
        <f t="shared" ref="E60:M60" si="9">SUM(E58:E59)</f>
        <v>0</v>
      </c>
      <c r="F60" s="146">
        <f t="shared" si="9"/>
        <v>0</v>
      </c>
      <c r="G60" s="146">
        <f t="shared" si="9"/>
        <v>0</v>
      </c>
      <c r="H60" s="146">
        <f t="shared" si="9"/>
        <v>0</v>
      </c>
      <c r="I60" s="146">
        <f t="shared" si="9"/>
        <v>0</v>
      </c>
      <c r="J60" s="146">
        <f t="shared" si="9"/>
        <v>0</v>
      </c>
      <c r="K60" s="146">
        <f t="shared" si="9"/>
        <v>0</v>
      </c>
      <c r="L60" s="146">
        <f t="shared" si="9"/>
        <v>0</v>
      </c>
      <c r="M60" s="146">
        <f t="shared" si="9"/>
        <v>233342178.59143558</v>
      </c>
      <c r="N60" s="151"/>
    </row>
    <row r="61" spans="2:14" x14ac:dyDescent="0.65">
      <c r="B61" s="3"/>
      <c r="C61" s="8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51"/>
    </row>
    <row r="62" spans="2:14" x14ac:dyDescent="0.65">
      <c r="B62" s="3" t="s">
        <v>214</v>
      </c>
      <c r="C62" s="8"/>
      <c r="D62" s="146">
        <f>D46+D53+D60</f>
        <v>-6994346.575892549</v>
      </c>
      <c r="E62" s="146">
        <f t="shared" ref="E62:M62" si="10">E46+E53+E60</f>
        <v>-6994346.575892549</v>
      </c>
      <c r="F62" s="146">
        <f t="shared" si="10"/>
        <v>-93131619.678017557</v>
      </c>
      <c r="G62" s="146">
        <f t="shared" si="10"/>
        <v>-95715737.871081308</v>
      </c>
      <c r="H62" s="146">
        <f>H46+H53+H60</f>
        <v>11630824.916564872</v>
      </c>
      <c r="I62" s="146">
        <f t="shared" si="10"/>
        <v>15550531.268235317</v>
      </c>
      <c r="J62" s="146">
        <f t="shared" si="10"/>
        <v>16017047.206282372</v>
      </c>
      <c r="K62" s="146">
        <f t="shared" si="10"/>
        <v>16497558.622470846</v>
      </c>
      <c r="L62" s="146">
        <f t="shared" si="10"/>
        <v>16992485.381144974</v>
      </c>
      <c r="M62" s="146">
        <f t="shared" si="10"/>
        <v>250844438.53401491</v>
      </c>
      <c r="N62" s="151"/>
    </row>
    <row r="63" spans="2:14" x14ac:dyDescent="0.65">
      <c r="B63" s="3" t="s">
        <v>218</v>
      </c>
      <c r="C63" s="158">
        <f>IFERROR(IRR(D62:M62),"n/a")</f>
        <v>8.4562059226652941E-2</v>
      </c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51"/>
    </row>
    <row r="64" spans="2:14" ht="13" thickBot="1" x14ac:dyDescent="0.8">
      <c r="B64" s="5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1"/>
    </row>
    <row r="65" spans="2:14" x14ac:dyDescent="0.65">
      <c r="B65" s="154"/>
      <c r="C65" s="155"/>
      <c r="D65" s="155"/>
      <c r="E65" s="155"/>
      <c r="F65" s="155"/>
      <c r="G65" s="155"/>
      <c r="H65" s="155"/>
      <c r="I65" s="155"/>
      <c r="J65" s="155"/>
      <c r="K65" s="155"/>
      <c r="L65" s="155"/>
      <c r="M65" s="155"/>
      <c r="N65" s="156"/>
    </row>
    <row r="66" spans="2:14" x14ac:dyDescent="0.65">
      <c r="B66" s="147" t="s">
        <v>197</v>
      </c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9"/>
    </row>
    <row r="67" spans="2:14" x14ac:dyDescent="0.65">
      <c r="B67" s="3" t="s">
        <v>194</v>
      </c>
      <c r="C67" s="8"/>
      <c r="D67" s="148">
        <f>(D$8&gt;=YEAR(PhaseIIComplete))*SUMIFS(BuildingSummary!$D$21:$U$21,BuildingSummary!$D$34:$U$34,"Rental",BuildingSummary!$D$18:$U$18,"II")+(D$8&gt;=YEAR(PhaseIIComplete))*SUMIFS(BuildingSummary!$D$29:$U$29,BuildingSummary!$D$34:$U$34,"Rental",BuildingSummary!$D$18:$U$18,"II")</f>
        <v>0</v>
      </c>
      <c r="E67" s="148">
        <f>(E$8&gt;=YEAR(PhaseIIComplete))*SUMIFS(BuildingSummary!$D$21:$U$21,BuildingSummary!$D$34:$U$34,"Rental",BuildingSummary!$D$18:$U$18,"II")+(E$8&gt;=YEAR(PhaseIIComplete))*SUMIFS(BuildingSummary!$D$29:$U$29,BuildingSummary!$D$34:$U$34,"Rental",BuildingSummary!$D$18:$U$18,"II")</f>
        <v>0</v>
      </c>
      <c r="F67" s="148">
        <f>(F$8&gt;=YEAR(PhaseIIComplete))*SUMIFS(BuildingSummary!$D$21:$U$21,BuildingSummary!$D$34:$U$34,"Rental",BuildingSummary!$D$18:$U$18,"II")+(F$8&gt;=YEAR(PhaseIIComplete))*SUMIFS(BuildingSummary!$D$29:$U$29,BuildingSummary!$D$34:$U$34,"Rental",BuildingSummary!$D$18:$U$18,"II")</f>
        <v>0</v>
      </c>
      <c r="G67" s="148">
        <f>(G$8&gt;=YEAR(PhaseIIComplete))*SUMIFS(BuildingSummary!$D$21:$U$21,BuildingSummary!$D$34:$U$34,"Rental",BuildingSummary!$D$18:$U$18,"II")+(G$8&gt;=YEAR(PhaseIIComplete))*SUMIFS(BuildingSummary!$D$29:$U$29,BuildingSummary!$D$34:$U$34,"Rental",BuildingSummary!$D$18:$U$18,"II")</f>
        <v>79957.950199999992</v>
      </c>
      <c r="H67" s="148">
        <f>(H$8&gt;=YEAR(PhaseIIComplete))*SUMIFS(BuildingSummary!$D$21:$U$21,BuildingSummary!$D$34:$U$34,"Rental",BuildingSummary!$D$18:$U$18,"II")+(H$8&gt;=YEAR(PhaseIIComplete))*SUMIFS(BuildingSummary!$D$29:$U$29,BuildingSummary!$D$34:$U$34,"Rental",BuildingSummary!$D$18:$U$18,"II")</f>
        <v>79957.950199999992</v>
      </c>
      <c r="I67" s="148">
        <f>(I$8&gt;=YEAR(PhaseIIComplete))*SUMIFS(BuildingSummary!$D$21:$U$21,BuildingSummary!$D$34:$U$34,"Rental",BuildingSummary!$D$18:$U$18,"II")+(I$8&gt;=YEAR(PhaseIIComplete))*SUMIFS(BuildingSummary!$D$29:$U$29,BuildingSummary!$D$34:$U$34,"Rental",BuildingSummary!$D$18:$U$18,"II")</f>
        <v>79957.950199999992</v>
      </c>
      <c r="J67" s="148">
        <f>(J$8&gt;=YEAR(PhaseIIComplete))*SUMIFS(BuildingSummary!$D$21:$U$21,BuildingSummary!$D$34:$U$34,"Rental",BuildingSummary!$D$18:$U$18,"II")+(J$8&gt;=YEAR(PhaseIIComplete))*SUMIFS(BuildingSummary!$D$29:$U$29,BuildingSummary!$D$34:$U$34,"Rental",BuildingSummary!$D$18:$U$18,"II")</f>
        <v>79957.950199999992</v>
      </c>
      <c r="K67" s="148">
        <f>(K$8&gt;=YEAR(PhaseIIComplete))*SUMIFS(BuildingSummary!$D$21:$U$21,BuildingSummary!$D$34:$U$34,"Rental",BuildingSummary!$D$18:$U$18,"II")+(K$8&gt;=YEAR(PhaseIIComplete))*SUMIFS(BuildingSummary!$D$29:$U$29,BuildingSummary!$D$34:$U$34,"Rental",BuildingSummary!$D$18:$U$18,"II")</f>
        <v>79957.950199999992</v>
      </c>
      <c r="L67" s="148">
        <f>(L$8&gt;=YEAR(PhaseIIComplete))*SUMIFS(BuildingSummary!$D$21:$U$21,BuildingSummary!$D$34:$U$34,"Rental",BuildingSummary!$D$18:$U$18,"II")+(L$8&gt;=YEAR(PhaseIIComplete))*SUMIFS(BuildingSummary!$D$29:$U$29,BuildingSummary!$D$34:$U$34,"Rental",BuildingSummary!$D$18:$U$18,"II")</f>
        <v>79957.950199999992</v>
      </c>
      <c r="M67" s="148">
        <f>(M$8&gt;=YEAR(PhaseIIComplete))*SUMIFS(BuildingSummary!$D$21:$U$21,BuildingSummary!$D$34:$U$34,"Rental",BuildingSummary!$D$18:$U$18,"II")+(M$8&gt;=YEAR(PhaseIIComplete))*SUMIFS(BuildingSummary!$D$29:$U$29,BuildingSummary!$D$34:$U$34,"Rental",BuildingSummary!$D$18:$U$18,"II")</f>
        <v>79957.950199999992</v>
      </c>
      <c r="N67" s="149">
        <f>(N$8&gt;=YEAR(PhaseIIComplete))*SUMIFS(BuildingSummary!$D$21:$U$21,BuildingSummary!$D$34:$U$34,"Rental",BuildingSummary!$D$18:$U$18,"II")+(N$8&gt;=YEAR(PhaseIIComplete))*SUMIFS(BuildingSummary!$D$29:$U$29,BuildingSummary!$D$34:$U$34,"Rental",BuildingSummary!$D$18:$U$18,"II")</f>
        <v>79957.950199999992</v>
      </c>
    </row>
    <row r="68" spans="2:14" x14ac:dyDescent="0.65">
      <c r="B68" s="3" t="s">
        <v>195</v>
      </c>
      <c r="C68" s="8"/>
      <c r="D68" s="148">
        <f>D67-C67</f>
        <v>0</v>
      </c>
      <c r="E68" s="148">
        <f t="shared" ref="E68" si="11">E67-D67</f>
        <v>0</v>
      </c>
      <c r="F68" s="148">
        <f t="shared" ref="F68" si="12">F67-E67</f>
        <v>0</v>
      </c>
      <c r="G68" s="148">
        <f t="shared" ref="G68" si="13">G67-F67</f>
        <v>79957.950199999992</v>
      </c>
      <c r="H68" s="148">
        <f t="shared" ref="H68" si="14">H67-G67</f>
        <v>0</v>
      </c>
      <c r="I68" s="148">
        <f t="shared" ref="I68" si="15">I67-H67</f>
        <v>0</v>
      </c>
      <c r="J68" s="148">
        <f t="shared" ref="J68" si="16">J67-I67</f>
        <v>0</v>
      </c>
      <c r="K68" s="148">
        <f t="shared" ref="K68" si="17">K67-J67</f>
        <v>0</v>
      </c>
      <c r="L68" s="148">
        <f t="shared" ref="L68" si="18">L67-K67</f>
        <v>0</v>
      </c>
      <c r="M68" s="148">
        <f t="shared" ref="M68" si="19">M67-L67</f>
        <v>0</v>
      </c>
      <c r="N68" s="149">
        <f t="shared" ref="N68" si="20">N67-M67</f>
        <v>0</v>
      </c>
    </row>
    <row r="69" spans="2:14" x14ac:dyDescent="0.65">
      <c r="B69" s="3"/>
      <c r="C69" s="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9"/>
    </row>
    <row r="70" spans="2:14" x14ac:dyDescent="0.65">
      <c r="B70" s="36" t="s">
        <v>196</v>
      </c>
      <c r="C70" s="8"/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9"/>
    </row>
    <row r="71" spans="2:14" x14ac:dyDescent="0.65">
      <c r="B71" s="3" t="s">
        <v>13</v>
      </c>
      <c r="C71" s="8"/>
      <c r="D71" s="148">
        <f>(D$8&gt;=YEAR(PhaseIIComplete))*'Assumptions-ResRental'!$E9</f>
        <v>0</v>
      </c>
      <c r="E71" s="148">
        <f>(E$8&gt;=YEAR(PhaseIIComplete))*'Assumptions-ResRental'!$E9</f>
        <v>0</v>
      </c>
      <c r="F71" s="148">
        <f>(F$8&gt;=YEAR(PhaseIIComplete))*'Assumptions-ResRental'!$E9</f>
        <v>0</v>
      </c>
      <c r="G71" s="148">
        <f>(G$8&gt;=YEAR(PhaseIIComplete))*'Assumptions-ResRental'!$E9</f>
        <v>35</v>
      </c>
      <c r="H71" s="148">
        <f>(H$8&gt;=YEAR(PhaseIIComplete))*'Assumptions-ResRental'!$E9</f>
        <v>35</v>
      </c>
      <c r="I71" s="148">
        <f>(I$8&gt;=YEAR(PhaseIIComplete))*'Assumptions-ResRental'!$E9</f>
        <v>35</v>
      </c>
      <c r="J71" s="148">
        <f>(J$8&gt;=YEAR(PhaseIIComplete))*'Assumptions-ResRental'!$E9</f>
        <v>35</v>
      </c>
      <c r="K71" s="148">
        <f>(K$8&gt;=YEAR(PhaseIIComplete))*'Assumptions-ResRental'!$E9</f>
        <v>35</v>
      </c>
      <c r="L71" s="148">
        <f>(L$8&gt;=YEAR(PhaseIIComplete))*'Assumptions-ResRental'!$E9</f>
        <v>35</v>
      </c>
      <c r="M71" s="148">
        <f>(M$8&gt;=YEAR(PhaseIIComplete))*'Assumptions-ResRental'!$E9</f>
        <v>35</v>
      </c>
      <c r="N71" s="149">
        <f>(N$8&gt;=YEAR(PhaseIIComplete))*'Assumptions-ResRental'!$E9</f>
        <v>35</v>
      </c>
    </row>
    <row r="72" spans="2:14" x14ac:dyDescent="0.65">
      <c r="B72" s="3" t="s">
        <v>12</v>
      </c>
      <c r="C72" s="8"/>
      <c r="D72" s="148">
        <f>(D$8&gt;=YEAR(PhaseIIComplete))*'Assumptions-ResRental'!$E10</f>
        <v>0</v>
      </c>
      <c r="E72" s="148">
        <f>(E$8&gt;=YEAR(PhaseIIComplete))*'Assumptions-ResRental'!$E10</f>
        <v>0</v>
      </c>
      <c r="F72" s="148">
        <f>(F$8&gt;=YEAR(PhaseIIComplete))*'Assumptions-ResRental'!$E10</f>
        <v>0</v>
      </c>
      <c r="G72" s="148">
        <f>(G$8&gt;=YEAR(PhaseIIComplete))*'Assumptions-ResRental'!$E10</f>
        <v>28</v>
      </c>
      <c r="H72" s="148">
        <f>(H$8&gt;=YEAR(PhaseIIComplete))*'Assumptions-ResRental'!$E10</f>
        <v>28</v>
      </c>
      <c r="I72" s="148">
        <f>(I$8&gt;=YEAR(PhaseIIComplete))*'Assumptions-ResRental'!$E10</f>
        <v>28</v>
      </c>
      <c r="J72" s="148">
        <f>(J$8&gt;=YEAR(PhaseIIComplete))*'Assumptions-ResRental'!$E10</f>
        <v>28</v>
      </c>
      <c r="K72" s="148">
        <f>(K$8&gt;=YEAR(PhaseIIComplete))*'Assumptions-ResRental'!$E10</f>
        <v>28</v>
      </c>
      <c r="L72" s="148">
        <f>(L$8&gt;=YEAR(PhaseIIComplete))*'Assumptions-ResRental'!$E10</f>
        <v>28</v>
      </c>
      <c r="M72" s="148">
        <f>(M$8&gt;=YEAR(PhaseIIComplete))*'Assumptions-ResRental'!$E10</f>
        <v>28</v>
      </c>
      <c r="N72" s="149">
        <f>(N$8&gt;=YEAR(PhaseIIComplete))*'Assumptions-ResRental'!$E10</f>
        <v>28</v>
      </c>
    </row>
    <row r="73" spans="2:14" x14ac:dyDescent="0.65">
      <c r="B73" s="3" t="s">
        <v>11</v>
      </c>
      <c r="C73" s="8"/>
      <c r="D73" s="148">
        <f>(D$8&gt;=YEAR(PhaseIIComplete))*'Assumptions-ResRental'!$E11</f>
        <v>0</v>
      </c>
      <c r="E73" s="148">
        <f>(E$8&gt;=YEAR(PhaseIIComplete))*'Assumptions-ResRental'!$E11</f>
        <v>0</v>
      </c>
      <c r="F73" s="148">
        <f>(F$8&gt;=YEAR(PhaseIIComplete))*'Assumptions-ResRental'!$E11</f>
        <v>0</v>
      </c>
      <c r="G73" s="148">
        <f>(G$8&gt;=YEAR(PhaseIIComplete))*'Assumptions-ResRental'!$E11</f>
        <v>10</v>
      </c>
      <c r="H73" s="148">
        <f>(H$8&gt;=YEAR(PhaseIIComplete))*'Assumptions-ResRental'!$E11</f>
        <v>10</v>
      </c>
      <c r="I73" s="148">
        <f>(I$8&gt;=YEAR(PhaseIIComplete))*'Assumptions-ResRental'!$E11</f>
        <v>10</v>
      </c>
      <c r="J73" s="148">
        <f>(J$8&gt;=YEAR(PhaseIIComplete))*'Assumptions-ResRental'!$E11</f>
        <v>10</v>
      </c>
      <c r="K73" s="148">
        <f>(K$8&gt;=YEAR(PhaseIIComplete))*'Assumptions-ResRental'!$E11</f>
        <v>10</v>
      </c>
      <c r="L73" s="148">
        <f>(L$8&gt;=YEAR(PhaseIIComplete))*'Assumptions-ResRental'!$E11</f>
        <v>10</v>
      </c>
      <c r="M73" s="148">
        <f>(M$8&gt;=YEAR(PhaseIIComplete))*'Assumptions-ResRental'!$E11</f>
        <v>10</v>
      </c>
      <c r="N73" s="149">
        <f>(N$8&gt;=YEAR(PhaseIIComplete))*'Assumptions-ResRental'!$E11</f>
        <v>10</v>
      </c>
    </row>
    <row r="74" spans="2:14" x14ac:dyDescent="0.65">
      <c r="B74" s="3" t="s">
        <v>10</v>
      </c>
      <c r="C74" s="8"/>
      <c r="D74" s="148">
        <f>(D$8&gt;=YEAR(PhaseIIComplete))*'Assumptions-ResRental'!$E12</f>
        <v>0</v>
      </c>
      <c r="E74" s="148">
        <f>(E$8&gt;=YEAR(PhaseIIComplete))*'Assumptions-ResRental'!$E12</f>
        <v>0</v>
      </c>
      <c r="F74" s="148">
        <f>(F$8&gt;=YEAR(PhaseIIComplete))*'Assumptions-ResRental'!$E12</f>
        <v>0</v>
      </c>
      <c r="G74" s="148">
        <f>(G$8&gt;=YEAR(PhaseIIComplete))*'Assumptions-ResRental'!$E12</f>
        <v>1</v>
      </c>
      <c r="H74" s="148">
        <f>(H$8&gt;=YEAR(PhaseIIComplete))*'Assumptions-ResRental'!$E12</f>
        <v>1</v>
      </c>
      <c r="I74" s="148">
        <f>(I$8&gt;=YEAR(PhaseIIComplete))*'Assumptions-ResRental'!$E12</f>
        <v>1</v>
      </c>
      <c r="J74" s="148">
        <f>(J$8&gt;=YEAR(PhaseIIComplete))*'Assumptions-ResRental'!$E12</f>
        <v>1</v>
      </c>
      <c r="K74" s="148">
        <f>(K$8&gt;=YEAR(PhaseIIComplete))*'Assumptions-ResRental'!$E12</f>
        <v>1</v>
      </c>
      <c r="L74" s="148">
        <f>(L$8&gt;=YEAR(PhaseIIComplete))*'Assumptions-ResRental'!$E12</f>
        <v>1</v>
      </c>
      <c r="M74" s="148">
        <f>(M$8&gt;=YEAR(PhaseIIComplete))*'Assumptions-ResRental'!$E12</f>
        <v>1</v>
      </c>
      <c r="N74" s="149">
        <f>(N$8&gt;=YEAR(PhaseIIComplete))*'Assumptions-ResRental'!$E12</f>
        <v>1</v>
      </c>
    </row>
    <row r="75" spans="2:14" x14ac:dyDescent="0.65">
      <c r="B75" s="3"/>
      <c r="C75" s="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9"/>
    </row>
    <row r="76" spans="2:14" x14ac:dyDescent="0.65">
      <c r="B76" s="36" t="s">
        <v>580</v>
      </c>
      <c r="C76" s="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9"/>
    </row>
    <row r="77" spans="2:14" x14ac:dyDescent="0.65">
      <c r="B77" s="3" t="s">
        <v>13</v>
      </c>
      <c r="C77" s="8"/>
      <c r="D77" s="148">
        <f>(D$8&gt;=YEAR(PhaseIIComplete))*'Assumptions-ResRental'!$E17</f>
        <v>0</v>
      </c>
      <c r="E77" s="148">
        <f>(E$8&gt;=YEAR(PhaseIIComplete))*'Assumptions-ResRental'!$E17</f>
        <v>0</v>
      </c>
      <c r="F77" s="148">
        <f>(F$8&gt;=YEAR(PhaseIIComplete))*'Assumptions-ResRental'!$E17</f>
        <v>0</v>
      </c>
      <c r="G77" s="148">
        <f>(G$8&gt;=YEAR(PhaseIIComplete))*'Assumptions-ResRental'!$E17</f>
        <v>1</v>
      </c>
      <c r="H77" s="148">
        <f>(H$8&gt;=YEAR(PhaseIIComplete))*'Assumptions-ResRental'!$E17</f>
        <v>1</v>
      </c>
      <c r="I77" s="148">
        <f>(I$8&gt;=YEAR(PhaseIIComplete))*'Assumptions-ResRental'!$E17</f>
        <v>1</v>
      </c>
      <c r="J77" s="148">
        <f>(J$8&gt;=YEAR(PhaseIIComplete))*'Assumptions-ResRental'!$E17</f>
        <v>1</v>
      </c>
      <c r="K77" s="148">
        <f>(K$8&gt;=YEAR(PhaseIIComplete))*'Assumptions-ResRental'!$E17</f>
        <v>1</v>
      </c>
      <c r="L77" s="148">
        <f>(L$8&gt;=YEAR(PhaseIIComplete))*'Assumptions-ResRental'!$E17</f>
        <v>1</v>
      </c>
      <c r="M77" s="148">
        <f>(M$8&gt;=YEAR(PhaseIIComplete))*'Assumptions-ResRental'!$E17</f>
        <v>1</v>
      </c>
      <c r="N77" s="149">
        <f>(N$8&gt;=YEAR(PhaseIIComplete))*'Assumptions-ResRental'!$E17</f>
        <v>1</v>
      </c>
    </row>
    <row r="78" spans="2:14" x14ac:dyDescent="0.65">
      <c r="B78" s="3" t="s">
        <v>12</v>
      </c>
      <c r="C78" s="8"/>
      <c r="D78" s="148">
        <f>(D$8&gt;=YEAR(PhaseIIComplete))*'Assumptions-ResRental'!$E18</f>
        <v>0</v>
      </c>
      <c r="E78" s="148">
        <f>(E$8&gt;=YEAR(PhaseIIComplete))*'Assumptions-ResRental'!$E18</f>
        <v>0</v>
      </c>
      <c r="F78" s="148">
        <f>(F$8&gt;=YEAR(PhaseIIComplete))*'Assumptions-ResRental'!$E18</f>
        <v>0</v>
      </c>
      <c r="G78" s="148">
        <f>(G$8&gt;=YEAR(PhaseIIComplete))*'Assumptions-ResRental'!$E18</f>
        <v>2</v>
      </c>
      <c r="H78" s="148">
        <f>(H$8&gt;=YEAR(PhaseIIComplete))*'Assumptions-ResRental'!$E18</f>
        <v>2</v>
      </c>
      <c r="I78" s="148">
        <f>(I$8&gt;=YEAR(PhaseIIComplete))*'Assumptions-ResRental'!$E18</f>
        <v>2</v>
      </c>
      <c r="J78" s="148">
        <f>(J$8&gt;=YEAR(PhaseIIComplete))*'Assumptions-ResRental'!$E18</f>
        <v>2</v>
      </c>
      <c r="K78" s="148">
        <f>(K$8&gt;=YEAR(PhaseIIComplete))*'Assumptions-ResRental'!$E18</f>
        <v>2</v>
      </c>
      <c r="L78" s="148">
        <f>(L$8&gt;=YEAR(PhaseIIComplete))*'Assumptions-ResRental'!$E18</f>
        <v>2</v>
      </c>
      <c r="M78" s="148">
        <f>(M$8&gt;=YEAR(PhaseIIComplete))*'Assumptions-ResRental'!$E18</f>
        <v>2</v>
      </c>
      <c r="N78" s="149">
        <f>(N$8&gt;=YEAR(PhaseIIComplete))*'Assumptions-ResRental'!$E18</f>
        <v>2</v>
      </c>
    </row>
    <row r="79" spans="2:14" x14ac:dyDescent="0.65">
      <c r="B79" s="3" t="s">
        <v>11</v>
      </c>
      <c r="C79" s="8"/>
      <c r="D79" s="148">
        <f>(D$8&gt;=YEAR(PhaseIIComplete))*'Assumptions-ResRental'!$E19</f>
        <v>0</v>
      </c>
      <c r="E79" s="148">
        <f>(E$8&gt;=YEAR(PhaseIIComplete))*'Assumptions-ResRental'!$E19</f>
        <v>0</v>
      </c>
      <c r="F79" s="148">
        <f>(F$8&gt;=YEAR(PhaseIIComplete))*'Assumptions-ResRental'!$E19</f>
        <v>0</v>
      </c>
      <c r="G79" s="148">
        <f>(G$8&gt;=YEAR(PhaseIIComplete))*'Assumptions-ResRental'!$E19</f>
        <v>4</v>
      </c>
      <c r="H79" s="148">
        <f>(H$8&gt;=YEAR(PhaseIIComplete))*'Assumptions-ResRental'!$E19</f>
        <v>4</v>
      </c>
      <c r="I79" s="148">
        <f>(I$8&gt;=YEAR(PhaseIIComplete))*'Assumptions-ResRental'!$E19</f>
        <v>4</v>
      </c>
      <c r="J79" s="148">
        <f>(J$8&gt;=YEAR(PhaseIIComplete))*'Assumptions-ResRental'!$E19</f>
        <v>4</v>
      </c>
      <c r="K79" s="148">
        <f>(K$8&gt;=YEAR(PhaseIIComplete))*'Assumptions-ResRental'!$E19</f>
        <v>4</v>
      </c>
      <c r="L79" s="148">
        <f>(L$8&gt;=YEAR(PhaseIIComplete))*'Assumptions-ResRental'!$E19</f>
        <v>4</v>
      </c>
      <c r="M79" s="148">
        <f>(M$8&gt;=YEAR(PhaseIIComplete))*'Assumptions-ResRental'!$E19</f>
        <v>4</v>
      </c>
      <c r="N79" s="149">
        <f>(N$8&gt;=YEAR(PhaseIIComplete))*'Assumptions-ResRental'!$E19</f>
        <v>4</v>
      </c>
    </row>
    <row r="80" spans="2:14" x14ac:dyDescent="0.65">
      <c r="B80" s="3" t="s">
        <v>10</v>
      </c>
      <c r="C80" s="8"/>
      <c r="D80" s="148">
        <f>(D$8&gt;=YEAR(PhaseIIComplete))*'Assumptions-ResRental'!$E20</f>
        <v>0</v>
      </c>
      <c r="E80" s="148">
        <f>(E$8&gt;=YEAR(PhaseIIComplete))*'Assumptions-ResRental'!$E20</f>
        <v>0</v>
      </c>
      <c r="F80" s="148">
        <f>(F$8&gt;=YEAR(PhaseIIComplete))*'Assumptions-ResRental'!$E20</f>
        <v>0</v>
      </c>
      <c r="G80" s="148">
        <f>(G$8&gt;=YEAR(PhaseIIComplete))*'Assumptions-ResRental'!$E20</f>
        <v>1</v>
      </c>
      <c r="H80" s="148">
        <f>(H$8&gt;=YEAR(PhaseIIComplete))*'Assumptions-ResRental'!$E20</f>
        <v>1</v>
      </c>
      <c r="I80" s="148">
        <f>(I$8&gt;=YEAR(PhaseIIComplete))*'Assumptions-ResRental'!$E20</f>
        <v>1</v>
      </c>
      <c r="J80" s="148">
        <f>(J$8&gt;=YEAR(PhaseIIComplete))*'Assumptions-ResRental'!$E20</f>
        <v>1</v>
      </c>
      <c r="K80" s="148">
        <f>(K$8&gt;=YEAR(PhaseIIComplete))*'Assumptions-ResRental'!$E20</f>
        <v>1</v>
      </c>
      <c r="L80" s="148">
        <f>(L$8&gt;=YEAR(PhaseIIComplete))*'Assumptions-ResRental'!$E20</f>
        <v>1</v>
      </c>
      <c r="M80" s="148">
        <f>(M$8&gt;=YEAR(PhaseIIComplete))*'Assumptions-ResRental'!$E20</f>
        <v>1</v>
      </c>
      <c r="N80" s="149">
        <f>(N$8&gt;=YEAR(PhaseIIComplete))*'Assumptions-ResRental'!$E20</f>
        <v>1</v>
      </c>
    </row>
    <row r="81" spans="2:14" x14ac:dyDescent="0.65">
      <c r="B81" s="3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9"/>
    </row>
    <row r="82" spans="2:14" x14ac:dyDescent="0.65">
      <c r="B82" s="36" t="s">
        <v>206</v>
      </c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9"/>
    </row>
    <row r="83" spans="2:14" x14ac:dyDescent="0.65">
      <c r="B83" s="3" t="s">
        <v>199</v>
      </c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9"/>
    </row>
    <row r="84" spans="2:14" x14ac:dyDescent="0.65">
      <c r="B84" s="150" t="s">
        <v>162</v>
      </c>
      <c r="C84" s="8"/>
      <c r="D84" s="146">
        <f>SUMPRODUCT(D71:D74,'Assumptions-ResRental'!$M$8:$M$11)*(1+'Assumptions-Overall'!$C$35)^('CashFlow-ResRental'!D$7-1)</f>
        <v>0</v>
      </c>
      <c r="E84" s="146">
        <f>SUMPRODUCT(E71:E74,'Assumptions-ResRental'!$M$8:$M$11)*(1+'Assumptions-Overall'!$C$35)^('CashFlow-ResRental'!E$7-1)</f>
        <v>0</v>
      </c>
      <c r="F84" s="146">
        <f>SUMPRODUCT(F71:F74,'Assumptions-ResRental'!$M$8:$M$11)*(1+'Assumptions-Overall'!$C$35)^('CashFlow-ResRental'!F$7-1)</f>
        <v>0</v>
      </c>
      <c r="G84" s="146">
        <f>SUMPRODUCT(G71:G74,'Assumptions-ResRental'!$M$8:$M$11)*(1+'Assumptions-Overall'!$C$35)^('CashFlow-ResRental'!G$7-1)</f>
        <v>1536490.7989725992</v>
      </c>
      <c r="H84" s="146">
        <f>SUMPRODUCT(H71:H74,'Assumptions-ResRental'!$M$8:$M$11)*(1+'Assumptions-Overall'!$C$35)^('CashFlow-ResRental'!H$7-1)</f>
        <v>1582585.522941777</v>
      </c>
      <c r="I84" s="146">
        <f>SUMPRODUCT(I71:I74,'Assumptions-ResRental'!$M$8:$M$11)*(1+'Assumptions-Overall'!$C$35)^('CashFlow-ResRental'!I$7-1)</f>
        <v>1630063.0886300302</v>
      </c>
      <c r="J84" s="146">
        <f>SUMPRODUCT(J71:J74,'Assumptions-ResRental'!$M$8:$M$11)*(1+'Assumptions-Overall'!$C$35)^('CashFlow-ResRental'!J$7-1)</f>
        <v>1678964.9812889311</v>
      </c>
      <c r="K84" s="146">
        <f>SUMPRODUCT(K71:K74,'Assumptions-ResRental'!$M$8:$M$11)*(1+'Assumptions-Overall'!$C$35)^('CashFlow-ResRental'!K$7-1)</f>
        <v>1729333.9307275992</v>
      </c>
      <c r="L84" s="146">
        <f>SUMPRODUCT(L71:L74,'Assumptions-ResRental'!$M$8:$M$11)*(1+'Assumptions-Overall'!$C$35)^('CashFlow-ResRental'!L$7-1)</f>
        <v>1781213.9486494269</v>
      </c>
      <c r="M84" s="146">
        <f>SUMPRODUCT(M71:M74,'Assumptions-ResRental'!$M$8:$M$11)*(1+'Assumptions-Overall'!$C$35)^('CashFlow-ResRental'!M$7-1)</f>
        <v>1834650.3671089099</v>
      </c>
      <c r="N84" s="151">
        <f>SUMPRODUCT(N71:N74,'Assumptions-ResRental'!$M$8:$M$11)*(1+'Assumptions-Overall'!$C$35)^('CashFlow-ResRental'!N$7-1)</f>
        <v>1889689.8781221772</v>
      </c>
    </row>
    <row r="85" spans="2:14" x14ac:dyDescent="0.65">
      <c r="B85" s="150" t="s">
        <v>285</v>
      </c>
      <c r="C85" s="8"/>
      <c r="D85" s="144">
        <f>SUMPRODUCT(D77:D80,'Assumptions-ResRental'!$S$8:$S$11)*(1+'Assumptions-Overall'!$C$36)^('CashFlow-ResRental'!D$7-1)</f>
        <v>0</v>
      </c>
      <c r="E85" s="144">
        <f>SUMPRODUCT(E77:E80,'Assumptions-ResRental'!$S$8:$S$11)*(1+'Assumptions-Overall'!$C$36)^('CashFlow-ResRental'!E$7-1)</f>
        <v>0</v>
      </c>
      <c r="F85" s="144">
        <f>SUMPRODUCT(F77:F80,'Assumptions-ResRental'!$S$8:$S$11)*(1+'Assumptions-Overall'!$C$36)^('CashFlow-ResRental'!F$7-1)</f>
        <v>0</v>
      </c>
      <c r="G85" s="144">
        <f>SUMPRODUCT(G77:G80,'Assumptions-ResRental'!$S$8:$S$11)*(1+'Assumptions-Overall'!$C$36)^('CashFlow-ResRental'!G$7-1)</f>
        <v>106213.19806190292</v>
      </c>
      <c r="H85" s="144">
        <f>SUMPRODUCT(H77:H80,'Assumptions-ResRental'!$S$8:$S$11)*(1+'Assumptions-Overall'!$C$36)^('CashFlow-ResRental'!H$7-1)</f>
        <v>109399.59400375999</v>
      </c>
      <c r="I85" s="144">
        <f>SUMPRODUCT(I77:I80,'Assumptions-ResRental'!$S$8:$S$11)*(1+'Assumptions-Overall'!$C$36)^('CashFlow-ResRental'!I$7-1)</f>
        <v>112681.5818238728</v>
      </c>
      <c r="J85" s="144">
        <f>SUMPRODUCT(J77:J80,'Assumptions-ResRental'!$S$8:$S$11)*(1+'Assumptions-Overall'!$C$36)^('CashFlow-ResRental'!J$7-1)</f>
        <v>116062.02927858899</v>
      </c>
      <c r="K85" s="144">
        <f>SUMPRODUCT(K77:K80,'Assumptions-ResRental'!$S$8:$S$11)*(1+'Assumptions-Overall'!$C$36)^('CashFlow-ResRental'!K$7-1)</f>
        <v>119543.89015694667</v>
      </c>
      <c r="L85" s="144">
        <f>SUMPRODUCT(L77:L80,'Assumptions-ResRental'!$S$8:$S$11)*(1+'Assumptions-Overall'!$C$36)^('CashFlow-ResRental'!L$7-1)</f>
        <v>123130.20686165505</v>
      </c>
      <c r="M85" s="144">
        <f>SUMPRODUCT(M77:M80,'Assumptions-ResRental'!$S$8:$S$11)*(1+'Assumptions-Overall'!$C$36)^('CashFlow-ResRental'!M$7-1)</f>
        <v>126824.1130675047</v>
      </c>
      <c r="N85" s="152">
        <f>SUMPRODUCT(N77:N80,'Assumptions-ResRental'!$S$8:$S$11)*(1+'Assumptions-Overall'!$C$36)^('CashFlow-ResRental'!N$7-1)</f>
        <v>130628.83645952985</v>
      </c>
    </row>
    <row r="86" spans="2:14" x14ac:dyDescent="0.65">
      <c r="B86" s="3" t="s">
        <v>200</v>
      </c>
      <c r="C86" s="8"/>
      <c r="D86" s="146">
        <f>SUM(D84:D85)</f>
        <v>0</v>
      </c>
      <c r="E86" s="146">
        <f t="shared" ref="E86" si="21">SUM(E84:E85)</f>
        <v>0</v>
      </c>
      <c r="F86" s="146">
        <f t="shared" ref="F86" si="22">SUM(F84:F85)</f>
        <v>0</v>
      </c>
      <c r="G86" s="146">
        <f t="shared" ref="G86" si="23">SUM(G84:G85)</f>
        <v>1642703.9970345022</v>
      </c>
      <c r="H86" s="146">
        <f t="shared" ref="H86" si="24">SUM(H84:H85)</f>
        <v>1691985.116945537</v>
      </c>
      <c r="I86" s="146">
        <f t="shared" ref="I86" si="25">SUM(I84:I85)</f>
        <v>1742744.670453903</v>
      </c>
      <c r="J86" s="146">
        <f t="shared" ref="J86" si="26">SUM(J84:J85)</f>
        <v>1795027.01056752</v>
      </c>
      <c r="K86" s="146">
        <f t="shared" ref="K86" si="27">SUM(K84:K85)</f>
        <v>1848877.8208845458</v>
      </c>
      <c r="L86" s="146">
        <f t="shared" ref="L86" si="28">SUM(L84:L85)</f>
        <v>1904344.1555110819</v>
      </c>
      <c r="M86" s="146">
        <f t="shared" ref="M86" si="29">SUM(M84:M85)</f>
        <v>1961474.4801764146</v>
      </c>
      <c r="N86" s="151">
        <f t="shared" ref="N86" si="30">SUM(N84:N85)</f>
        <v>2020318.714581707</v>
      </c>
    </row>
    <row r="87" spans="2:14" x14ac:dyDescent="0.65">
      <c r="B87" s="3"/>
      <c r="C87" s="8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51"/>
    </row>
    <row r="88" spans="2:14" x14ac:dyDescent="0.65">
      <c r="B88" s="3" t="s">
        <v>201</v>
      </c>
      <c r="C88" s="8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51"/>
    </row>
    <row r="89" spans="2:14" x14ac:dyDescent="0.65">
      <c r="B89" s="150" t="s">
        <v>202</v>
      </c>
      <c r="C89" s="8"/>
      <c r="D89" s="146">
        <f>-D84*'Assumptions-ResRental'!$I$15</f>
        <v>0</v>
      </c>
      <c r="E89" s="146">
        <f>-E84*'Assumptions-ResRental'!$I$15</f>
        <v>0</v>
      </c>
      <c r="F89" s="146">
        <f>-F84*'Assumptions-ResRental'!$I$15</f>
        <v>0</v>
      </c>
      <c r="G89" s="146">
        <f>-G84*'Assumptions-ResRental'!$I$15</f>
        <v>-153649.07989725992</v>
      </c>
      <c r="H89" s="146">
        <f>-H84*'Assumptions-ResRental'!$I$15</f>
        <v>-158258.5522941777</v>
      </c>
      <c r="I89" s="146">
        <f>-I84*'Assumptions-ResRental'!$I$15</f>
        <v>-163006.30886300304</v>
      </c>
      <c r="J89" s="146">
        <f>-J84*'Assumptions-ResRental'!$I$15</f>
        <v>-167896.49812889312</v>
      </c>
      <c r="K89" s="146">
        <f>-K84*'Assumptions-ResRental'!$I$15</f>
        <v>-172933.39307275994</v>
      </c>
      <c r="L89" s="146">
        <f>-L84*'Assumptions-ResRental'!$I$15</f>
        <v>-178121.3948649427</v>
      </c>
      <c r="M89" s="146">
        <f>-M84*'Assumptions-ResRental'!$I$15</f>
        <v>-183465.036710891</v>
      </c>
      <c r="N89" s="151">
        <f>-N84*'Assumptions-ResRental'!$I$15</f>
        <v>-188968.98781221773</v>
      </c>
    </row>
    <row r="90" spans="2:14" x14ac:dyDescent="0.65">
      <c r="B90" s="150" t="s">
        <v>581</v>
      </c>
      <c r="C90" s="8"/>
      <c r="D90" s="146">
        <f>-D85*'Assumptions-ResRental'!$I$16</f>
        <v>0</v>
      </c>
      <c r="E90" s="146">
        <f>-E85*'Assumptions-ResRental'!$I$16</f>
        <v>0</v>
      </c>
      <c r="F90" s="146">
        <f>-F85*'Assumptions-ResRental'!$I$16</f>
        <v>0</v>
      </c>
      <c r="G90" s="146">
        <f>-G85*'Assumptions-ResRental'!$I$16</f>
        <v>-5523.0862992189514</v>
      </c>
      <c r="H90" s="146">
        <f>-H85*'Assumptions-ResRental'!$I$16</f>
        <v>-5688.7788881955194</v>
      </c>
      <c r="I90" s="146">
        <f>-I85*'Assumptions-ResRental'!$I$16</f>
        <v>-5859.442254841385</v>
      </c>
      <c r="J90" s="146">
        <f>-J85*'Assumptions-ResRental'!$I$16</f>
        <v>-6035.2255224866276</v>
      </c>
      <c r="K90" s="146">
        <f>-K85*'Assumptions-ResRental'!$I$16</f>
        <v>-6216.2822881612265</v>
      </c>
      <c r="L90" s="146">
        <f>-L85*'Assumptions-ResRental'!$I$16</f>
        <v>-6402.7707568060623</v>
      </c>
      <c r="M90" s="146">
        <f>-M85*'Assumptions-ResRental'!$I$16</f>
        <v>-6594.853879510244</v>
      </c>
      <c r="N90" s="151">
        <f>-N85*'Assumptions-ResRental'!$I$16</f>
        <v>-6792.699495895552</v>
      </c>
    </row>
    <row r="91" spans="2:14" x14ac:dyDescent="0.65">
      <c r="B91" s="150" t="s">
        <v>203</v>
      </c>
      <c r="C91" s="8"/>
      <c r="D91" s="144">
        <f>-(C86=0)*(D86*'Assumptions-ResRental'!$I$20+SUM('CashFlow-ResRental'!D89:D90))</f>
        <v>0</v>
      </c>
      <c r="E91" s="144">
        <f>-(D86=0)*(E86*'Assumptions-ResRental'!$I$20+SUM('CashFlow-ResRental'!E89:E90))</f>
        <v>0</v>
      </c>
      <c r="F91" s="144">
        <f>-(E86=0)*(F86*'Assumptions-ResRental'!$I$20+SUM('CashFlow-ResRental'!F89:F90))</f>
        <v>0</v>
      </c>
      <c r="G91" s="144">
        <f>-(F86=0)*(G86*'Assumptions-ResRental'!$I$20+SUM('CashFlow-ResRental'!G89:G90))</f>
        <v>-333639.03291387175</v>
      </c>
      <c r="H91" s="144">
        <f>-(G86=0)*(H86*'Assumptions-ResRental'!$I$20+SUM('CashFlow-ResRental'!H89:H90))</f>
        <v>0</v>
      </c>
      <c r="I91" s="144">
        <f>-(H86=0)*(I86*'Assumptions-ResRental'!$I$20+SUM('CashFlow-ResRental'!I89:I90))</f>
        <v>0</v>
      </c>
      <c r="J91" s="144">
        <f>-(I86=0)*(J86*'Assumptions-ResRental'!$I$20+SUM('CashFlow-ResRental'!J89:J90))</f>
        <v>0</v>
      </c>
      <c r="K91" s="144">
        <f>-(J86=0)*(K86*'Assumptions-ResRental'!$I$20+SUM('CashFlow-ResRental'!K89:K90))</f>
        <v>0</v>
      </c>
      <c r="L91" s="144">
        <f>-(K86=0)*(L86*'Assumptions-ResRental'!$I$20+SUM('CashFlow-ResRental'!L89:L90))</f>
        <v>0</v>
      </c>
      <c r="M91" s="144">
        <f>-(L86=0)*(M86*'Assumptions-ResRental'!$I$20+SUM('CashFlow-ResRental'!M89:M90))</f>
        <v>0</v>
      </c>
      <c r="N91" s="152">
        <f>-(M86=0)*(N86*'Assumptions-ResRental'!$I$20+SUM('CashFlow-ResRental'!N89:N90))</f>
        <v>0</v>
      </c>
    </row>
    <row r="92" spans="2:14" x14ac:dyDescent="0.65">
      <c r="B92" s="3" t="s">
        <v>204</v>
      </c>
      <c r="C92" s="8"/>
      <c r="D92" s="146">
        <f>SUM(D89:D91)</f>
        <v>0</v>
      </c>
      <c r="E92" s="146">
        <f t="shared" ref="E92" si="31">SUM(E89:E91)</f>
        <v>0</v>
      </c>
      <c r="F92" s="146">
        <f t="shared" ref="F92" si="32">SUM(F89:F91)</f>
        <v>0</v>
      </c>
      <c r="G92" s="146">
        <f t="shared" ref="G92" si="33">SUM(G89:G91)</f>
        <v>-492811.19911035063</v>
      </c>
      <c r="H92" s="146">
        <f t="shared" ref="H92" si="34">SUM(H89:H91)</f>
        <v>-163947.33118237322</v>
      </c>
      <c r="I92" s="146">
        <f t="shared" ref="I92" si="35">SUM(I89:I91)</f>
        <v>-168865.75111784443</v>
      </c>
      <c r="J92" s="146">
        <f t="shared" ref="J92" si="36">SUM(J89:J91)</f>
        <v>-173931.72365137975</v>
      </c>
      <c r="K92" s="146">
        <f t="shared" ref="K92" si="37">SUM(K89:K91)</f>
        <v>-179149.67536092116</v>
      </c>
      <c r="L92" s="146">
        <f t="shared" ref="L92" si="38">SUM(L89:L91)</f>
        <v>-184524.16562174878</v>
      </c>
      <c r="M92" s="146">
        <f t="shared" ref="M92" si="39">SUM(M89:M91)</f>
        <v>-190059.89059040125</v>
      </c>
      <c r="N92" s="151">
        <f t="shared" ref="N92" si="40">SUM(N89:N91)</f>
        <v>-195761.68730811329</v>
      </c>
    </row>
    <row r="93" spans="2:14" x14ac:dyDescent="0.65">
      <c r="B93" s="3"/>
      <c r="C93" s="8"/>
      <c r="D93" s="146"/>
      <c r="E93" s="146"/>
      <c r="F93" s="146"/>
      <c r="G93" s="146"/>
      <c r="H93" s="146"/>
      <c r="I93" s="146"/>
      <c r="J93" s="127"/>
      <c r="K93" s="127"/>
      <c r="L93" s="127"/>
      <c r="M93" s="127"/>
      <c r="N93" s="157"/>
    </row>
    <row r="94" spans="2:14" x14ac:dyDescent="0.65">
      <c r="B94" s="3" t="s">
        <v>205</v>
      </c>
      <c r="C94" s="8"/>
      <c r="D94" s="145">
        <f>D86+D92</f>
        <v>0</v>
      </c>
      <c r="E94" s="145">
        <f t="shared" ref="E94:N94" si="41">E86+E92</f>
        <v>0</v>
      </c>
      <c r="F94" s="145">
        <f t="shared" si="41"/>
        <v>0</v>
      </c>
      <c r="G94" s="145">
        <f t="shared" si="41"/>
        <v>1149892.7979241516</v>
      </c>
      <c r="H94" s="145">
        <f t="shared" si="41"/>
        <v>1528037.7857631638</v>
      </c>
      <c r="I94" s="145">
        <f t="shared" si="41"/>
        <v>1573878.9193360587</v>
      </c>
      <c r="J94" s="145">
        <f t="shared" si="41"/>
        <v>1621095.2869161402</v>
      </c>
      <c r="K94" s="145">
        <f t="shared" si="41"/>
        <v>1669728.1455236247</v>
      </c>
      <c r="L94" s="145">
        <f t="shared" si="41"/>
        <v>1719819.989889333</v>
      </c>
      <c r="M94" s="145">
        <f t="shared" si="41"/>
        <v>1771414.5895860135</v>
      </c>
      <c r="N94" s="153">
        <f t="shared" si="41"/>
        <v>1824557.0272735937</v>
      </c>
    </row>
    <row r="95" spans="2:14" x14ac:dyDescent="0.65">
      <c r="B95" s="3"/>
      <c r="C95" s="8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51"/>
    </row>
    <row r="96" spans="2:14" x14ac:dyDescent="0.65">
      <c r="B96" s="3" t="s">
        <v>207</v>
      </c>
      <c r="C96" s="8"/>
      <c r="D96" s="146">
        <f>-D94*'Assumptions-ResRental'!$I$20</f>
        <v>0</v>
      </c>
      <c r="E96" s="146">
        <f>-E94*'Assumptions-ResRental'!$I$20</f>
        <v>0</v>
      </c>
      <c r="F96" s="146">
        <f>-F94*'Assumptions-ResRental'!$I$20</f>
        <v>0</v>
      </c>
      <c r="G96" s="146">
        <f>-G94*'Assumptions-ResRental'!$I$20</f>
        <v>-344967.83937724546</v>
      </c>
      <c r="H96" s="146">
        <f>-H94*'Assumptions-ResRental'!$I$20</f>
        <v>-458411.33572894911</v>
      </c>
      <c r="I96" s="146">
        <f>-I94*'Assumptions-ResRental'!$I$20</f>
        <v>-472163.67580081755</v>
      </c>
      <c r="J96" s="146">
        <f>-J94*'Assumptions-ResRental'!$I$20</f>
        <v>-486328.58607484202</v>
      </c>
      <c r="K96" s="146">
        <f>-K94*'Assumptions-ResRental'!$I$20</f>
        <v>-500918.44365708739</v>
      </c>
      <c r="L96" s="146">
        <f>-L94*'Assumptions-ResRental'!$I$20</f>
        <v>-515945.9969667999</v>
      </c>
      <c r="M96" s="146">
        <f>-M94*'Assumptions-ResRental'!$I$20</f>
        <v>-531424.37687580404</v>
      </c>
      <c r="N96" s="151">
        <f>-N94*'Assumptions-ResRental'!$I$20</f>
        <v>-547367.10818207811</v>
      </c>
    </row>
    <row r="97" spans="2:14" x14ac:dyDescent="0.65">
      <c r="B97" s="3"/>
      <c r="C97" s="8"/>
      <c r="D97" s="146"/>
      <c r="E97" s="146"/>
      <c r="F97" s="146"/>
      <c r="G97" s="146"/>
      <c r="H97" s="146"/>
      <c r="I97" s="146"/>
      <c r="J97" s="146"/>
      <c r="K97" s="146"/>
      <c r="L97" s="146"/>
      <c r="M97" s="146"/>
      <c r="N97" s="151"/>
    </row>
    <row r="98" spans="2:14" x14ac:dyDescent="0.65">
      <c r="B98" s="3" t="s">
        <v>209</v>
      </c>
      <c r="C98" s="8"/>
      <c r="D98" s="145">
        <f>SUM(D94:D96)</f>
        <v>0</v>
      </c>
      <c r="E98" s="145">
        <f t="shared" ref="E98:N98" si="42">SUM(E94:E96)</f>
        <v>0</v>
      </c>
      <c r="F98" s="145">
        <f t="shared" si="42"/>
        <v>0</v>
      </c>
      <c r="G98" s="145">
        <f t="shared" si="42"/>
        <v>804924.95854690624</v>
      </c>
      <c r="H98" s="145">
        <f t="shared" si="42"/>
        <v>1069626.4500342146</v>
      </c>
      <c r="I98" s="145">
        <f t="shared" si="42"/>
        <v>1101715.2435352411</v>
      </c>
      <c r="J98" s="145">
        <f t="shared" si="42"/>
        <v>1134766.7008412983</v>
      </c>
      <c r="K98" s="145">
        <f t="shared" si="42"/>
        <v>1168809.7018665373</v>
      </c>
      <c r="L98" s="145">
        <f t="shared" si="42"/>
        <v>1203873.9929225331</v>
      </c>
      <c r="M98" s="145">
        <f t="shared" si="42"/>
        <v>1239990.2127102094</v>
      </c>
      <c r="N98" s="153">
        <f t="shared" si="42"/>
        <v>1277189.9190915157</v>
      </c>
    </row>
    <row r="99" spans="2:14" x14ac:dyDescent="0.65">
      <c r="B99" s="3"/>
      <c r="C99" s="8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51"/>
    </row>
    <row r="100" spans="2:14" x14ac:dyDescent="0.65">
      <c r="B100" s="3" t="s">
        <v>189</v>
      </c>
      <c r="C100" s="8"/>
      <c r="D100" s="146">
        <f>-SUM(D71:D80)*'Assumptions-ResRental'!$I$22*(1+'Assumptions-Overall'!$C$40)^('CashFlow-ResRental'!D$7-1)</f>
        <v>0</v>
      </c>
      <c r="E100" s="146">
        <f>-SUM(E71:E80)*'Assumptions-ResRental'!$I$22*(1+'Assumptions-Overall'!$C$40)^('CashFlow-ResRental'!E$7-1)</f>
        <v>0</v>
      </c>
      <c r="F100" s="146">
        <f>-SUM(F71:F80)*'Assumptions-ResRental'!$I$22*(1+'Assumptions-Overall'!$C$40)^('CashFlow-ResRental'!F$7-1)</f>
        <v>0</v>
      </c>
      <c r="G100" s="146">
        <f>-SUM(G71:G80)*'Assumptions-ResRental'!$I$22*(1+'Assumptions-Overall'!$C$40)^('CashFlow-ResRental'!G$7-1)</f>
        <v>-26881.084200000001</v>
      </c>
      <c r="H100" s="146">
        <f>-SUM(H71:H80)*'Assumptions-ResRental'!$I$22*(1+'Assumptions-Overall'!$C$40)^('CashFlow-ResRental'!H$7-1)</f>
        <v>-27687.516725999998</v>
      </c>
      <c r="I100" s="146">
        <f>-SUM(I71:I80)*'Assumptions-ResRental'!$I$22*(1+'Assumptions-Overall'!$C$40)^('CashFlow-ResRental'!I$7-1)</f>
        <v>-28518.142227779997</v>
      </c>
      <c r="J100" s="146">
        <f>-SUM(J71:J80)*'Assumptions-ResRental'!$I$22*(1+'Assumptions-Overall'!$C$40)^('CashFlow-ResRental'!J$7-1)</f>
        <v>-29373.686494613397</v>
      </c>
      <c r="K100" s="146">
        <f>-SUM(K71:K80)*'Assumptions-ResRental'!$I$22*(1+'Assumptions-Overall'!$C$40)^('CashFlow-ResRental'!K$7-1)</f>
        <v>-30254.897089451802</v>
      </c>
      <c r="L100" s="146">
        <f>-SUM(L71:L80)*'Assumptions-ResRental'!$I$22*(1+'Assumptions-Overall'!$C$40)^('CashFlow-ResRental'!L$7-1)</f>
        <v>-31162.544002135353</v>
      </c>
      <c r="M100" s="146">
        <f>-SUM(M71:M80)*'Assumptions-ResRental'!$I$22*(1+'Assumptions-Overall'!$C$40)^('CashFlow-ResRental'!M$7-1)</f>
        <v>-32097.420322199414</v>
      </c>
      <c r="N100" s="151"/>
    </row>
    <row r="101" spans="2:14" x14ac:dyDescent="0.65">
      <c r="B101" s="3"/>
      <c r="C101" s="8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51"/>
    </row>
    <row r="102" spans="2:14" x14ac:dyDescent="0.65">
      <c r="B102" s="3" t="s">
        <v>208</v>
      </c>
      <c r="C102" s="8"/>
      <c r="D102" s="145">
        <f>SUM(D98:D100)</f>
        <v>0</v>
      </c>
      <c r="E102" s="145">
        <f t="shared" ref="E102:M102" si="43">SUM(E98:E100)</f>
        <v>0</v>
      </c>
      <c r="F102" s="145">
        <f t="shared" si="43"/>
        <v>0</v>
      </c>
      <c r="G102" s="145">
        <f t="shared" si="43"/>
        <v>778043.8743469062</v>
      </c>
      <c r="H102" s="145">
        <f t="shared" si="43"/>
        <v>1041938.9333082146</v>
      </c>
      <c r="I102" s="145">
        <f t="shared" si="43"/>
        <v>1073197.101307461</v>
      </c>
      <c r="J102" s="145">
        <f t="shared" si="43"/>
        <v>1105393.014346685</v>
      </c>
      <c r="K102" s="145">
        <f t="shared" si="43"/>
        <v>1138554.8047770855</v>
      </c>
      <c r="L102" s="145">
        <f t="shared" si="43"/>
        <v>1172711.4489203978</v>
      </c>
      <c r="M102" s="145">
        <f t="shared" si="43"/>
        <v>1207892.7923880101</v>
      </c>
      <c r="N102" s="151"/>
    </row>
    <row r="103" spans="2:14" x14ac:dyDescent="0.65">
      <c r="B103" s="3"/>
      <c r="C103" s="8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51"/>
    </row>
    <row r="104" spans="2:14" x14ac:dyDescent="0.65">
      <c r="B104" s="36" t="s">
        <v>130</v>
      </c>
      <c r="C104" s="8"/>
      <c r="D104" s="146"/>
      <c r="E104" s="146"/>
      <c r="F104" s="146"/>
      <c r="G104" s="146"/>
      <c r="H104" s="146"/>
      <c r="I104" s="146"/>
      <c r="J104" s="146"/>
      <c r="K104" s="146"/>
      <c r="L104" s="146"/>
      <c r="M104" s="146"/>
      <c r="N104" s="151"/>
    </row>
    <row r="105" spans="2:14" x14ac:dyDescent="0.65">
      <c r="B105" s="3" t="s">
        <v>210</v>
      </c>
      <c r="C105" s="8"/>
      <c r="D105" s="146">
        <f>-(AND(D$8&gt;=YEAR(PhaseIIConBegin),D$8&lt;=YEAR(PhaseIIConEnd)))*SUM($D68:$N68)*('Assumptions-Overall'!$J$10+'Assumptions-Overall'!$J$12)*(1+'Assumptions-Overall'!$C$41)^('CashFlow-ResRental'!D$7-1)/(YEAR(PhaseIIConEnd)-YEAR(PhaseIIConBegin)+1)</f>
        <v>0</v>
      </c>
      <c r="E105" s="146">
        <f>-(AND(E$8&gt;=YEAR(PhaseIIConBegin),E$8&lt;=YEAR(PhaseIIConEnd)))*SUM($D68:$N68)*('Assumptions-Overall'!$J$10+'Assumptions-Overall'!$J$12)*(1+'Assumptions-Overall'!$C$41)^('CashFlow-ResRental'!E$7-1)/(YEAR(PhaseIIConEnd)-YEAR(PhaseIIConBegin)+1)</f>
        <v>0</v>
      </c>
      <c r="F105" s="146">
        <f>-(AND(F$8&gt;=YEAR(PhaseIIConBegin),F$8&lt;=YEAR(PhaseIIConEnd)))*SUM($D68:$N68)*('Assumptions-Overall'!$J$10+'Assumptions-Overall'!$J$12)*(1+'Assumptions-Overall'!$C$41)^('CashFlow-ResRental'!F$7-1)/(YEAR(PhaseIIConEnd)-YEAR(PhaseIIConBegin)+1)</f>
        <v>-6149985.7291205497</v>
      </c>
      <c r="G105" s="146">
        <f>-(AND(G$8&gt;=YEAR(PhaseIIConBegin),G$8&lt;=YEAR(PhaseIIConEnd)))*SUM($D68:$N68)*('Assumptions-Overall'!$J$10+'Assumptions-Overall'!$J$12)*(1+'Assumptions-Overall'!$C$41)^('CashFlow-ResRental'!G$7-1)/(YEAR(PhaseIIConEnd)-YEAR(PhaseIIConBegin)+1)</f>
        <v>-6334485.3009941662</v>
      </c>
      <c r="H105" s="146">
        <f>-(AND(H$8&gt;=YEAR(PhaseIIConBegin),H$8&lt;=YEAR(PhaseIIConEnd)))*SUM($D68:$N68)*('Assumptions-Overall'!$J$10+'Assumptions-Overall'!$J$12)*(1+'Assumptions-Overall'!$C$41)^('CashFlow-ResRental'!H$7-1)/(YEAR(PhaseIIConEnd)-YEAR(PhaseIIConBegin)+1)</f>
        <v>0</v>
      </c>
      <c r="I105" s="146">
        <f>-(AND(I$8&gt;=YEAR(PhaseIIConBegin),I$8&lt;=YEAR(PhaseIIConEnd)))*SUM($D68:$N68)*('Assumptions-Overall'!$J$10+'Assumptions-Overall'!$J$12)*(1+'Assumptions-Overall'!$C$41)^('CashFlow-ResRental'!I$7-1)/(YEAR(PhaseIIConEnd)-YEAR(PhaseIIConBegin)+1)</f>
        <v>0</v>
      </c>
      <c r="J105" s="146">
        <f>-(AND(J$8&gt;=YEAR(PhaseIIConBegin),J$8&lt;=YEAR(PhaseIIConEnd)))*SUM($D68:$N68)*('Assumptions-Overall'!$J$10+'Assumptions-Overall'!$J$12)*(1+'Assumptions-Overall'!$C$41)^('CashFlow-ResRental'!J$7-1)/(YEAR(PhaseIIConEnd)-YEAR(PhaseIIConBegin)+1)</f>
        <v>0</v>
      </c>
      <c r="K105" s="146">
        <f>-(AND(K$8&gt;=YEAR(PhaseIIConBegin),K$8&lt;=YEAR(PhaseIIConEnd)))*SUM($D68:$N68)*('Assumptions-Overall'!$J$10+'Assumptions-Overall'!$J$12)*(1+'Assumptions-Overall'!$C$41)^('CashFlow-ResRental'!K$7-1)/(YEAR(PhaseIIConEnd)-YEAR(PhaseIIConBegin)+1)</f>
        <v>0</v>
      </c>
      <c r="L105" s="146">
        <f>-(AND(L$8&gt;=YEAR(PhaseIIConBegin),L$8&lt;=YEAR(PhaseIIConEnd)))*SUM($D68:$N68)*('Assumptions-Overall'!$J$10+'Assumptions-Overall'!$J$12)*(1+'Assumptions-Overall'!$C$41)^('CashFlow-ResRental'!L$7-1)/(YEAR(PhaseIIConEnd)-YEAR(PhaseIIConBegin)+1)</f>
        <v>0</v>
      </c>
      <c r="M105" s="146">
        <f>-(AND(M$8&gt;=YEAR(PhaseIIConBegin),M$8&lt;=YEAR(PhaseIIConEnd)))*SUM($D68:$N68)*('Assumptions-Overall'!$J$10+'Assumptions-Overall'!$J$12)*(1+'Assumptions-Overall'!$C$41)^('CashFlow-ResRental'!M$7-1)/(YEAR(PhaseIIConEnd)-YEAR(PhaseIIConBegin)+1)</f>
        <v>0</v>
      </c>
      <c r="N105" s="151"/>
    </row>
    <row r="106" spans="2:14" x14ac:dyDescent="0.65">
      <c r="B106" s="3" t="s">
        <v>211</v>
      </c>
      <c r="C106" s="8"/>
      <c r="D106" s="146">
        <f>(AND(D$8&gt;=YEAR(PhaseIIPreconBegin),D$8&lt;=YEAR(PhaseIIConEnd)))*SUM($D105:$N105)*'Assumptions-Overall'!$H$43/(YEAR(PhaseIIConEnd)-YEAR(PhaseIIPreconBegin)+1)</f>
        <v>0</v>
      </c>
      <c r="E106" s="146">
        <f>(AND(E$8&gt;=YEAR(PhaseIIPreconBegin),E$8&lt;=YEAR(PhaseIIConEnd)))*SUM($D105:$N105)*'Assumptions-Overall'!$H$43/(YEAR(PhaseIIConEnd)-YEAR(PhaseIIPreconBegin)+1)</f>
        <v>-249689.4206022943</v>
      </c>
      <c r="F106" s="146">
        <f>(AND(F$8&gt;=YEAR(PhaseIIPreconBegin),F$8&lt;=YEAR(PhaseIIConEnd)))*SUM($D105:$N105)*'Assumptions-Overall'!$H$43/(YEAR(PhaseIIConEnd)-YEAR(PhaseIIPreconBegin)+1)</f>
        <v>-249689.4206022943</v>
      </c>
      <c r="G106" s="146">
        <f>(AND(G$8&gt;=YEAR(PhaseIIPreconBegin),G$8&lt;=YEAR(PhaseIIConEnd)))*SUM($D105:$N105)*'Assumptions-Overall'!$H$43/(YEAR(PhaseIIConEnd)-YEAR(PhaseIIPreconBegin)+1)</f>
        <v>-249689.4206022943</v>
      </c>
      <c r="H106" s="146">
        <f>(AND(H$8&gt;=YEAR(PhaseIIPreconBegin),H$8&lt;=YEAR(PhaseIIConEnd)))*SUM($D105:$N105)*'Assumptions-Overall'!$H$43/(YEAR(PhaseIIConEnd)-YEAR(PhaseIIPreconBegin)+1)</f>
        <v>0</v>
      </c>
      <c r="I106" s="146">
        <f>(AND(I$8&gt;=YEAR(PhaseIIPreconBegin),I$8&lt;=YEAR(PhaseIIConEnd)))*SUM($D105:$N105)*'Assumptions-Overall'!$H$43/(YEAR(PhaseIIConEnd)-YEAR(PhaseIIPreconBegin)+1)</f>
        <v>0</v>
      </c>
      <c r="J106" s="146">
        <f>(AND(J$8&gt;=YEAR(PhaseIIPreconBegin),J$8&lt;=YEAR(PhaseIIConEnd)))*SUM($D105:$N105)*'Assumptions-Overall'!$H$43/(YEAR(PhaseIIConEnd)-YEAR(PhaseIIPreconBegin)+1)</f>
        <v>0</v>
      </c>
      <c r="K106" s="146">
        <f>(AND(K$8&gt;=YEAR(PhaseIIPreconBegin),K$8&lt;=YEAR(PhaseIIConEnd)))*SUM($D105:$N105)*'Assumptions-Overall'!$H$43/(YEAR(PhaseIIConEnd)-YEAR(PhaseIIPreconBegin)+1)</f>
        <v>0</v>
      </c>
      <c r="L106" s="146">
        <f>(AND(L$8&gt;=YEAR(PhaseIIPreconBegin),L$8&lt;=YEAR(PhaseIIConEnd)))*SUM($D105:$N105)*'Assumptions-Overall'!$H$43/(YEAR(PhaseIIConEnd)-YEAR(PhaseIIPreconBegin)+1)</f>
        <v>0</v>
      </c>
      <c r="M106" s="146">
        <f>(AND(M$8&gt;=YEAR(PhaseIIPreconBegin),M$8&lt;=YEAR(PhaseIIConEnd)))*SUM($D105:$N105)*'Assumptions-Overall'!$H$43/(YEAR(PhaseIIConEnd)-YEAR(PhaseIIPreconBegin)+1)</f>
        <v>0</v>
      </c>
      <c r="N106" s="151"/>
    </row>
    <row r="107" spans="2:14" x14ac:dyDescent="0.65">
      <c r="B107" s="3" t="s">
        <v>115</v>
      </c>
      <c r="C107" s="8"/>
      <c r="D107" s="146">
        <f>(AND(D$8&gt;=YEAR(PhaseIIPreconBegin),D$8&lt;=YEAR(PhaseIIConEnd)))*SUM($D105:$N105)*'Assumptions-Overall'!$H$44/(YEAR(PhaseIIConEnd)-YEAR(PhaseIIPreconBegin)+1)</f>
        <v>0</v>
      </c>
      <c r="E107" s="146">
        <f>(AND(E$8&gt;=YEAR(PhaseIIPreconBegin),E$8&lt;=YEAR(PhaseIIConEnd)))*SUM($D105:$N105)*'Assumptions-Overall'!$H$44/(YEAR(PhaseIIConEnd)-YEAR(PhaseIIPreconBegin)+1)</f>
        <v>-416149.03433715721</v>
      </c>
      <c r="F107" s="146">
        <f>(AND(F$8&gt;=YEAR(PhaseIIPreconBegin),F$8&lt;=YEAR(PhaseIIConEnd)))*SUM($D105:$N105)*'Assumptions-Overall'!$H$44/(YEAR(PhaseIIConEnd)-YEAR(PhaseIIPreconBegin)+1)</f>
        <v>-416149.03433715721</v>
      </c>
      <c r="G107" s="146">
        <f>(AND(G$8&gt;=YEAR(PhaseIIPreconBegin),G$8&lt;=YEAR(PhaseIIConEnd)))*SUM($D105:$N105)*'Assumptions-Overall'!$H$44/(YEAR(PhaseIIConEnd)-YEAR(PhaseIIPreconBegin)+1)</f>
        <v>-416149.03433715721</v>
      </c>
      <c r="H107" s="146">
        <f>(AND(H$8&gt;=YEAR(PhaseIIPreconBegin),H$8&lt;=YEAR(PhaseIIConEnd)))*SUM($D105:$N105)*'Assumptions-Overall'!$H$44/(YEAR(PhaseIIConEnd)-YEAR(PhaseIIPreconBegin)+1)</f>
        <v>0</v>
      </c>
      <c r="I107" s="146">
        <f>(AND(I$8&gt;=YEAR(PhaseIIPreconBegin),I$8&lt;=YEAR(PhaseIIConEnd)))*SUM($D105:$N105)*'Assumptions-Overall'!$H$44/(YEAR(PhaseIIConEnd)-YEAR(PhaseIIPreconBegin)+1)</f>
        <v>0</v>
      </c>
      <c r="J107" s="146">
        <f>(AND(J$8&gt;=YEAR(PhaseIIPreconBegin),J$8&lt;=YEAR(PhaseIIConEnd)))*SUM($D105:$N105)*'Assumptions-Overall'!$H$44/(YEAR(PhaseIIConEnd)-YEAR(PhaseIIPreconBegin)+1)</f>
        <v>0</v>
      </c>
      <c r="K107" s="146">
        <f>(AND(K$8&gt;=YEAR(PhaseIIPreconBegin),K$8&lt;=YEAR(PhaseIIConEnd)))*SUM($D105:$N105)*'Assumptions-Overall'!$H$44/(YEAR(PhaseIIConEnd)-YEAR(PhaseIIPreconBegin)+1)</f>
        <v>0</v>
      </c>
      <c r="L107" s="146">
        <f>(AND(L$8&gt;=YEAR(PhaseIIPreconBegin),L$8&lt;=YEAR(PhaseIIConEnd)))*SUM($D105:$N105)*'Assumptions-Overall'!$H$44/(YEAR(PhaseIIConEnd)-YEAR(PhaseIIPreconBegin)+1)</f>
        <v>0</v>
      </c>
      <c r="M107" s="146">
        <f>(AND(M$8&gt;=YEAR(PhaseIIPreconBegin),M$8&lt;=YEAR(PhaseIIConEnd)))*SUM($D105:$N105)*'Assumptions-Overall'!$H$44/(YEAR(PhaseIIConEnd)-YEAR(PhaseIIPreconBegin)+1)</f>
        <v>0</v>
      </c>
      <c r="N107" s="151"/>
    </row>
    <row r="108" spans="2:14" x14ac:dyDescent="0.65">
      <c r="B108" s="3" t="s">
        <v>116</v>
      </c>
      <c r="C108" s="8"/>
      <c r="D108" s="144">
        <f>SUM(D105:D107)*'Assumptions-Overall'!$H$45</f>
        <v>0</v>
      </c>
      <c r="E108" s="144">
        <f>SUM(E105:E107)*'Assumptions-Overall'!$H$45</f>
        <v>-33291.922746972581</v>
      </c>
      <c r="F108" s="144">
        <f>SUM(F105:F107)*'Assumptions-Overall'!$H$45</f>
        <v>-340791.20920300012</v>
      </c>
      <c r="G108" s="144">
        <f>SUM(G105:G107)*'Assumptions-Overall'!$H$45</f>
        <v>-350016.18779668096</v>
      </c>
      <c r="H108" s="144">
        <f>SUM(H105:H107)*'Assumptions-Overall'!$H$45</f>
        <v>0</v>
      </c>
      <c r="I108" s="144">
        <f>SUM(I105:I107)*'Assumptions-Overall'!$H$45</f>
        <v>0</v>
      </c>
      <c r="J108" s="144">
        <f>SUM(J105:J107)*'Assumptions-Overall'!$H$45</f>
        <v>0</v>
      </c>
      <c r="K108" s="144">
        <f>SUM(K105:K107)*'Assumptions-Overall'!$H$45</f>
        <v>0</v>
      </c>
      <c r="L108" s="144">
        <f>SUM(L105:L107)*'Assumptions-Overall'!$H$45</f>
        <v>0</v>
      </c>
      <c r="M108" s="144">
        <f>SUM(M105:M107)*'Assumptions-Overall'!$H$45</f>
        <v>0</v>
      </c>
      <c r="N108" s="151"/>
    </row>
    <row r="109" spans="2:14" x14ac:dyDescent="0.65">
      <c r="B109" s="3" t="s">
        <v>212</v>
      </c>
      <c r="C109" s="8"/>
      <c r="D109" s="146">
        <f>SUM(D105:D108)</f>
        <v>0</v>
      </c>
      <c r="E109" s="146">
        <f t="shared" ref="E109" si="44">SUM(E105:E108)</f>
        <v>-699130.37768642406</v>
      </c>
      <c r="F109" s="146">
        <f t="shared" ref="F109" si="45">SUM(F105:F108)</f>
        <v>-7156615.3932630019</v>
      </c>
      <c r="G109" s="146">
        <f t="shared" ref="G109" si="46">SUM(G105:G108)</f>
        <v>-7350339.9437302994</v>
      </c>
      <c r="H109" s="146">
        <f t="shared" ref="H109" si="47">SUM(H105:H108)</f>
        <v>0</v>
      </c>
      <c r="I109" s="146">
        <f t="shared" ref="I109" si="48">SUM(I105:I108)</f>
        <v>0</v>
      </c>
      <c r="J109" s="146">
        <f t="shared" ref="J109" si="49">SUM(J105:J108)</f>
        <v>0</v>
      </c>
      <c r="K109" s="146">
        <f t="shared" ref="K109" si="50">SUM(K105:K108)</f>
        <v>0</v>
      </c>
      <c r="L109" s="146">
        <f t="shared" ref="L109" si="51">SUM(L105:L108)</f>
        <v>0</v>
      </c>
      <c r="M109" s="146">
        <f t="shared" ref="M109" si="52">SUM(M105:M108)</f>
        <v>0</v>
      </c>
      <c r="N109" s="151"/>
    </row>
    <row r="110" spans="2:14" x14ac:dyDescent="0.65">
      <c r="B110" s="3"/>
      <c r="C110" s="8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51"/>
    </row>
    <row r="111" spans="2:14" x14ac:dyDescent="0.65">
      <c r="B111" s="3" t="s">
        <v>571</v>
      </c>
      <c r="C111" s="8"/>
      <c r="D111" s="146">
        <f>ABS((D$8=YEAR(PhaseIIComplete))*MAX(SUM(D77:D80)*'Assumptions-ResRental'!$S$15,'Assumptions-ResRental'!$S$14*'CashFlow-ResRental'!$D109:$N109))</f>
        <v>0</v>
      </c>
      <c r="E111" s="146">
        <f>ABS((E$8=YEAR(PhaseIIComplete))*MAX(SUM(E77:E80)*'Assumptions-ResRental'!$S$15,'Assumptions-ResRental'!$S$14*'CashFlow-ResRental'!$D109:$N109))</f>
        <v>0</v>
      </c>
      <c r="F111" s="146">
        <f>ABS((F$8=YEAR(PhaseIIComplete))*MAX(SUM(F77:F80)*'Assumptions-ResRental'!$S$15,'Assumptions-ResRental'!$S$14*'CashFlow-ResRental'!$D109:$N109))</f>
        <v>0</v>
      </c>
      <c r="G111" s="146">
        <f>ABS((G$8=YEAR(PhaseIIComplete))*MAX(SUM(G77:G80)*'Assumptions-ResRental'!$S$15,'Assumptions-ResRental'!$S$14*'CashFlow-ResRental'!$D109:$N109))</f>
        <v>617240</v>
      </c>
      <c r="H111" s="146">
        <f>ABS((H$8=YEAR(PhaseIIComplete))*MAX(SUM(H77:H80)*'Assumptions-ResRental'!$S$15,'Assumptions-ResRental'!$S$14*'CashFlow-ResRental'!$D109:$N109))</f>
        <v>0</v>
      </c>
      <c r="I111" s="146">
        <f>ABS((I$8=YEAR(PhaseIIComplete))*MAX(SUM(I77:I80)*'Assumptions-ResRental'!$S$15,'Assumptions-ResRental'!$S$14*'CashFlow-ResRental'!$D109:$N109))</f>
        <v>0</v>
      </c>
      <c r="J111" s="146">
        <f>ABS((J$8=YEAR(PhaseIIComplete))*MAX(SUM(J77:J80)*'Assumptions-ResRental'!$S$15,'Assumptions-ResRental'!$S$14*'CashFlow-ResRental'!$D109:$N109))</f>
        <v>0</v>
      </c>
      <c r="K111" s="146">
        <f>ABS((K$8=YEAR(PhaseIIComplete))*MAX(SUM(K77:K80)*'Assumptions-ResRental'!$S$15,'Assumptions-ResRental'!$S$14*'CashFlow-ResRental'!$D109:$N109))</f>
        <v>0</v>
      </c>
      <c r="L111" s="146">
        <f>ABS((L$8=YEAR(PhaseIIComplete))*MAX(SUM(L77:L80)*'Assumptions-ResRental'!$S$15,'Assumptions-ResRental'!$S$14*'CashFlow-ResRental'!$D109:$N109))</f>
        <v>0</v>
      </c>
      <c r="M111" s="146">
        <f>ABS((M$8=YEAR(PhaseIIComplete))*MAX(SUM(M77:M80)*'Assumptions-ResRental'!$S$15,'Assumptions-ResRental'!$S$14*'CashFlow-ResRental'!$D109:$N109))</f>
        <v>0</v>
      </c>
      <c r="N111" s="151"/>
    </row>
    <row r="112" spans="2:14" x14ac:dyDescent="0.65">
      <c r="B112" s="3"/>
      <c r="C112" s="8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51"/>
    </row>
    <row r="113" spans="2:14" x14ac:dyDescent="0.65">
      <c r="B113" s="36" t="s">
        <v>213</v>
      </c>
      <c r="C113" s="8"/>
      <c r="D113" s="146"/>
      <c r="E113" s="146"/>
      <c r="F113" s="146"/>
      <c r="G113" s="146"/>
      <c r="H113" s="146"/>
      <c r="I113" s="146"/>
      <c r="J113" s="146"/>
      <c r="K113" s="146"/>
      <c r="L113" s="146"/>
      <c r="M113" s="146"/>
      <c r="N113" s="151"/>
    </row>
    <row r="114" spans="2:14" x14ac:dyDescent="0.65">
      <c r="B114" s="3" t="s">
        <v>215</v>
      </c>
      <c r="C114" s="8"/>
      <c r="D114" s="146">
        <f>(D$8=YEAR('Assumptions-Overall'!$C$30))*E98/'Assumptions-Overall'!$V$9</f>
        <v>0</v>
      </c>
      <c r="E114" s="146">
        <f>(E$8=YEAR('Assumptions-Overall'!$C$30))*F98/'Assumptions-Overall'!$V$9</f>
        <v>0</v>
      </c>
      <c r="F114" s="146">
        <f>(F$8=YEAR('Assumptions-Overall'!$C$30))*G98/'Assumptions-Overall'!$V$9</f>
        <v>0</v>
      </c>
      <c r="G114" s="146">
        <f>(G$8=YEAR('Assumptions-Overall'!$C$30))*H98/'Assumptions-Overall'!$V$9</f>
        <v>0</v>
      </c>
      <c r="H114" s="146">
        <f>(H$8=YEAR('Assumptions-Overall'!$C$30))*I98/'Assumptions-Overall'!$V$9</f>
        <v>0</v>
      </c>
      <c r="I114" s="146">
        <f>(I$8=YEAR('Assumptions-Overall'!$C$30))*J98/'Assumptions-Overall'!$V$9</f>
        <v>0</v>
      </c>
      <c r="J114" s="146">
        <f>(J$8=YEAR('Assumptions-Overall'!$C$30))*K98/'Assumptions-Overall'!$V$9</f>
        <v>0</v>
      </c>
      <c r="K114" s="146">
        <f>(K$8=YEAR('Assumptions-Overall'!$C$30))*L98/'Assumptions-Overall'!$V$9</f>
        <v>0</v>
      </c>
      <c r="L114" s="146">
        <f>(L$8=YEAR('Assumptions-Overall'!$C$30))*M98/'Assumptions-Overall'!$V$9</f>
        <v>0</v>
      </c>
      <c r="M114" s="146">
        <f>(M$8=YEAR('Assumptions-Overall'!$C$30))*N98/'Assumptions-Overall'!$V$9</f>
        <v>16479869.923761493</v>
      </c>
      <c r="N114" s="151"/>
    </row>
    <row r="115" spans="2:14" x14ac:dyDescent="0.65">
      <c r="B115" s="3" t="s">
        <v>216</v>
      </c>
      <c r="C115" s="8"/>
      <c r="D115" s="144">
        <f>-D114*'Assumptions-Overall'!$R$27</f>
        <v>0</v>
      </c>
      <c r="E115" s="144">
        <f>-E114*'Assumptions-Overall'!$R$27</f>
        <v>0</v>
      </c>
      <c r="F115" s="144">
        <f>-F114*'Assumptions-Overall'!$R$27</f>
        <v>0</v>
      </c>
      <c r="G115" s="144">
        <f>-G114*'Assumptions-Overall'!$R$27</f>
        <v>0</v>
      </c>
      <c r="H115" s="144">
        <f>-H114*'Assumptions-Overall'!$R$27</f>
        <v>0</v>
      </c>
      <c r="I115" s="144">
        <f>-I114*'Assumptions-Overall'!$R$27</f>
        <v>0</v>
      </c>
      <c r="J115" s="144">
        <f>-J114*'Assumptions-Overall'!$R$27</f>
        <v>0</v>
      </c>
      <c r="K115" s="144">
        <f>-K114*'Assumptions-Overall'!$R$27</f>
        <v>0</v>
      </c>
      <c r="L115" s="144">
        <f>-L114*'Assumptions-Overall'!$R$27</f>
        <v>0</v>
      </c>
      <c r="M115" s="144">
        <f>-M114*'Assumptions-Overall'!$R$27</f>
        <v>-329597.39847522986</v>
      </c>
      <c r="N115" s="151"/>
    </row>
    <row r="116" spans="2:14" x14ac:dyDescent="0.65">
      <c r="B116" s="3" t="s">
        <v>217</v>
      </c>
      <c r="C116" s="8"/>
      <c r="D116" s="146">
        <f>SUM(D114:D115)</f>
        <v>0</v>
      </c>
      <c r="E116" s="146">
        <f t="shared" ref="E116" si="53">SUM(E114:E115)</f>
        <v>0</v>
      </c>
      <c r="F116" s="146">
        <f t="shared" ref="F116" si="54">SUM(F114:F115)</f>
        <v>0</v>
      </c>
      <c r="G116" s="146">
        <f t="shared" ref="G116" si="55">SUM(G114:G115)</f>
        <v>0</v>
      </c>
      <c r="H116" s="146">
        <f t="shared" ref="H116" si="56">SUM(H114:H115)</f>
        <v>0</v>
      </c>
      <c r="I116" s="146">
        <f t="shared" ref="I116" si="57">SUM(I114:I115)</f>
        <v>0</v>
      </c>
      <c r="J116" s="146">
        <f t="shared" ref="J116" si="58">SUM(J114:J115)</f>
        <v>0</v>
      </c>
      <c r="K116" s="146">
        <f t="shared" ref="K116" si="59">SUM(K114:K115)</f>
        <v>0</v>
      </c>
      <c r="L116" s="146">
        <f t="shared" ref="L116" si="60">SUM(L114:L115)</f>
        <v>0</v>
      </c>
      <c r="M116" s="146">
        <f t="shared" ref="M116" si="61">SUM(M114:M115)</f>
        <v>16150272.525286263</v>
      </c>
      <c r="N116" s="151"/>
    </row>
    <row r="117" spans="2:14" x14ac:dyDescent="0.65">
      <c r="B117" s="3"/>
      <c r="C117" s="8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51"/>
    </row>
    <row r="118" spans="2:14" x14ac:dyDescent="0.65">
      <c r="B118" s="3" t="s">
        <v>214</v>
      </c>
      <c r="C118" s="8"/>
      <c r="D118" s="146">
        <f>D102+D109+D111+D116</f>
        <v>0</v>
      </c>
      <c r="E118" s="146">
        <f t="shared" ref="E118:M118" si="62">E102+E109+E111+E116</f>
        <v>-699130.37768642406</v>
      </c>
      <c r="F118" s="146">
        <f t="shared" si="62"/>
        <v>-7156615.3932630019</v>
      </c>
      <c r="G118" s="146">
        <f t="shared" si="62"/>
        <v>-5955056.069383393</v>
      </c>
      <c r="H118" s="146">
        <f t="shared" si="62"/>
        <v>1041938.9333082146</v>
      </c>
      <c r="I118" s="146">
        <f t="shared" si="62"/>
        <v>1073197.101307461</v>
      </c>
      <c r="J118" s="146">
        <f t="shared" si="62"/>
        <v>1105393.014346685</v>
      </c>
      <c r="K118" s="146">
        <f t="shared" si="62"/>
        <v>1138554.8047770855</v>
      </c>
      <c r="L118" s="146">
        <f t="shared" si="62"/>
        <v>1172711.4489203978</v>
      </c>
      <c r="M118" s="146">
        <f t="shared" si="62"/>
        <v>17358165.317674272</v>
      </c>
      <c r="N118" s="151"/>
    </row>
    <row r="119" spans="2:14" x14ac:dyDescent="0.65">
      <c r="B119" s="3" t="s">
        <v>218</v>
      </c>
      <c r="C119" s="158">
        <f>IFERROR(IRR(D118:M118),"n/a")</f>
        <v>9.0588351984905335E-2</v>
      </c>
      <c r="D119" s="146"/>
      <c r="E119" s="146"/>
      <c r="F119" s="146"/>
      <c r="G119" s="146"/>
      <c r="H119" s="146"/>
      <c r="I119" s="146"/>
      <c r="J119" s="146"/>
      <c r="K119" s="146"/>
      <c r="L119" s="146"/>
      <c r="M119" s="146"/>
      <c r="N119" s="151"/>
    </row>
    <row r="120" spans="2:14" ht="13" thickBot="1" x14ac:dyDescent="0.8">
      <c r="B120" s="5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1"/>
    </row>
    <row r="121" spans="2:14" x14ac:dyDescent="0.65">
      <c r="B121" s="154"/>
      <c r="C121" s="155"/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6"/>
    </row>
    <row r="122" spans="2:14" x14ac:dyDescent="0.65">
      <c r="B122" s="147" t="s">
        <v>198</v>
      </c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9"/>
    </row>
    <row r="123" spans="2:14" x14ac:dyDescent="0.65">
      <c r="B123" s="3" t="s">
        <v>194</v>
      </c>
      <c r="C123" s="8"/>
      <c r="D123" s="148">
        <f>(D$8&gt;=YEAR(PhaseIIIComplete))*SUMIFS(BuildingSummary!$D$21:$U$21,BuildingSummary!$D$34:$U$34,"Rental",BuildingSummary!$D$18:$U$18,"III")+(D$8&gt;=YEAR(PhaseIIIComplete))*SUMIFS(BuildingSummary!$D$29:$U$29,BuildingSummary!$D$34:$U$34,"Rental",BuildingSummary!$D$18:$U$18,"III")</f>
        <v>0</v>
      </c>
      <c r="E123" s="148">
        <f>(E$8&gt;=YEAR(PhaseIIIComplete))*SUMIFS(BuildingSummary!$D$21:$U$21,BuildingSummary!$D$34:$U$34,"Rental",BuildingSummary!$D$18:$U$18,"III")+(E$8&gt;=YEAR(PhaseIIIComplete))*SUMIFS(BuildingSummary!$D$29:$U$29,BuildingSummary!$D$34:$U$34,"Rental",BuildingSummary!$D$18:$U$18,"III")</f>
        <v>0</v>
      </c>
      <c r="F123" s="148">
        <f>(F$8&gt;=YEAR(PhaseIIIComplete))*SUMIFS(BuildingSummary!$D$21:$U$21,BuildingSummary!$D$34:$U$34,"Rental",BuildingSummary!$D$18:$U$18,"III")+(F$8&gt;=YEAR(PhaseIIIComplete))*SUMIFS(BuildingSummary!$D$29:$U$29,BuildingSummary!$D$34:$U$34,"Rental",BuildingSummary!$D$18:$U$18,"III")</f>
        <v>0</v>
      </c>
      <c r="G123" s="148">
        <f>(G$8&gt;=YEAR(PhaseIIIComplete))*SUMIFS(BuildingSummary!$D$21:$U$21,BuildingSummary!$D$34:$U$34,"Rental",BuildingSummary!$D$18:$U$18,"III")+(G$8&gt;=YEAR(PhaseIIIComplete))*SUMIFS(BuildingSummary!$D$29:$U$29,BuildingSummary!$D$34:$U$34,"Rental",BuildingSummary!$D$18:$U$18,"III")</f>
        <v>0</v>
      </c>
      <c r="H123" s="148">
        <f>(H$8&gt;=YEAR(PhaseIIIComplete))*SUMIFS(BuildingSummary!$D$21:$U$21,BuildingSummary!$D$34:$U$34,"Rental",BuildingSummary!$D$18:$U$18,"III")+(H$8&gt;=YEAR(PhaseIIIComplete))*SUMIFS(BuildingSummary!$D$29:$U$29,BuildingSummary!$D$34:$U$34,"Rental",BuildingSummary!$D$18:$U$18,"III")</f>
        <v>0</v>
      </c>
      <c r="I123" s="148">
        <f>(I$8&gt;=YEAR(PhaseIIIComplete))*SUMIFS(BuildingSummary!$D$21:$U$21,BuildingSummary!$D$34:$U$34,"Rental",BuildingSummary!$D$18:$U$18,"III")+(I$8&gt;=YEAR(PhaseIIIComplete))*SUMIFS(BuildingSummary!$D$29:$U$29,BuildingSummary!$D$34:$U$34,"Rental",BuildingSummary!$D$18:$U$18,"III")</f>
        <v>0</v>
      </c>
      <c r="J123" s="148">
        <f>(J$8&gt;=YEAR(PhaseIIIComplete))*SUMIFS(BuildingSummary!$D$21:$U$21,BuildingSummary!$D$34:$U$34,"Rental",BuildingSummary!$D$18:$U$18,"III")+(J$8&gt;=YEAR(PhaseIIIComplete))*SUMIFS(BuildingSummary!$D$29:$U$29,BuildingSummary!$D$34:$U$34,"Rental",BuildingSummary!$D$18:$U$18,"III")</f>
        <v>0</v>
      </c>
      <c r="K123" s="148">
        <f>(K$8&gt;=YEAR(PhaseIIIComplete))*SUMIFS(BuildingSummary!$D$21:$U$21,BuildingSummary!$D$34:$U$34,"Rental",BuildingSummary!$D$18:$U$18,"III")+(K$8&gt;=YEAR(PhaseIIIComplete))*SUMIFS(BuildingSummary!$D$29:$U$29,BuildingSummary!$D$34:$U$34,"Rental",BuildingSummary!$D$18:$U$18,"III")</f>
        <v>0</v>
      </c>
      <c r="L123" s="148">
        <f>(L$8&gt;=YEAR(PhaseIIIComplete))*SUMIFS(BuildingSummary!$D$21:$U$21,BuildingSummary!$D$34:$U$34,"Rental",BuildingSummary!$D$18:$U$18,"III")+(L$8&gt;=YEAR(PhaseIIIComplete))*SUMIFS(BuildingSummary!$D$29:$U$29,BuildingSummary!$D$34:$U$34,"Rental",BuildingSummary!$D$18:$U$18,"III")</f>
        <v>0</v>
      </c>
      <c r="M123" s="148">
        <f>(M$8&gt;=YEAR(PhaseIIIComplete))*SUMIFS(BuildingSummary!$D$21:$U$21,BuildingSummary!$D$34:$U$34,"Rental",BuildingSummary!$D$18:$U$18,"III")+(M$8&gt;=YEAR(PhaseIIIComplete))*SUMIFS(BuildingSummary!$D$29:$U$29,BuildingSummary!$D$34:$U$34,"Rental",BuildingSummary!$D$18:$U$18,"III")</f>
        <v>157990.39000000001</v>
      </c>
      <c r="N123" s="149">
        <f>(N$8&gt;=YEAR(PhaseIIIComplete))*SUMIFS(BuildingSummary!$D$21:$U$21,BuildingSummary!$D$34:$U$34,"Rental",BuildingSummary!$D$18:$U$18,"III")+(N$8&gt;=YEAR(PhaseIIIComplete))*SUMIFS(BuildingSummary!$D$29:$U$29,BuildingSummary!$D$34:$U$34,"Rental",BuildingSummary!$D$18:$U$18,"III")</f>
        <v>157990.39000000001</v>
      </c>
    </row>
    <row r="124" spans="2:14" x14ac:dyDescent="0.65">
      <c r="B124" s="3" t="s">
        <v>195</v>
      </c>
      <c r="C124" s="8"/>
      <c r="D124" s="148">
        <f>D123-C123</f>
        <v>0</v>
      </c>
      <c r="E124" s="148">
        <f t="shared" ref="E124" si="63">E123-D123</f>
        <v>0</v>
      </c>
      <c r="F124" s="148">
        <f t="shared" ref="F124" si="64">F123-E123</f>
        <v>0</v>
      </c>
      <c r="G124" s="148">
        <f t="shared" ref="G124" si="65">G123-F123</f>
        <v>0</v>
      </c>
      <c r="H124" s="148">
        <f t="shared" ref="H124" si="66">H123-G123</f>
        <v>0</v>
      </c>
      <c r="I124" s="148">
        <f t="shared" ref="I124" si="67">I123-H123</f>
        <v>0</v>
      </c>
      <c r="J124" s="148">
        <f t="shared" ref="J124" si="68">J123-I123</f>
        <v>0</v>
      </c>
      <c r="K124" s="148">
        <f t="shared" ref="K124" si="69">K123-J123</f>
        <v>0</v>
      </c>
      <c r="L124" s="148">
        <f t="shared" ref="L124" si="70">L123-K123</f>
        <v>0</v>
      </c>
      <c r="M124" s="148">
        <f t="shared" ref="M124" si="71">M123-L123</f>
        <v>157990.39000000001</v>
      </c>
      <c r="N124" s="149">
        <f t="shared" ref="N124" si="72">N123-M123</f>
        <v>0</v>
      </c>
    </row>
    <row r="125" spans="2:14" x14ac:dyDescent="0.65">
      <c r="B125" s="3"/>
      <c r="C125" s="8"/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9"/>
    </row>
    <row r="126" spans="2:14" x14ac:dyDescent="0.65">
      <c r="B126" s="36" t="s">
        <v>196</v>
      </c>
      <c r="C126" s="8"/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9"/>
    </row>
    <row r="127" spans="2:14" x14ac:dyDescent="0.65">
      <c r="B127" s="3" t="s">
        <v>13</v>
      </c>
      <c r="C127" s="8"/>
      <c r="D127" s="148">
        <f>(D$8&gt;=YEAR(PhaseIIIComplete))*'Assumptions-ResRental'!$F9</f>
        <v>0</v>
      </c>
      <c r="E127" s="148">
        <f>(E$8&gt;=YEAR(PhaseIIIComplete))*'Assumptions-ResRental'!$F9</f>
        <v>0</v>
      </c>
      <c r="F127" s="148">
        <f>(F$8&gt;=YEAR(PhaseIIIComplete))*'Assumptions-ResRental'!$F9</f>
        <v>0</v>
      </c>
      <c r="G127" s="148">
        <f>(G$8&gt;=YEAR(PhaseIIIComplete))*'Assumptions-ResRental'!$F9</f>
        <v>0</v>
      </c>
      <c r="H127" s="148">
        <f>(H$8&gt;=YEAR(PhaseIIIComplete))*'Assumptions-ResRental'!$F9</f>
        <v>0</v>
      </c>
      <c r="I127" s="148">
        <f>(I$8&gt;=YEAR(PhaseIIIComplete))*'Assumptions-ResRental'!$F9</f>
        <v>0</v>
      </c>
      <c r="J127" s="148">
        <f>(J$8&gt;=YEAR(PhaseIIIComplete))*'Assumptions-ResRental'!$F9</f>
        <v>0</v>
      </c>
      <c r="K127" s="148">
        <f>(K$8&gt;=YEAR(PhaseIIIComplete))*'Assumptions-ResRental'!$F9</f>
        <v>0</v>
      </c>
      <c r="L127" s="148">
        <f>(L$8&gt;=YEAR(PhaseIIIComplete))*'Assumptions-ResRental'!$F9</f>
        <v>0</v>
      </c>
      <c r="M127" s="148">
        <f>(M$8&gt;=YEAR(PhaseIIIComplete))*'Assumptions-ResRental'!$F9</f>
        <v>76</v>
      </c>
      <c r="N127" s="149">
        <f>(N$8&gt;=YEAR(PhaseIIIComplete))*'Assumptions-ResRental'!$F9</f>
        <v>76</v>
      </c>
    </row>
    <row r="128" spans="2:14" x14ac:dyDescent="0.65">
      <c r="B128" s="3" t="s">
        <v>12</v>
      </c>
      <c r="C128" s="8"/>
      <c r="D128" s="148">
        <f>(D$8&gt;=YEAR(PhaseIIIComplete))*'Assumptions-ResRental'!$F10</f>
        <v>0</v>
      </c>
      <c r="E128" s="148">
        <f>(E$8&gt;=YEAR(PhaseIIIComplete))*'Assumptions-ResRental'!$F10</f>
        <v>0</v>
      </c>
      <c r="F128" s="148">
        <f>(F$8&gt;=YEAR(PhaseIIIComplete))*'Assumptions-ResRental'!$F10</f>
        <v>0</v>
      </c>
      <c r="G128" s="148">
        <f>(G$8&gt;=YEAR(PhaseIIIComplete))*'Assumptions-ResRental'!$F10</f>
        <v>0</v>
      </c>
      <c r="H128" s="148">
        <f>(H$8&gt;=YEAR(PhaseIIIComplete))*'Assumptions-ResRental'!$F10</f>
        <v>0</v>
      </c>
      <c r="I128" s="148">
        <f>(I$8&gt;=YEAR(PhaseIIIComplete))*'Assumptions-ResRental'!$F10</f>
        <v>0</v>
      </c>
      <c r="J128" s="148">
        <f>(J$8&gt;=YEAR(PhaseIIIComplete))*'Assumptions-ResRental'!$F10</f>
        <v>0</v>
      </c>
      <c r="K128" s="148">
        <f>(K$8&gt;=YEAR(PhaseIIIComplete))*'Assumptions-ResRental'!$F10</f>
        <v>0</v>
      </c>
      <c r="L128" s="148">
        <f>(L$8&gt;=YEAR(PhaseIIIComplete))*'Assumptions-ResRental'!$F10</f>
        <v>0</v>
      </c>
      <c r="M128" s="148">
        <f>(M$8&gt;=YEAR(PhaseIIIComplete))*'Assumptions-ResRental'!$F10</f>
        <v>94</v>
      </c>
      <c r="N128" s="149">
        <f>(N$8&gt;=YEAR(PhaseIIIComplete))*'Assumptions-ResRental'!$F10</f>
        <v>94</v>
      </c>
    </row>
    <row r="129" spans="2:14" x14ac:dyDescent="0.65">
      <c r="B129" s="3" t="s">
        <v>11</v>
      </c>
      <c r="C129" s="8"/>
      <c r="D129" s="148">
        <f>(D$8&gt;=YEAR(PhaseIIIComplete))*'Assumptions-ResRental'!$F11</f>
        <v>0</v>
      </c>
      <c r="E129" s="148">
        <f>(E$8&gt;=YEAR(PhaseIIIComplete))*'Assumptions-ResRental'!$F11</f>
        <v>0</v>
      </c>
      <c r="F129" s="148">
        <f>(F$8&gt;=YEAR(PhaseIIIComplete))*'Assumptions-ResRental'!$F11</f>
        <v>0</v>
      </c>
      <c r="G129" s="148">
        <f>(G$8&gt;=YEAR(PhaseIIIComplete))*'Assumptions-ResRental'!$F11</f>
        <v>0</v>
      </c>
      <c r="H129" s="148">
        <f>(H$8&gt;=YEAR(PhaseIIIComplete))*'Assumptions-ResRental'!$F11</f>
        <v>0</v>
      </c>
      <c r="I129" s="148">
        <f>(I$8&gt;=YEAR(PhaseIIIComplete))*'Assumptions-ResRental'!$F11</f>
        <v>0</v>
      </c>
      <c r="J129" s="148">
        <f>(J$8&gt;=YEAR(PhaseIIIComplete))*'Assumptions-ResRental'!$F11</f>
        <v>0</v>
      </c>
      <c r="K129" s="148">
        <f>(K$8&gt;=YEAR(PhaseIIIComplete))*'Assumptions-ResRental'!$F11</f>
        <v>0</v>
      </c>
      <c r="L129" s="148">
        <f>(L$8&gt;=YEAR(PhaseIIIComplete))*'Assumptions-ResRental'!$F11</f>
        <v>0</v>
      </c>
      <c r="M129" s="148">
        <f>(M$8&gt;=YEAR(PhaseIIIComplete))*'Assumptions-ResRental'!$F11</f>
        <v>0</v>
      </c>
      <c r="N129" s="149">
        <f>(N$8&gt;=YEAR(PhaseIIIComplete))*'Assumptions-ResRental'!$F11</f>
        <v>0</v>
      </c>
    </row>
    <row r="130" spans="2:14" x14ac:dyDescent="0.65">
      <c r="B130" s="3" t="s">
        <v>10</v>
      </c>
      <c r="C130" s="8"/>
      <c r="D130" s="148">
        <f>(D$8&gt;=YEAR(PhaseIIIComplete))*'Assumptions-ResRental'!$F12</f>
        <v>0</v>
      </c>
      <c r="E130" s="148">
        <f>(E$8&gt;=YEAR(PhaseIIIComplete))*'Assumptions-ResRental'!$F12</f>
        <v>0</v>
      </c>
      <c r="F130" s="148">
        <f>(F$8&gt;=YEAR(PhaseIIIComplete))*'Assumptions-ResRental'!$F12</f>
        <v>0</v>
      </c>
      <c r="G130" s="148">
        <f>(G$8&gt;=YEAR(PhaseIIIComplete))*'Assumptions-ResRental'!$F12</f>
        <v>0</v>
      </c>
      <c r="H130" s="148">
        <f>(H$8&gt;=YEAR(PhaseIIIComplete))*'Assumptions-ResRental'!$F12</f>
        <v>0</v>
      </c>
      <c r="I130" s="148">
        <f>(I$8&gt;=YEAR(PhaseIIIComplete))*'Assumptions-ResRental'!$F12</f>
        <v>0</v>
      </c>
      <c r="J130" s="148">
        <f>(J$8&gt;=YEAR(PhaseIIIComplete))*'Assumptions-ResRental'!$F12</f>
        <v>0</v>
      </c>
      <c r="K130" s="148">
        <f>(K$8&gt;=YEAR(PhaseIIIComplete))*'Assumptions-ResRental'!$F12</f>
        <v>0</v>
      </c>
      <c r="L130" s="148">
        <f>(L$8&gt;=YEAR(PhaseIIIComplete))*'Assumptions-ResRental'!$F12</f>
        <v>0</v>
      </c>
      <c r="M130" s="148">
        <f>(M$8&gt;=YEAR(PhaseIIIComplete))*'Assumptions-ResRental'!$F12</f>
        <v>0</v>
      </c>
      <c r="N130" s="149">
        <f>(N$8&gt;=YEAR(PhaseIIIComplete))*'Assumptions-ResRental'!$F12</f>
        <v>0</v>
      </c>
    </row>
    <row r="131" spans="2:14" x14ac:dyDescent="0.65">
      <c r="B131" s="3"/>
      <c r="C131" s="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9"/>
    </row>
    <row r="132" spans="2:14" x14ac:dyDescent="0.65">
      <c r="B132" s="36" t="s">
        <v>580</v>
      </c>
      <c r="C132" s="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9"/>
    </row>
    <row r="133" spans="2:14" x14ac:dyDescent="0.65">
      <c r="B133" s="3" t="s">
        <v>13</v>
      </c>
      <c r="C133" s="8"/>
      <c r="D133" s="148">
        <f>(D$8&gt;=YEAR(PhaseIIIComplete))*'Assumptions-ResRental'!$F17</f>
        <v>0</v>
      </c>
      <c r="E133" s="148">
        <f>(E$8&gt;=YEAR(PhaseIIIComplete))*'Assumptions-ResRental'!$F17</f>
        <v>0</v>
      </c>
      <c r="F133" s="148">
        <f>(F$8&gt;=YEAR(PhaseIIIComplete))*'Assumptions-ResRental'!$F17</f>
        <v>0</v>
      </c>
      <c r="G133" s="148">
        <f>(G$8&gt;=YEAR(PhaseIIIComplete))*'Assumptions-ResRental'!$F17</f>
        <v>0</v>
      </c>
      <c r="H133" s="148">
        <f>(H$8&gt;=YEAR(PhaseIIIComplete))*'Assumptions-ResRental'!$F17</f>
        <v>0</v>
      </c>
      <c r="I133" s="148">
        <f>(I$8&gt;=YEAR(PhaseIIIComplete))*'Assumptions-ResRental'!$F17</f>
        <v>0</v>
      </c>
      <c r="J133" s="148">
        <f>(J$8&gt;=YEAR(PhaseIIIComplete))*'Assumptions-ResRental'!$F17</f>
        <v>0</v>
      </c>
      <c r="K133" s="148">
        <f>(K$8&gt;=YEAR(PhaseIIIComplete))*'Assumptions-ResRental'!$F17</f>
        <v>0</v>
      </c>
      <c r="L133" s="148">
        <f>(L$8&gt;=YEAR(PhaseIIIComplete))*'Assumptions-ResRental'!$F17</f>
        <v>0</v>
      </c>
      <c r="M133" s="148">
        <f>(M$8&gt;=YEAR(PhaseIIIComplete))*'Assumptions-ResRental'!$F17</f>
        <v>4</v>
      </c>
      <c r="N133" s="149">
        <f>(N$8&gt;=YEAR(PhaseIIIComplete))*'Assumptions-ResRental'!$F17</f>
        <v>4</v>
      </c>
    </row>
    <row r="134" spans="2:14" x14ac:dyDescent="0.65">
      <c r="B134" s="3" t="s">
        <v>12</v>
      </c>
      <c r="C134" s="8"/>
      <c r="D134" s="148">
        <f>(D$8&gt;=YEAR(PhaseIIIComplete))*'Assumptions-ResRental'!$F18</f>
        <v>0</v>
      </c>
      <c r="E134" s="148">
        <f>(E$8&gt;=YEAR(PhaseIIIComplete))*'Assumptions-ResRental'!$F18</f>
        <v>0</v>
      </c>
      <c r="F134" s="148">
        <f>(F$8&gt;=YEAR(PhaseIIIComplete))*'Assumptions-ResRental'!$F18</f>
        <v>0</v>
      </c>
      <c r="G134" s="148">
        <f>(G$8&gt;=YEAR(PhaseIIIComplete))*'Assumptions-ResRental'!$F18</f>
        <v>0</v>
      </c>
      <c r="H134" s="148">
        <f>(H$8&gt;=YEAR(PhaseIIIComplete))*'Assumptions-ResRental'!$F18</f>
        <v>0</v>
      </c>
      <c r="I134" s="148">
        <f>(I$8&gt;=YEAR(PhaseIIIComplete))*'Assumptions-ResRental'!$F18</f>
        <v>0</v>
      </c>
      <c r="J134" s="148">
        <f>(J$8&gt;=YEAR(PhaseIIIComplete))*'Assumptions-ResRental'!$F18</f>
        <v>0</v>
      </c>
      <c r="K134" s="148">
        <f>(K$8&gt;=YEAR(PhaseIIIComplete))*'Assumptions-ResRental'!$F18</f>
        <v>0</v>
      </c>
      <c r="L134" s="148">
        <f>(L$8&gt;=YEAR(PhaseIIIComplete))*'Assumptions-ResRental'!$F18</f>
        <v>0</v>
      </c>
      <c r="M134" s="148">
        <f>(M$8&gt;=YEAR(PhaseIIIComplete))*'Assumptions-ResRental'!$F18</f>
        <v>6</v>
      </c>
      <c r="N134" s="149">
        <f>(N$8&gt;=YEAR(PhaseIIIComplete))*'Assumptions-ResRental'!$F18</f>
        <v>6</v>
      </c>
    </row>
    <row r="135" spans="2:14" x14ac:dyDescent="0.65">
      <c r="B135" s="3" t="s">
        <v>11</v>
      </c>
      <c r="C135" s="8"/>
      <c r="D135" s="148">
        <f>(D$8&gt;=YEAR(PhaseIIIComplete))*'Assumptions-ResRental'!$F19</f>
        <v>0</v>
      </c>
      <c r="E135" s="148">
        <f>(E$8&gt;=YEAR(PhaseIIIComplete))*'Assumptions-ResRental'!$F19</f>
        <v>0</v>
      </c>
      <c r="F135" s="148">
        <f>(F$8&gt;=YEAR(PhaseIIIComplete))*'Assumptions-ResRental'!$F19</f>
        <v>0</v>
      </c>
      <c r="G135" s="148">
        <f>(G$8&gt;=YEAR(PhaseIIIComplete))*'Assumptions-ResRental'!$F19</f>
        <v>0</v>
      </c>
      <c r="H135" s="148">
        <f>(H$8&gt;=YEAR(PhaseIIIComplete))*'Assumptions-ResRental'!$F19</f>
        <v>0</v>
      </c>
      <c r="I135" s="148">
        <f>(I$8&gt;=YEAR(PhaseIIIComplete))*'Assumptions-ResRental'!$F19</f>
        <v>0</v>
      </c>
      <c r="J135" s="148">
        <f>(J$8&gt;=YEAR(PhaseIIIComplete))*'Assumptions-ResRental'!$F19</f>
        <v>0</v>
      </c>
      <c r="K135" s="148">
        <f>(K$8&gt;=YEAR(PhaseIIIComplete))*'Assumptions-ResRental'!$F19</f>
        <v>0</v>
      </c>
      <c r="L135" s="148">
        <f>(L$8&gt;=YEAR(PhaseIIIComplete))*'Assumptions-ResRental'!$F19</f>
        <v>0</v>
      </c>
      <c r="M135" s="148">
        <f>(M$8&gt;=YEAR(PhaseIIIComplete))*'Assumptions-ResRental'!$F19</f>
        <v>0</v>
      </c>
      <c r="N135" s="149">
        <f>(N$8&gt;=YEAR(PhaseIIIComplete))*'Assumptions-ResRental'!$F19</f>
        <v>0</v>
      </c>
    </row>
    <row r="136" spans="2:14" x14ac:dyDescent="0.65">
      <c r="B136" s="3" t="s">
        <v>10</v>
      </c>
      <c r="C136" s="8"/>
      <c r="D136" s="148">
        <f>(D$8&gt;=YEAR(PhaseIIIComplete))*'Assumptions-ResRental'!$F20</f>
        <v>0</v>
      </c>
      <c r="E136" s="148">
        <f>(E$8&gt;=YEAR(PhaseIIIComplete))*'Assumptions-ResRental'!$F20</f>
        <v>0</v>
      </c>
      <c r="F136" s="148">
        <f>(F$8&gt;=YEAR(PhaseIIIComplete))*'Assumptions-ResRental'!$F20</f>
        <v>0</v>
      </c>
      <c r="G136" s="148">
        <f>(G$8&gt;=YEAR(PhaseIIIComplete))*'Assumptions-ResRental'!$F20</f>
        <v>0</v>
      </c>
      <c r="H136" s="148">
        <f>(H$8&gt;=YEAR(PhaseIIIComplete))*'Assumptions-ResRental'!$F20</f>
        <v>0</v>
      </c>
      <c r="I136" s="148">
        <f>(I$8&gt;=YEAR(PhaseIIIComplete))*'Assumptions-ResRental'!$F20</f>
        <v>0</v>
      </c>
      <c r="J136" s="148">
        <f>(J$8&gt;=YEAR(PhaseIIIComplete))*'Assumptions-ResRental'!$F20</f>
        <v>0</v>
      </c>
      <c r="K136" s="148">
        <f>(K$8&gt;=YEAR(PhaseIIIComplete))*'Assumptions-ResRental'!$F20</f>
        <v>0</v>
      </c>
      <c r="L136" s="148">
        <f>(L$8&gt;=YEAR(PhaseIIIComplete))*'Assumptions-ResRental'!$F20</f>
        <v>0</v>
      </c>
      <c r="M136" s="148">
        <f>(M$8&gt;=YEAR(PhaseIIIComplete))*'Assumptions-ResRental'!$F20</f>
        <v>0</v>
      </c>
      <c r="N136" s="149">
        <f>(N$8&gt;=YEAR(PhaseIIIComplete))*'Assumptions-ResRental'!$F20</f>
        <v>0</v>
      </c>
    </row>
    <row r="137" spans="2:14" x14ac:dyDescent="0.65">
      <c r="B137" s="3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9"/>
    </row>
    <row r="138" spans="2:14" x14ac:dyDescent="0.65">
      <c r="B138" s="36" t="s">
        <v>206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9"/>
    </row>
    <row r="139" spans="2:14" x14ac:dyDescent="0.65">
      <c r="B139" s="3" t="s">
        <v>199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9"/>
    </row>
    <row r="140" spans="2:14" x14ac:dyDescent="0.65">
      <c r="B140" s="150" t="s">
        <v>162</v>
      </c>
      <c r="C140" s="8"/>
      <c r="D140" s="146">
        <f>SUMPRODUCT(D127:D130,'Assumptions-ResRental'!$M$8:$M$11)*(1+'Assumptions-Overall'!$C$35)^('CashFlow-ResRental'!D$7-1)</f>
        <v>0</v>
      </c>
      <c r="E140" s="146">
        <f>SUMPRODUCT(E127:E130,'Assumptions-ResRental'!$M$8:$M$11)*(1+'Assumptions-Overall'!$C$35)^('CashFlow-ResRental'!E$7-1)</f>
        <v>0</v>
      </c>
      <c r="F140" s="146">
        <f>SUMPRODUCT(F127:F130,'Assumptions-ResRental'!$M$8:$M$11)*(1+'Assumptions-Overall'!$C$35)^('CashFlow-ResRental'!F$7-1)</f>
        <v>0</v>
      </c>
      <c r="G140" s="146">
        <f>SUMPRODUCT(G127:G130,'Assumptions-ResRental'!$M$8:$M$11)*(1+'Assumptions-Overall'!$C$35)^('CashFlow-ResRental'!G$7-1)</f>
        <v>0</v>
      </c>
      <c r="H140" s="146">
        <f>SUMPRODUCT(H127:H130,'Assumptions-ResRental'!$M$8:$M$11)*(1+'Assumptions-Overall'!$C$35)^('CashFlow-ResRental'!H$7-1)</f>
        <v>0</v>
      </c>
      <c r="I140" s="146">
        <f>SUMPRODUCT(I127:I130,'Assumptions-ResRental'!$M$8:$M$11)*(1+'Assumptions-Overall'!$C$35)^('CashFlow-ResRental'!I$7-1)</f>
        <v>0</v>
      </c>
      <c r="J140" s="146">
        <f>SUMPRODUCT(J127:J130,'Assumptions-ResRental'!$M$8:$M$11)*(1+'Assumptions-Overall'!$C$35)^('CashFlow-ResRental'!J$7-1)</f>
        <v>0</v>
      </c>
      <c r="K140" s="146">
        <f>SUMPRODUCT(K127:K130,'Assumptions-ResRental'!$M$8:$M$11)*(1+'Assumptions-Overall'!$C$35)^('CashFlow-ResRental'!K$7-1)</f>
        <v>0</v>
      </c>
      <c r="L140" s="146">
        <f>SUMPRODUCT(L127:L130,'Assumptions-ResRental'!$M$8:$M$11)*(1+'Assumptions-Overall'!$C$35)^('CashFlow-ResRental'!L$7-1)</f>
        <v>0</v>
      </c>
      <c r="M140" s="146">
        <f>SUMPRODUCT(M127:M130,'Assumptions-ResRental'!$M$8:$M$11)*(1+'Assumptions-Overall'!$C$35)^('CashFlow-ResRental'!M$7-1)</f>
        <v>4008801.760874162</v>
      </c>
      <c r="N140" s="151">
        <f>SUMPRODUCT(N127:N130,'Assumptions-ResRental'!$M$8:$M$11)*(1+'Assumptions-Overall'!$C$35)^('CashFlow-ResRental'!N$7-1)</f>
        <v>4129065.8137003868</v>
      </c>
    </row>
    <row r="141" spans="2:14" x14ac:dyDescent="0.65">
      <c r="B141" s="150" t="s">
        <v>285</v>
      </c>
      <c r="C141" s="8"/>
      <c r="D141" s="144">
        <f>SUMPRODUCT(D133:D136,'Assumptions-ResRental'!$S$8:$S$11)*(1+'Assumptions-Overall'!$C$36)^('CashFlow-ResRental'!D$7-1)</f>
        <v>0</v>
      </c>
      <c r="E141" s="144">
        <f>SUMPRODUCT(E133:E136,'Assumptions-ResRental'!$S$8:$S$11)*(1+'Assumptions-Overall'!$C$36)^('CashFlow-ResRental'!E$7-1)</f>
        <v>0</v>
      </c>
      <c r="F141" s="144">
        <f>SUMPRODUCT(F133:F136,'Assumptions-ResRental'!$S$8:$S$11)*(1+'Assumptions-Overall'!$C$36)^('CashFlow-ResRental'!F$7-1)</f>
        <v>0</v>
      </c>
      <c r="G141" s="144">
        <f>SUMPRODUCT(G133:G136,'Assumptions-ResRental'!$S$8:$S$11)*(1+'Assumptions-Overall'!$C$36)^('CashFlow-ResRental'!G$7-1)</f>
        <v>0</v>
      </c>
      <c r="H141" s="144">
        <f>SUMPRODUCT(H133:H136,'Assumptions-ResRental'!$S$8:$S$11)*(1+'Assumptions-Overall'!$C$36)^('CashFlow-ResRental'!H$7-1)</f>
        <v>0</v>
      </c>
      <c r="I141" s="144">
        <f>SUMPRODUCT(I133:I136,'Assumptions-ResRental'!$S$8:$S$11)*(1+'Assumptions-Overall'!$C$36)^('CashFlow-ResRental'!I$7-1)</f>
        <v>0</v>
      </c>
      <c r="J141" s="144">
        <f>SUMPRODUCT(J133:J136,'Assumptions-ResRental'!$S$8:$S$11)*(1+'Assumptions-Overall'!$C$36)^('CashFlow-ResRental'!J$7-1)</f>
        <v>0</v>
      </c>
      <c r="K141" s="144">
        <f>SUMPRODUCT(K133:K136,'Assumptions-ResRental'!$S$8:$S$11)*(1+'Assumptions-Overall'!$C$36)^('CashFlow-ResRental'!K$7-1)</f>
        <v>0</v>
      </c>
      <c r="L141" s="144">
        <f>SUMPRODUCT(L133:L136,'Assumptions-ResRental'!$S$8:$S$11)*(1+'Assumptions-Overall'!$C$36)^('CashFlow-ResRental'!L$7-1)</f>
        <v>0</v>
      </c>
      <c r="M141" s="144">
        <f>SUMPRODUCT(M133:M136,'Assumptions-ResRental'!$S$8:$S$11)*(1+'Assumptions-Overall'!$C$36)^('CashFlow-ResRental'!M$7-1)</f>
        <v>119418.52398462665</v>
      </c>
      <c r="N141" s="152">
        <f>SUMPRODUCT(N133:N136,'Assumptions-ResRental'!$S$8:$S$11)*(1+'Assumptions-Overall'!$C$36)^('CashFlow-ResRental'!N$7-1)</f>
        <v>123001.07970416544</v>
      </c>
    </row>
    <row r="142" spans="2:14" x14ac:dyDescent="0.65">
      <c r="B142" s="3" t="s">
        <v>200</v>
      </c>
      <c r="C142" s="8"/>
      <c r="D142" s="146">
        <f>SUM(D140:D141)</f>
        <v>0</v>
      </c>
      <c r="E142" s="146">
        <f t="shared" ref="E142" si="73">SUM(E140:E141)</f>
        <v>0</v>
      </c>
      <c r="F142" s="146">
        <f t="shared" ref="F142" si="74">SUM(F140:F141)</f>
        <v>0</v>
      </c>
      <c r="G142" s="146">
        <f t="shared" ref="G142" si="75">SUM(G140:G141)</f>
        <v>0</v>
      </c>
      <c r="H142" s="146">
        <f t="shared" ref="H142" si="76">SUM(H140:H141)</f>
        <v>0</v>
      </c>
      <c r="I142" s="146">
        <f t="shared" ref="I142" si="77">SUM(I140:I141)</f>
        <v>0</v>
      </c>
      <c r="J142" s="146">
        <f t="shared" ref="J142" si="78">SUM(J140:J141)</f>
        <v>0</v>
      </c>
      <c r="K142" s="146">
        <f t="shared" ref="K142" si="79">SUM(K140:K141)</f>
        <v>0</v>
      </c>
      <c r="L142" s="146">
        <f t="shared" ref="L142" si="80">SUM(L140:L141)</f>
        <v>0</v>
      </c>
      <c r="M142" s="146">
        <f t="shared" ref="M142" si="81">SUM(M140:M141)</f>
        <v>4128220.2848587888</v>
      </c>
      <c r="N142" s="151">
        <f t="shared" ref="N142" si="82">SUM(N140:N141)</f>
        <v>4252066.8934045518</v>
      </c>
    </row>
    <row r="143" spans="2:14" x14ac:dyDescent="0.65">
      <c r="B143" s="3"/>
      <c r="C143" s="8"/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51"/>
    </row>
    <row r="144" spans="2:14" x14ac:dyDescent="0.65">
      <c r="B144" s="3" t="s">
        <v>201</v>
      </c>
      <c r="C144" s="8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51"/>
    </row>
    <row r="145" spans="2:14" x14ac:dyDescent="0.65">
      <c r="B145" s="150" t="s">
        <v>202</v>
      </c>
      <c r="C145" s="8"/>
      <c r="D145" s="146">
        <f>-D140*'Assumptions-ResRental'!$I$15</f>
        <v>0</v>
      </c>
      <c r="E145" s="146">
        <f>-E140*'Assumptions-ResRental'!$I$15</f>
        <v>0</v>
      </c>
      <c r="F145" s="146">
        <f>-F140*'Assumptions-ResRental'!$I$15</f>
        <v>0</v>
      </c>
      <c r="G145" s="146">
        <f>-G140*'Assumptions-ResRental'!$I$15</f>
        <v>0</v>
      </c>
      <c r="H145" s="146">
        <f>-H140*'Assumptions-ResRental'!$I$15</f>
        <v>0</v>
      </c>
      <c r="I145" s="146">
        <f>-I140*'Assumptions-ResRental'!$I$15</f>
        <v>0</v>
      </c>
      <c r="J145" s="146">
        <f>-J140*'Assumptions-ResRental'!$I$15</f>
        <v>0</v>
      </c>
      <c r="K145" s="146">
        <f>-K140*'Assumptions-ResRental'!$I$15</f>
        <v>0</v>
      </c>
      <c r="L145" s="146">
        <f>-L140*'Assumptions-ResRental'!$I$15</f>
        <v>0</v>
      </c>
      <c r="M145" s="146">
        <f>-M140*'Assumptions-ResRental'!$I$15</f>
        <v>-400880.17608741624</v>
      </c>
      <c r="N145" s="151">
        <f>-N140*'Assumptions-ResRental'!$I$15</f>
        <v>-412906.58137003868</v>
      </c>
    </row>
    <row r="146" spans="2:14" x14ac:dyDescent="0.65">
      <c r="B146" s="150" t="s">
        <v>581</v>
      </c>
      <c r="C146" s="8"/>
      <c r="D146" s="146">
        <f>-D141*'Assumptions-ResRental'!$I$16</f>
        <v>0</v>
      </c>
      <c r="E146" s="146">
        <f>-E141*'Assumptions-ResRental'!$I$16</f>
        <v>0</v>
      </c>
      <c r="F146" s="146">
        <f>-F141*'Assumptions-ResRental'!$I$16</f>
        <v>0</v>
      </c>
      <c r="G146" s="146">
        <f>-G141*'Assumptions-ResRental'!$I$16</f>
        <v>0</v>
      </c>
      <c r="H146" s="146">
        <f>-H141*'Assumptions-ResRental'!$I$16</f>
        <v>0</v>
      </c>
      <c r="I146" s="146">
        <f>-I141*'Assumptions-ResRental'!$I$16</f>
        <v>0</v>
      </c>
      <c r="J146" s="146">
        <f>-J141*'Assumptions-ResRental'!$I$16</f>
        <v>0</v>
      </c>
      <c r="K146" s="146">
        <f>-K141*'Assumptions-ResRental'!$I$16</f>
        <v>0</v>
      </c>
      <c r="L146" s="146">
        <f>-L141*'Assumptions-ResRental'!$I$16</f>
        <v>0</v>
      </c>
      <c r="M146" s="146">
        <f>-M141*'Assumptions-ResRental'!$I$16</f>
        <v>-6209.7632472005853</v>
      </c>
      <c r="N146" s="151">
        <f>-N141*'Assumptions-ResRental'!$I$16</f>
        <v>-6396.056144616603</v>
      </c>
    </row>
    <row r="147" spans="2:14" x14ac:dyDescent="0.65">
      <c r="B147" s="150" t="s">
        <v>203</v>
      </c>
      <c r="C147" s="8"/>
      <c r="D147" s="144">
        <f>-(C142=0)*(D142*'Assumptions-ResRental'!$I$20+SUM('CashFlow-ResRental'!D145:D146))</f>
        <v>0</v>
      </c>
      <c r="E147" s="144">
        <f>-(D142=0)*(E142*'Assumptions-ResRental'!$I$20+SUM('CashFlow-ResRental'!E145:E146))</f>
        <v>0</v>
      </c>
      <c r="F147" s="144">
        <f>-(E142=0)*(F142*'Assumptions-ResRental'!$I$20+SUM('CashFlow-ResRental'!F145:F146))</f>
        <v>0</v>
      </c>
      <c r="G147" s="144">
        <f>-(F142=0)*(G142*'Assumptions-ResRental'!$I$20+SUM('CashFlow-ResRental'!G145:G146))</f>
        <v>0</v>
      </c>
      <c r="H147" s="144">
        <f>-(G142=0)*(H142*'Assumptions-ResRental'!$I$20+SUM('CashFlow-ResRental'!H145:H146))</f>
        <v>0</v>
      </c>
      <c r="I147" s="144">
        <f>-(H142=0)*(I142*'Assumptions-ResRental'!$I$20+SUM('CashFlow-ResRental'!I145:I146))</f>
        <v>0</v>
      </c>
      <c r="J147" s="144">
        <f>-(I142=0)*(J142*'Assumptions-ResRental'!$I$20+SUM('CashFlow-ResRental'!J145:J146))</f>
        <v>0</v>
      </c>
      <c r="K147" s="144">
        <f>-(J142=0)*(K142*'Assumptions-ResRental'!$I$20+SUM('CashFlow-ResRental'!K145:K146))</f>
        <v>0</v>
      </c>
      <c r="L147" s="144">
        <f>-(K142=0)*(L142*'Assumptions-ResRental'!$I$20+SUM('CashFlow-ResRental'!L145:L146))</f>
        <v>0</v>
      </c>
      <c r="M147" s="144">
        <f>-(L142=0)*(M142*'Assumptions-ResRental'!$I$20+SUM('CashFlow-ResRental'!M145:M146))</f>
        <v>-831376.14612301975</v>
      </c>
      <c r="N147" s="152">
        <f>-(M142=0)*(N142*'Assumptions-ResRental'!$I$20+SUM('CashFlow-ResRental'!N145:N146))</f>
        <v>0</v>
      </c>
    </row>
    <row r="148" spans="2:14" x14ac:dyDescent="0.65">
      <c r="B148" s="3" t="s">
        <v>204</v>
      </c>
      <c r="C148" s="8"/>
      <c r="D148" s="146">
        <f>SUM(D145:D147)</f>
        <v>0</v>
      </c>
      <c r="E148" s="146">
        <f t="shared" ref="E148" si="83">SUM(E145:E147)</f>
        <v>0</v>
      </c>
      <c r="F148" s="146">
        <f t="shared" ref="F148" si="84">SUM(F145:F147)</f>
        <v>0</v>
      </c>
      <c r="G148" s="146">
        <f t="shared" ref="G148" si="85">SUM(G145:G147)</f>
        <v>0</v>
      </c>
      <c r="H148" s="146">
        <f t="shared" ref="H148" si="86">SUM(H145:H147)</f>
        <v>0</v>
      </c>
      <c r="I148" s="146">
        <f t="shared" ref="I148" si="87">SUM(I145:I147)</f>
        <v>0</v>
      </c>
      <c r="J148" s="146">
        <f t="shared" ref="J148" si="88">SUM(J145:J147)</f>
        <v>0</v>
      </c>
      <c r="K148" s="146">
        <f t="shared" ref="K148" si="89">SUM(K145:K147)</f>
        <v>0</v>
      </c>
      <c r="L148" s="146">
        <f t="shared" ref="L148" si="90">SUM(L145:L147)</f>
        <v>0</v>
      </c>
      <c r="M148" s="146">
        <f t="shared" ref="M148" si="91">SUM(M145:M147)</f>
        <v>-1238466.0854576365</v>
      </c>
      <c r="N148" s="151">
        <f t="shared" ref="N148" si="92">SUM(N145:N147)</f>
        <v>-419302.6375146553</v>
      </c>
    </row>
    <row r="149" spans="2:14" x14ac:dyDescent="0.65">
      <c r="B149" s="3"/>
      <c r="C149" s="8"/>
      <c r="D149" s="146"/>
      <c r="E149" s="146"/>
      <c r="F149" s="146"/>
      <c r="G149" s="146"/>
      <c r="H149" s="146"/>
      <c r="I149" s="146"/>
      <c r="J149" s="127"/>
      <c r="K149" s="127"/>
      <c r="L149" s="127"/>
      <c r="M149" s="127"/>
      <c r="N149" s="157"/>
    </row>
    <row r="150" spans="2:14" x14ac:dyDescent="0.65">
      <c r="B150" s="3" t="s">
        <v>205</v>
      </c>
      <c r="C150" s="8"/>
      <c r="D150" s="145">
        <f>D142+D148</f>
        <v>0</v>
      </c>
      <c r="E150" s="145">
        <f t="shared" ref="E150:N150" si="93">E142+E148</f>
        <v>0</v>
      </c>
      <c r="F150" s="145">
        <f t="shared" si="93"/>
        <v>0</v>
      </c>
      <c r="G150" s="145">
        <f t="shared" si="93"/>
        <v>0</v>
      </c>
      <c r="H150" s="145">
        <f t="shared" si="93"/>
        <v>0</v>
      </c>
      <c r="I150" s="145">
        <f t="shared" si="93"/>
        <v>0</v>
      </c>
      <c r="J150" s="145">
        <f t="shared" si="93"/>
        <v>0</v>
      </c>
      <c r="K150" s="145">
        <f t="shared" si="93"/>
        <v>0</v>
      </c>
      <c r="L150" s="145">
        <f t="shared" si="93"/>
        <v>0</v>
      </c>
      <c r="M150" s="145">
        <f t="shared" si="93"/>
        <v>2889754.1994011523</v>
      </c>
      <c r="N150" s="153">
        <f t="shared" si="93"/>
        <v>3832764.2558898963</v>
      </c>
    </row>
    <row r="151" spans="2:14" x14ac:dyDescent="0.65">
      <c r="B151" s="3"/>
      <c r="C151" s="8"/>
      <c r="D151" s="146"/>
      <c r="E151" s="146"/>
      <c r="F151" s="146"/>
      <c r="G151" s="146"/>
      <c r="H151" s="146"/>
      <c r="I151" s="146"/>
      <c r="J151" s="146"/>
      <c r="K151" s="146"/>
      <c r="L151" s="146"/>
      <c r="M151" s="146"/>
      <c r="N151" s="151"/>
    </row>
    <row r="152" spans="2:14" x14ac:dyDescent="0.65">
      <c r="B152" s="3" t="s">
        <v>207</v>
      </c>
      <c r="C152" s="8"/>
      <c r="D152" s="146">
        <f>-D150*'Assumptions-ResRental'!$I$20</f>
        <v>0</v>
      </c>
      <c r="E152" s="146">
        <f>-E150*'Assumptions-ResRental'!$I$20</f>
        <v>0</v>
      </c>
      <c r="F152" s="146">
        <f>-F150*'Assumptions-ResRental'!$I$20</f>
        <v>0</v>
      </c>
      <c r="G152" s="146">
        <f>-G150*'Assumptions-ResRental'!$I$20</f>
        <v>0</v>
      </c>
      <c r="H152" s="146">
        <f>-H150*'Assumptions-ResRental'!$I$20</f>
        <v>0</v>
      </c>
      <c r="I152" s="146">
        <f>-I150*'Assumptions-ResRental'!$I$20</f>
        <v>0</v>
      </c>
      <c r="J152" s="146">
        <f>-J150*'Assumptions-ResRental'!$I$20</f>
        <v>0</v>
      </c>
      <c r="K152" s="146">
        <f>-K150*'Assumptions-ResRental'!$I$20</f>
        <v>0</v>
      </c>
      <c r="L152" s="146">
        <f>-L150*'Assumptions-ResRental'!$I$20</f>
        <v>0</v>
      </c>
      <c r="M152" s="146">
        <f>-M150*'Assumptions-ResRental'!$I$20</f>
        <v>-866926.25982034567</v>
      </c>
      <c r="N152" s="151">
        <f>-N150*'Assumptions-ResRental'!$I$20</f>
        <v>-1149829.2767669689</v>
      </c>
    </row>
    <row r="153" spans="2:14" x14ac:dyDescent="0.65">
      <c r="B153" s="3"/>
      <c r="C153" s="8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51"/>
    </row>
    <row r="154" spans="2:14" x14ac:dyDescent="0.65">
      <c r="B154" s="3" t="s">
        <v>209</v>
      </c>
      <c r="C154" s="8"/>
      <c r="D154" s="145">
        <f>SUM(D150:D152)</f>
        <v>0</v>
      </c>
      <c r="E154" s="145">
        <f t="shared" ref="E154:N154" si="94">SUM(E150:E152)</f>
        <v>0</v>
      </c>
      <c r="F154" s="145">
        <f t="shared" si="94"/>
        <v>0</v>
      </c>
      <c r="G154" s="145">
        <f t="shared" si="94"/>
        <v>0</v>
      </c>
      <c r="H154" s="145">
        <f t="shared" si="94"/>
        <v>0</v>
      </c>
      <c r="I154" s="145">
        <f t="shared" si="94"/>
        <v>0</v>
      </c>
      <c r="J154" s="145">
        <f t="shared" si="94"/>
        <v>0</v>
      </c>
      <c r="K154" s="145">
        <f t="shared" si="94"/>
        <v>0</v>
      </c>
      <c r="L154" s="145">
        <f t="shared" si="94"/>
        <v>0</v>
      </c>
      <c r="M154" s="145">
        <f t="shared" si="94"/>
        <v>2022827.9395808065</v>
      </c>
      <c r="N154" s="153">
        <f t="shared" si="94"/>
        <v>2682934.9791229274</v>
      </c>
    </row>
    <row r="155" spans="2:14" x14ac:dyDescent="0.65">
      <c r="B155" s="3"/>
      <c r="C155" s="8"/>
      <c r="D155" s="146"/>
      <c r="E155" s="146"/>
      <c r="F155" s="146"/>
      <c r="G155" s="146"/>
      <c r="H155" s="146"/>
      <c r="I155" s="146"/>
      <c r="J155" s="146"/>
      <c r="K155" s="146"/>
      <c r="L155" s="146"/>
      <c r="M155" s="146"/>
      <c r="N155" s="151"/>
    </row>
    <row r="156" spans="2:14" x14ac:dyDescent="0.65">
      <c r="B156" s="3" t="s">
        <v>189</v>
      </c>
      <c r="C156" s="8"/>
      <c r="D156" s="146">
        <f>-SUM(D127:D136)*'Assumptions-ResRental'!$I$22*(1+'Assumptions-Overall'!$C$40)^('CashFlow-ResRental'!D$7-1)</f>
        <v>0</v>
      </c>
      <c r="E156" s="146">
        <f>-SUM(E127:E136)*'Assumptions-ResRental'!$I$22*(1+'Assumptions-Overall'!$C$40)^('CashFlow-ResRental'!E$7-1)</f>
        <v>0</v>
      </c>
      <c r="F156" s="146">
        <f>-SUM(F127:F136)*'Assumptions-ResRental'!$I$22*(1+'Assumptions-Overall'!$C$40)^('CashFlow-ResRental'!F$7-1)</f>
        <v>0</v>
      </c>
      <c r="G156" s="146">
        <f>-SUM(G127:G136)*'Assumptions-ResRental'!$I$22*(1+'Assumptions-Overall'!$C$40)^('CashFlow-ResRental'!G$7-1)</f>
        <v>0</v>
      </c>
      <c r="H156" s="146">
        <f>-SUM(H127:H136)*'Assumptions-ResRental'!$I$22*(1+'Assumptions-Overall'!$C$40)^('CashFlow-ResRental'!H$7-1)</f>
        <v>0</v>
      </c>
      <c r="I156" s="146">
        <f>-SUM(I127:I136)*'Assumptions-ResRental'!$I$22*(1+'Assumptions-Overall'!$C$40)^('CashFlow-ResRental'!I$7-1)</f>
        <v>0</v>
      </c>
      <c r="J156" s="146">
        <f>-SUM(J127:J136)*'Assumptions-ResRental'!$I$22*(1+'Assumptions-Overall'!$C$40)^('CashFlow-ResRental'!J$7-1)</f>
        <v>0</v>
      </c>
      <c r="K156" s="146">
        <f>-SUM(K127:K136)*'Assumptions-ResRental'!$I$22*(1+'Assumptions-Overall'!$C$40)^('CashFlow-ResRental'!K$7-1)</f>
        <v>0</v>
      </c>
      <c r="L156" s="146">
        <f>-SUM(L127:L136)*'Assumptions-ResRental'!$I$22*(1+'Assumptions-Overall'!$C$40)^('CashFlow-ResRental'!L$7-1)</f>
        <v>0</v>
      </c>
      <c r="M156" s="146">
        <f>-SUM(M127:M136)*'Assumptions-ResRental'!$I$22*(1+'Assumptions-Overall'!$C$40)^('CashFlow-ResRental'!M$7-1)</f>
        <v>-70457.751926779194</v>
      </c>
      <c r="N156" s="151"/>
    </row>
    <row r="157" spans="2:14" x14ac:dyDescent="0.65">
      <c r="B157" s="3"/>
      <c r="C157" s="8"/>
      <c r="D157" s="146"/>
      <c r="E157" s="146"/>
      <c r="F157" s="146"/>
      <c r="G157" s="146"/>
      <c r="H157" s="146"/>
      <c r="I157" s="146"/>
      <c r="J157" s="146"/>
      <c r="K157" s="146"/>
      <c r="L157" s="146"/>
      <c r="M157" s="146"/>
      <c r="N157" s="151"/>
    </row>
    <row r="158" spans="2:14" x14ac:dyDescent="0.65">
      <c r="B158" s="3" t="s">
        <v>208</v>
      </c>
      <c r="C158" s="8"/>
      <c r="D158" s="145">
        <f>SUM(D154:D156)</f>
        <v>0</v>
      </c>
      <c r="E158" s="145">
        <f t="shared" ref="E158:M158" si="95">SUM(E154:E156)</f>
        <v>0</v>
      </c>
      <c r="F158" s="145">
        <f t="shared" si="95"/>
        <v>0</v>
      </c>
      <c r="G158" s="145">
        <f t="shared" si="95"/>
        <v>0</v>
      </c>
      <c r="H158" s="145">
        <f t="shared" si="95"/>
        <v>0</v>
      </c>
      <c r="I158" s="145">
        <f t="shared" si="95"/>
        <v>0</v>
      </c>
      <c r="J158" s="145">
        <f t="shared" si="95"/>
        <v>0</v>
      </c>
      <c r="K158" s="145">
        <f t="shared" si="95"/>
        <v>0</v>
      </c>
      <c r="L158" s="145">
        <f t="shared" si="95"/>
        <v>0</v>
      </c>
      <c r="M158" s="145">
        <f t="shared" si="95"/>
        <v>1952370.1876540272</v>
      </c>
      <c r="N158" s="151"/>
    </row>
    <row r="159" spans="2:14" x14ac:dyDescent="0.65">
      <c r="B159" s="3"/>
      <c r="C159" s="8"/>
      <c r="D159" s="146"/>
      <c r="E159" s="146"/>
      <c r="F159" s="146"/>
      <c r="G159" s="146"/>
      <c r="H159" s="146"/>
      <c r="I159" s="146"/>
      <c r="J159" s="146"/>
      <c r="K159" s="146"/>
      <c r="L159" s="146"/>
      <c r="M159" s="146"/>
      <c r="N159" s="151"/>
    </row>
    <row r="160" spans="2:14" x14ac:dyDescent="0.65">
      <c r="B160" s="36" t="s">
        <v>130</v>
      </c>
      <c r="C160" s="8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51"/>
    </row>
    <row r="161" spans="2:14" x14ac:dyDescent="0.65">
      <c r="B161" s="3" t="s">
        <v>210</v>
      </c>
      <c r="C161" s="8"/>
      <c r="D161" s="146">
        <f>-(AND(D$8&gt;=YEAR(PhaseIIIConBegin),D$8&lt;=YEAR(PhaseIIIConEnd)))*SUM($D124:$N124)*('Assumptions-Overall'!$J$10+'Assumptions-Overall'!$J$12)*(1+'Assumptions-Overall'!$C$41)^('CashFlow-ResRental'!D$7-1)/(YEAR(PhaseIIIConEnd)-YEAR(PhaseIIIConBegin)+1)</f>
        <v>0</v>
      </c>
      <c r="E161" s="146">
        <f>-(AND(E$8&gt;=YEAR(PhaseIIIConBegin),E$8&lt;=YEAR(PhaseIIIConEnd)))*SUM($D124:$N124)*('Assumptions-Overall'!$J$10+'Assumptions-Overall'!$J$12)*(1+'Assumptions-Overall'!$C$41)^('CashFlow-ResRental'!E$7-1)/(YEAR(PhaseIIIConEnd)-YEAR(PhaseIIIConBegin)+1)</f>
        <v>0</v>
      </c>
      <c r="F161" s="146">
        <f>-(AND(F$8&gt;=YEAR(PhaseIIIConBegin),F$8&lt;=YEAR(PhaseIIIConEnd)))*SUM($D124:$N124)*('Assumptions-Overall'!$J$10+'Assumptions-Overall'!$J$12)*(1+'Assumptions-Overall'!$C$41)^('CashFlow-ResRental'!F$7-1)/(YEAR(PhaseIIIConEnd)-YEAR(PhaseIIIConBegin)+1)</f>
        <v>0</v>
      </c>
      <c r="G161" s="146">
        <f>-(AND(G$8&gt;=YEAR(PhaseIIIConBegin),G$8&lt;=YEAR(PhaseIIIConEnd)))*SUM($D124:$N124)*('Assumptions-Overall'!$J$10+'Assumptions-Overall'!$J$12)*(1+'Assumptions-Overall'!$C$41)^('CashFlow-ResRental'!G$7-1)/(YEAR(PhaseIIIConEnd)-YEAR(PhaseIIIConBegin)+1)</f>
        <v>0</v>
      </c>
      <c r="H161" s="146">
        <f>-(AND(H$8&gt;=YEAR(PhaseIIIConBegin),H$8&lt;=YEAR(PhaseIIIConEnd)))*SUM($D124:$N124)*('Assumptions-Overall'!$J$10+'Assumptions-Overall'!$J$12)*(1+'Assumptions-Overall'!$C$41)^('CashFlow-ResRental'!H$7-1)/(YEAR(PhaseIIIConEnd)-YEAR(PhaseIIIConBegin)+1)</f>
        <v>0</v>
      </c>
      <c r="I161" s="146">
        <f>-(AND(I$8&gt;=YEAR(PhaseIIIConBegin),I$8&lt;=YEAR(PhaseIIIConEnd)))*SUM($D124:$N124)*('Assumptions-Overall'!$J$10+'Assumptions-Overall'!$J$12)*(1+'Assumptions-Overall'!$C$41)^('CashFlow-ResRental'!I$7-1)/(YEAR(PhaseIIIConEnd)-YEAR(PhaseIIIConBegin)+1)</f>
        <v>0</v>
      </c>
      <c r="J161" s="146">
        <f>-(AND(J$8&gt;=YEAR(PhaseIIIConBegin),J$8&lt;=YEAR(PhaseIIIConEnd)))*SUM($D124:$N124)*('Assumptions-Overall'!$J$10+'Assumptions-Overall'!$J$12)*(1+'Assumptions-Overall'!$C$41)^('CashFlow-ResRental'!J$7-1)/(YEAR(PhaseIIIConEnd)-YEAR(PhaseIIIConBegin)+1)</f>
        <v>0</v>
      </c>
      <c r="K161" s="146">
        <f>-(AND(K$8&gt;=YEAR(PhaseIIIConBegin),K$8&lt;=YEAR(PhaseIIIConEnd)))*SUM($D124:$N124)*('Assumptions-Overall'!$J$10+'Assumptions-Overall'!$J$12)*(1+'Assumptions-Overall'!$C$41)^('CashFlow-ResRental'!K$7-1)/(YEAR(PhaseIIIConEnd)-YEAR(PhaseIIIConBegin)+1)</f>
        <v>-14087348.244572997</v>
      </c>
      <c r="L161" s="146">
        <f>-(AND(L$8&gt;=YEAR(PhaseIIIConBegin),L$8&lt;=YEAR(PhaseIIIConEnd)))*SUM($D124:$N124)*('Assumptions-Overall'!$J$10+'Assumptions-Overall'!$J$12)*(1+'Assumptions-Overall'!$C$41)^('CashFlow-ResRental'!L$7-1)/(YEAR(PhaseIIIConEnd)-YEAR(PhaseIIIConBegin)+1)</f>
        <v>-14509968.691910187</v>
      </c>
      <c r="M161" s="146">
        <f>-(AND(M$8&gt;=YEAR(PhaseIIIConBegin),M$8&lt;=YEAR(PhaseIIIConEnd)))*SUM($D124:$N124)*('Assumptions-Overall'!$J$10+'Assumptions-Overall'!$J$12)*(1+'Assumptions-Overall'!$C$41)^('CashFlow-ResRental'!M$7-1)/(YEAR(PhaseIIIConEnd)-YEAR(PhaseIIIConBegin)+1)</f>
        <v>0</v>
      </c>
      <c r="N161" s="151"/>
    </row>
    <row r="162" spans="2:14" x14ac:dyDescent="0.65">
      <c r="B162" s="3" t="s">
        <v>211</v>
      </c>
      <c r="C162" s="8"/>
      <c r="D162" s="146">
        <f>(AND(D$8&gt;=YEAR(PhaseIIIPreconBegin),D$8&lt;=YEAR(PhaseIIIConEnd)))*SUM($D161:$N161)*'Assumptions-Overall'!$H$43/(YEAR(PhaseIIIConEnd)-YEAR(PhaseIIIPreconBegin)+1)</f>
        <v>0</v>
      </c>
      <c r="E162" s="146">
        <f>(AND(E$8&gt;=YEAR(PhaseIIIPreconBegin),E$8&lt;=YEAR(PhaseIIIConEnd)))*SUM($D161:$N161)*'Assumptions-Overall'!$H$43/(YEAR(PhaseIIIConEnd)-YEAR(PhaseIIIPreconBegin)+1)</f>
        <v>0</v>
      </c>
      <c r="F162" s="146">
        <f>(AND(F$8&gt;=YEAR(PhaseIIIPreconBegin),F$8&lt;=YEAR(PhaseIIIConEnd)))*SUM($D161:$N161)*'Assumptions-Overall'!$H$43/(YEAR(PhaseIIIConEnd)-YEAR(PhaseIIIPreconBegin)+1)</f>
        <v>0</v>
      </c>
      <c r="G162" s="146">
        <f>(AND(G$8&gt;=YEAR(PhaseIIIPreconBegin),G$8&lt;=YEAR(PhaseIIIConEnd)))*SUM($D161:$N161)*'Assumptions-Overall'!$H$43/(YEAR(PhaseIIIConEnd)-YEAR(PhaseIIIPreconBegin)+1)</f>
        <v>0</v>
      </c>
      <c r="H162" s="146">
        <f>(AND(H$8&gt;=YEAR(PhaseIIIPreconBegin),H$8&lt;=YEAR(PhaseIIIConEnd)))*SUM($D161:$N161)*'Assumptions-Overall'!$H$43/(YEAR(PhaseIIIConEnd)-YEAR(PhaseIIIPreconBegin)+1)</f>
        <v>0</v>
      </c>
      <c r="I162" s="146">
        <f>(AND(I$8&gt;=YEAR(PhaseIIIPreconBegin),I$8&lt;=YEAR(PhaseIIIConEnd)))*SUM($D161:$N161)*'Assumptions-Overall'!$H$43/(YEAR(PhaseIIIConEnd)-YEAR(PhaseIIIPreconBegin)+1)</f>
        <v>-428959.7540472477</v>
      </c>
      <c r="J162" s="146">
        <f>(AND(J$8&gt;=YEAR(PhaseIIIPreconBegin),J$8&lt;=YEAR(PhaseIIIConEnd)))*SUM($D161:$N161)*'Assumptions-Overall'!$H$43/(YEAR(PhaseIIIConEnd)-YEAR(PhaseIIIPreconBegin)+1)</f>
        <v>-428959.7540472477</v>
      </c>
      <c r="K162" s="146">
        <f>(AND(K$8&gt;=YEAR(PhaseIIIPreconBegin),K$8&lt;=YEAR(PhaseIIIConEnd)))*SUM($D161:$N161)*'Assumptions-Overall'!$H$43/(YEAR(PhaseIIIConEnd)-YEAR(PhaseIIIPreconBegin)+1)</f>
        <v>-428959.7540472477</v>
      </c>
      <c r="L162" s="146">
        <f>(AND(L$8&gt;=YEAR(PhaseIIIPreconBegin),L$8&lt;=YEAR(PhaseIIIConEnd)))*SUM($D161:$N161)*'Assumptions-Overall'!$H$43/(YEAR(PhaseIIIConEnd)-YEAR(PhaseIIIPreconBegin)+1)</f>
        <v>-428959.7540472477</v>
      </c>
      <c r="M162" s="146">
        <f>(AND(M$8&gt;=YEAR(PhaseIIIPreconBegin),M$8&lt;=YEAR(PhaseIIIConEnd)))*SUM($D161:$N161)*'Assumptions-Overall'!$H$43/(YEAR(PhaseIIIConEnd)-YEAR(PhaseIIIPreconBegin)+1)</f>
        <v>0</v>
      </c>
      <c r="N162" s="151"/>
    </row>
    <row r="163" spans="2:14" x14ac:dyDescent="0.65">
      <c r="B163" s="3" t="s">
        <v>115</v>
      </c>
      <c r="C163" s="8"/>
      <c r="D163" s="146">
        <f>(AND(D$8&gt;=YEAR(PhaseIIIPreconBegin),D$8&lt;=YEAR(PhaseIIIConEnd)))*SUM($D161:$N161)*'Assumptions-Overall'!$H$44/(YEAR(PhaseIIIConEnd)-YEAR(PhaseIIIPreconBegin)+1)</f>
        <v>0</v>
      </c>
      <c r="E163" s="146">
        <f>(AND(E$8&gt;=YEAR(PhaseIIIPreconBegin),E$8&lt;=YEAR(PhaseIIIConEnd)))*SUM($D161:$N161)*'Assumptions-Overall'!$H$44/(YEAR(PhaseIIIConEnd)-YEAR(PhaseIIIPreconBegin)+1)</f>
        <v>0</v>
      </c>
      <c r="F163" s="146">
        <f>(AND(F$8&gt;=YEAR(PhaseIIIPreconBegin),F$8&lt;=YEAR(PhaseIIIConEnd)))*SUM($D161:$N161)*'Assumptions-Overall'!$H$44/(YEAR(PhaseIIIConEnd)-YEAR(PhaseIIIPreconBegin)+1)</f>
        <v>0</v>
      </c>
      <c r="G163" s="146">
        <f>(AND(G$8&gt;=YEAR(PhaseIIIPreconBegin),G$8&lt;=YEAR(PhaseIIIConEnd)))*SUM($D161:$N161)*'Assumptions-Overall'!$H$44/(YEAR(PhaseIIIConEnd)-YEAR(PhaseIIIPreconBegin)+1)</f>
        <v>0</v>
      </c>
      <c r="H163" s="146">
        <f>(AND(H$8&gt;=YEAR(PhaseIIIPreconBegin),H$8&lt;=YEAR(PhaseIIIConEnd)))*SUM($D161:$N161)*'Assumptions-Overall'!$H$44/(YEAR(PhaseIIIConEnd)-YEAR(PhaseIIIPreconBegin)+1)</f>
        <v>0</v>
      </c>
      <c r="I163" s="146">
        <f>(AND(I$8&gt;=YEAR(PhaseIIIPreconBegin),I$8&lt;=YEAR(PhaseIIIConEnd)))*SUM($D161:$N161)*'Assumptions-Overall'!$H$44/(YEAR(PhaseIIIConEnd)-YEAR(PhaseIIIPreconBegin)+1)</f>
        <v>-714932.92341207957</v>
      </c>
      <c r="J163" s="146">
        <f>(AND(J$8&gt;=YEAR(PhaseIIIPreconBegin),J$8&lt;=YEAR(PhaseIIIConEnd)))*SUM($D161:$N161)*'Assumptions-Overall'!$H$44/(YEAR(PhaseIIIConEnd)-YEAR(PhaseIIIPreconBegin)+1)</f>
        <v>-714932.92341207957</v>
      </c>
      <c r="K163" s="146">
        <f>(AND(K$8&gt;=YEAR(PhaseIIIPreconBegin),K$8&lt;=YEAR(PhaseIIIConEnd)))*SUM($D161:$N161)*'Assumptions-Overall'!$H$44/(YEAR(PhaseIIIConEnd)-YEAR(PhaseIIIPreconBegin)+1)</f>
        <v>-714932.92341207957</v>
      </c>
      <c r="L163" s="146">
        <f>(AND(L$8&gt;=YEAR(PhaseIIIPreconBegin),L$8&lt;=YEAR(PhaseIIIConEnd)))*SUM($D161:$N161)*'Assumptions-Overall'!$H$44/(YEAR(PhaseIIIConEnd)-YEAR(PhaseIIIPreconBegin)+1)</f>
        <v>-714932.92341207957</v>
      </c>
      <c r="M163" s="146">
        <f>(AND(M$8&gt;=YEAR(PhaseIIIPreconBegin),M$8&lt;=YEAR(PhaseIIIConEnd)))*SUM($D161:$N161)*'Assumptions-Overall'!$H$44/(YEAR(PhaseIIIConEnd)-YEAR(PhaseIIIPreconBegin)+1)</f>
        <v>0</v>
      </c>
      <c r="N163" s="151"/>
    </row>
    <row r="164" spans="2:14" x14ac:dyDescent="0.65">
      <c r="B164" s="3" t="s">
        <v>116</v>
      </c>
      <c r="C164" s="8"/>
      <c r="D164" s="144">
        <f>SUM(D161:D163)*'Assumptions-Overall'!$H$45</f>
        <v>0</v>
      </c>
      <c r="E164" s="144">
        <f>SUM(E161:E163)*'Assumptions-Overall'!$H$45</f>
        <v>0</v>
      </c>
      <c r="F164" s="144">
        <f>SUM(F161:F163)*'Assumptions-Overall'!$H$45</f>
        <v>0</v>
      </c>
      <c r="G164" s="144">
        <f>SUM(G161:G163)*'Assumptions-Overall'!$H$45</f>
        <v>0</v>
      </c>
      <c r="H164" s="144">
        <f>SUM(H161:H163)*'Assumptions-Overall'!$H$45</f>
        <v>0</v>
      </c>
      <c r="I164" s="144">
        <f>SUM(I161:I163)*'Assumptions-Overall'!$H$45</f>
        <v>-57194.633872966369</v>
      </c>
      <c r="J164" s="144">
        <f>SUM(J161:J163)*'Assumptions-Overall'!$H$45</f>
        <v>-57194.633872966369</v>
      </c>
      <c r="K164" s="144">
        <f>SUM(K161:K163)*'Assumptions-Overall'!$H$45</f>
        <v>-761562.04610161623</v>
      </c>
      <c r="L164" s="144">
        <f>SUM(L161:L163)*'Assumptions-Overall'!$H$45</f>
        <v>-782693.06846847571</v>
      </c>
      <c r="M164" s="144">
        <f>SUM(M161:M163)*'Assumptions-Overall'!$H$45</f>
        <v>0</v>
      </c>
      <c r="N164" s="151"/>
    </row>
    <row r="165" spans="2:14" x14ac:dyDescent="0.65">
      <c r="B165" s="3" t="s">
        <v>212</v>
      </c>
      <c r="C165" s="8"/>
      <c r="D165" s="146">
        <f>SUM(D161:D164)</f>
        <v>0</v>
      </c>
      <c r="E165" s="146">
        <f t="shared" ref="E165" si="96">SUM(E161:E164)</f>
        <v>0</v>
      </c>
      <c r="F165" s="146">
        <f t="shared" ref="F165" si="97">SUM(F161:F164)</f>
        <v>0</v>
      </c>
      <c r="G165" s="146">
        <f t="shared" ref="G165" si="98">SUM(G161:G164)</f>
        <v>0</v>
      </c>
      <c r="H165" s="146">
        <f t="shared" ref="H165" si="99">SUM(H161:H164)</f>
        <v>0</v>
      </c>
      <c r="I165" s="146">
        <f t="shared" ref="I165" si="100">SUM(I161:I164)</f>
        <v>-1201087.3113322936</v>
      </c>
      <c r="J165" s="146">
        <f t="shared" ref="J165" si="101">SUM(J161:J164)</f>
        <v>-1201087.3113322936</v>
      </c>
      <c r="K165" s="146">
        <f t="shared" ref="K165" si="102">SUM(K161:K164)</f>
        <v>-15992802.968133941</v>
      </c>
      <c r="L165" s="146">
        <f t="shared" ref="L165" si="103">SUM(L161:L164)</f>
        <v>-16436554.43783799</v>
      </c>
      <c r="M165" s="146">
        <f t="shared" ref="M165" si="104">SUM(M161:M164)</f>
        <v>0</v>
      </c>
      <c r="N165" s="151"/>
    </row>
    <row r="166" spans="2:14" x14ac:dyDescent="0.65">
      <c r="B166" s="3"/>
      <c r="C166" s="8"/>
      <c r="D166" s="146"/>
      <c r="E166" s="146"/>
      <c r="F166" s="146"/>
      <c r="G166" s="146"/>
      <c r="H166" s="146"/>
      <c r="I166" s="146"/>
      <c r="J166" s="146"/>
      <c r="K166" s="146"/>
      <c r="L166" s="146"/>
      <c r="M166" s="146"/>
      <c r="N166" s="151"/>
    </row>
    <row r="167" spans="2:14" x14ac:dyDescent="0.65">
      <c r="B167" s="3" t="s">
        <v>571</v>
      </c>
      <c r="C167" s="8"/>
      <c r="D167" s="146">
        <f>ABS((D$8=YEAR(PhaseIIIComplete))*MAX(SUM(D133:D136)*'Assumptions-ResRental'!$S$15,'Assumptions-ResRental'!$S$14*'CashFlow-ResRental'!$D165:$N165))</f>
        <v>0</v>
      </c>
      <c r="E167" s="146">
        <f>ABS((E$8=YEAR(PhaseIIIComplete))*MAX(SUM(E133:E136)*'Assumptions-ResRental'!$S$15,'Assumptions-ResRental'!$S$14*'CashFlow-ResRental'!$D165:$N165))</f>
        <v>0</v>
      </c>
      <c r="F167" s="146">
        <f>ABS((F$8=YEAR(PhaseIIIComplete))*MAX(SUM(F133:F136)*'Assumptions-ResRental'!$S$15,'Assumptions-ResRental'!$S$14*'CashFlow-ResRental'!$D165:$N165))</f>
        <v>0</v>
      </c>
      <c r="G167" s="146">
        <f>ABS((G$8=YEAR(PhaseIIIComplete))*MAX(SUM(G133:G136)*'Assumptions-ResRental'!$S$15,'Assumptions-ResRental'!$S$14*'CashFlow-ResRental'!$D165:$N165))</f>
        <v>0</v>
      </c>
      <c r="H167" s="146">
        <f>ABS((H$8=YEAR(PhaseIIIComplete))*MAX(SUM(H133:H136)*'Assumptions-ResRental'!$S$15,'Assumptions-ResRental'!$S$14*'CashFlow-ResRental'!$D165:$N165))</f>
        <v>0</v>
      </c>
      <c r="I167" s="146">
        <f>ABS((I$8=YEAR(PhaseIIIComplete))*MAX(SUM(I133:I136)*'Assumptions-ResRental'!$S$15,'Assumptions-ResRental'!$S$14*'CashFlow-ResRental'!$D165:$N165))</f>
        <v>0</v>
      </c>
      <c r="J167" s="146">
        <f>ABS((J$8=YEAR(PhaseIIIComplete))*MAX(SUM(J133:J136)*'Assumptions-ResRental'!$S$15,'Assumptions-ResRental'!$S$14*'CashFlow-ResRental'!$D165:$N165))</f>
        <v>0</v>
      </c>
      <c r="K167" s="146">
        <f>ABS((K$8=YEAR(PhaseIIIComplete))*MAX(SUM(K133:K136)*'Assumptions-ResRental'!$S$15,'Assumptions-ResRental'!$S$14*'CashFlow-ResRental'!$D165:$N165))</f>
        <v>0</v>
      </c>
      <c r="L167" s="146">
        <f>ABS((L$8=YEAR(PhaseIIIComplete))*MAX(SUM(L133:L136)*'Assumptions-ResRental'!$S$15,'Assumptions-ResRental'!$S$14*'CashFlow-ResRental'!$D165:$N165))</f>
        <v>0</v>
      </c>
      <c r="M167" s="146">
        <f>ABS((M$8=YEAR(PhaseIIIComplete))*MAX(SUM(M133:M136)*'Assumptions-ResRental'!$S$15,'Assumptions-ResRental'!$S$14*'CashFlow-ResRental'!$D165:$N165))</f>
        <v>771550</v>
      </c>
      <c r="N167" s="151"/>
    </row>
    <row r="168" spans="2:14" x14ac:dyDescent="0.65">
      <c r="B168" s="3"/>
      <c r="C168" s="8"/>
      <c r="D168" s="146"/>
      <c r="E168" s="146"/>
      <c r="F168" s="146"/>
      <c r="G168" s="146"/>
      <c r="H168" s="146"/>
      <c r="I168" s="146"/>
      <c r="J168" s="146"/>
      <c r="K168" s="146"/>
      <c r="L168" s="146"/>
      <c r="M168" s="146"/>
      <c r="N168" s="151"/>
    </row>
    <row r="169" spans="2:14" x14ac:dyDescent="0.65">
      <c r="B169" s="36" t="s">
        <v>213</v>
      </c>
      <c r="C169" s="8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51"/>
    </row>
    <row r="170" spans="2:14" x14ac:dyDescent="0.65">
      <c r="B170" s="3" t="s">
        <v>215</v>
      </c>
      <c r="C170" s="8"/>
      <c r="D170" s="146">
        <f>(D$8=YEAR('Assumptions-Overall'!$C$30))*E154/'Assumptions-Overall'!$V$9</f>
        <v>0</v>
      </c>
      <c r="E170" s="146">
        <f>(E$8=YEAR('Assumptions-Overall'!$C$30))*F154/'Assumptions-Overall'!$V$9</f>
        <v>0</v>
      </c>
      <c r="F170" s="146">
        <f>(F$8=YEAR('Assumptions-Overall'!$C$30))*G154/'Assumptions-Overall'!$V$9</f>
        <v>0</v>
      </c>
      <c r="G170" s="146">
        <f>(G$8=YEAR('Assumptions-Overall'!$C$30))*H154/'Assumptions-Overall'!$V$9</f>
        <v>0</v>
      </c>
      <c r="H170" s="146">
        <f>(H$8=YEAR('Assumptions-Overall'!$C$30))*I154/'Assumptions-Overall'!$V$9</f>
        <v>0</v>
      </c>
      <c r="I170" s="146">
        <f>(I$8=YEAR('Assumptions-Overall'!$C$30))*J154/'Assumptions-Overall'!$V$9</f>
        <v>0</v>
      </c>
      <c r="J170" s="146">
        <f>(J$8=YEAR('Assumptions-Overall'!$C$30))*K154/'Assumptions-Overall'!$V$9</f>
        <v>0</v>
      </c>
      <c r="K170" s="146">
        <f>(K$8=YEAR('Assumptions-Overall'!$C$30))*L154/'Assumptions-Overall'!$V$9</f>
        <v>0</v>
      </c>
      <c r="L170" s="146">
        <f>(L$8=YEAR('Assumptions-Overall'!$C$30))*M154/'Assumptions-Overall'!$V$9</f>
        <v>0</v>
      </c>
      <c r="M170" s="146">
        <f>(M$8=YEAR('Assumptions-Overall'!$C$30))*N154/'Assumptions-Overall'!$V$9</f>
        <v>34618515.859650679</v>
      </c>
      <c r="N170" s="151"/>
    </row>
    <row r="171" spans="2:14" x14ac:dyDescent="0.65">
      <c r="B171" s="3" t="s">
        <v>216</v>
      </c>
      <c r="C171" s="8"/>
      <c r="D171" s="144">
        <f>-D170*'Assumptions-Overall'!$R$27</f>
        <v>0</v>
      </c>
      <c r="E171" s="144">
        <f>-E170*'Assumptions-Overall'!$R$27</f>
        <v>0</v>
      </c>
      <c r="F171" s="144">
        <f>-F170*'Assumptions-Overall'!$R$27</f>
        <v>0</v>
      </c>
      <c r="G171" s="144">
        <f>-G170*'Assumptions-Overall'!$R$27</f>
        <v>0</v>
      </c>
      <c r="H171" s="144">
        <f>-H170*'Assumptions-Overall'!$R$27</f>
        <v>0</v>
      </c>
      <c r="I171" s="144">
        <f>-I170*'Assumptions-Overall'!$R$27</f>
        <v>0</v>
      </c>
      <c r="J171" s="144">
        <f>-J170*'Assumptions-Overall'!$R$27</f>
        <v>0</v>
      </c>
      <c r="K171" s="144">
        <f>-K170*'Assumptions-Overall'!$R$27</f>
        <v>0</v>
      </c>
      <c r="L171" s="144">
        <f>-L170*'Assumptions-Overall'!$R$27</f>
        <v>0</v>
      </c>
      <c r="M171" s="144">
        <f>-M170*'Assumptions-Overall'!$R$27</f>
        <v>-692370.31719301362</v>
      </c>
      <c r="N171" s="151"/>
    </row>
    <row r="172" spans="2:14" x14ac:dyDescent="0.65">
      <c r="B172" s="3" t="s">
        <v>217</v>
      </c>
      <c r="C172" s="8"/>
      <c r="D172" s="146">
        <f>SUM(D170:D171)</f>
        <v>0</v>
      </c>
      <c r="E172" s="146">
        <f t="shared" ref="E172" si="105">SUM(E170:E171)</f>
        <v>0</v>
      </c>
      <c r="F172" s="146">
        <f t="shared" ref="F172" si="106">SUM(F170:F171)</f>
        <v>0</v>
      </c>
      <c r="G172" s="146">
        <f t="shared" ref="G172" si="107">SUM(G170:G171)</f>
        <v>0</v>
      </c>
      <c r="H172" s="146">
        <f t="shared" ref="H172" si="108">SUM(H170:H171)</f>
        <v>0</v>
      </c>
      <c r="I172" s="146">
        <f t="shared" ref="I172" si="109">SUM(I170:I171)</f>
        <v>0</v>
      </c>
      <c r="J172" s="146">
        <f t="shared" ref="J172" si="110">SUM(J170:J171)</f>
        <v>0</v>
      </c>
      <c r="K172" s="146">
        <f t="shared" ref="K172" si="111">SUM(K170:K171)</f>
        <v>0</v>
      </c>
      <c r="L172" s="146">
        <f t="shared" ref="L172" si="112">SUM(L170:L171)</f>
        <v>0</v>
      </c>
      <c r="M172" s="146">
        <f t="shared" ref="M172" si="113">SUM(M170:M171)</f>
        <v>33926145.542457663</v>
      </c>
      <c r="N172" s="151"/>
    </row>
    <row r="173" spans="2:14" x14ac:dyDescent="0.65">
      <c r="B173" s="3"/>
      <c r="C173" s="8"/>
      <c r="D173" s="146"/>
      <c r="E173" s="146"/>
      <c r="F173" s="146"/>
      <c r="G173" s="146"/>
      <c r="H173" s="146"/>
      <c r="I173" s="146"/>
      <c r="J173" s="146"/>
      <c r="K173" s="146"/>
      <c r="L173" s="146"/>
      <c r="M173" s="146"/>
      <c r="N173" s="151"/>
    </row>
    <row r="174" spans="2:14" x14ac:dyDescent="0.65">
      <c r="B174" s="3" t="s">
        <v>214</v>
      </c>
      <c r="C174" s="8"/>
      <c r="D174" s="146">
        <f>D158+D165+D167+D172</f>
        <v>0</v>
      </c>
      <c r="E174" s="146">
        <f t="shared" ref="E174:M174" si="114">E158+E165+E167+E172</f>
        <v>0</v>
      </c>
      <c r="F174" s="146">
        <f t="shared" si="114"/>
        <v>0</v>
      </c>
      <c r="G174" s="146">
        <f t="shared" si="114"/>
        <v>0</v>
      </c>
      <c r="H174" s="146">
        <f t="shared" si="114"/>
        <v>0</v>
      </c>
      <c r="I174" s="146">
        <f t="shared" si="114"/>
        <v>-1201087.3113322936</v>
      </c>
      <c r="J174" s="146">
        <f t="shared" si="114"/>
        <v>-1201087.3113322936</v>
      </c>
      <c r="K174" s="146">
        <f t="shared" si="114"/>
        <v>-15992802.968133941</v>
      </c>
      <c r="L174" s="146">
        <f t="shared" si="114"/>
        <v>-16436554.43783799</v>
      </c>
      <c r="M174" s="146">
        <f t="shared" si="114"/>
        <v>36650065.730111688</v>
      </c>
      <c r="N174" s="151"/>
    </row>
    <row r="175" spans="2:14" x14ac:dyDescent="0.65">
      <c r="B175" s="3" t="s">
        <v>218</v>
      </c>
      <c r="C175" s="158">
        <f>IFERROR(IRR(D174:M174),"n/a")</f>
        <v>3.1527540494688422E-2</v>
      </c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51"/>
    </row>
    <row r="176" spans="2:14" ht="13" thickBot="1" x14ac:dyDescent="0.8">
      <c r="B176" s="5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1"/>
    </row>
    <row r="178" spans="2:13" x14ac:dyDescent="0.65">
      <c r="B178" s="769" t="s">
        <v>278</v>
      </c>
      <c r="C178" s="773"/>
      <c r="D178" s="770">
        <f>D174+D118+D62</f>
        <v>-6994346.575892549</v>
      </c>
      <c r="E178" s="770">
        <f t="shared" ref="E178:M178" si="115">E174+E118+E62</f>
        <v>-7693476.9535789732</v>
      </c>
      <c r="F178" s="770">
        <f t="shared" si="115"/>
        <v>-100288235.07128055</v>
      </c>
      <c r="G178" s="770">
        <f t="shared" si="115"/>
        <v>-101670793.94046471</v>
      </c>
      <c r="H178" s="770">
        <f t="shared" si="115"/>
        <v>12672763.849873086</v>
      </c>
      <c r="I178" s="770">
        <f t="shared" si="115"/>
        <v>15422641.058210485</v>
      </c>
      <c r="J178" s="770">
        <f t="shared" si="115"/>
        <v>15921352.909296762</v>
      </c>
      <c r="K178" s="770">
        <f t="shared" si="115"/>
        <v>1643310.4591139909</v>
      </c>
      <c r="L178" s="770">
        <f t="shared" si="115"/>
        <v>1728642.3922273815</v>
      </c>
      <c r="M178" s="770">
        <f t="shared" si="115"/>
        <v>304852669.58180088</v>
      </c>
    </row>
    <row r="179" spans="2:13" x14ac:dyDescent="0.65">
      <c r="B179" s="769" t="s">
        <v>279</v>
      </c>
      <c r="C179" s="771">
        <f>IRR(D178:M178)</f>
        <v>8.3384294765517675E-2</v>
      </c>
      <c r="D179" s="769"/>
      <c r="E179" s="769"/>
      <c r="F179" s="769"/>
      <c r="G179" s="769"/>
      <c r="H179" s="769"/>
      <c r="I179" s="769"/>
      <c r="J179" s="769"/>
      <c r="K179" s="769"/>
      <c r="L179" s="769"/>
      <c r="M179" s="769"/>
    </row>
  </sheetData>
  <mergeCells count="2">
    <mergeCell ref="B6:N6"/>
    <mergeCell ref="B2:C2"/>
  </mergeCells>
  <pageMargins left="0.7" right="0.7" top="0.75" bottom="0.75" header="0.3" footer="0.3"/>
  <pageSetup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5C577-D650-4C0D-85C5-5007DE191DBF}">
  <sheetPr>
    <tabColor rgb="FFF0C2DC"/>
  </sheetPr>
  <dimension ref="B1:Q32"/>
  <sheetViews>
    <sheetView workbookViewId="0">
      <selection activeCell="I20" sqref="I20"/>
    </sheetView>
  </sheetViews>
  <sheetFormatPr defaultColWidth="9.08984375" defaultRowHeight="12.25" x14ac:dyDescent="0.65"/>
  <cols>
    <col min="1" max="1" width="2.76953125" style="1" customWidth="1"/>
    <col min="2" max="2" width="22.453125" style="1" customWidth="1"/>
    <col min="3" max="3" width="9.08984375" style="1"/>
    <col min="4" max="4" width="6.76953125" style="1" customWidth="1"/>
    <col min="5" max="5" width="7.08984375" style="1" customWidth="1"/>
    <col min="6" max="6" width="7.76953125" style="1" customWidth="1"/>
    <col min="7" max="7" width="2.76953125" style="1" customWidth="1"/>
    <col min="8" max="8" width="19.76953125" style="1" customWidth="1"/>
    <col min="9" max="9" width="14.453125" style="1" customWidth="1"/>
    <col min="10" max="10" width="13.453125" style="1" customWidth="1"/>
    <col min="11" max="12" width="17.453125" style="1" customWidth="1"/>
    <col min="13" max="13" width="2.76953125" style="1" customWidth="1"/>
    <col min="14" max="14" width="23.76953125" style="1" customWidth="1"/>
    <col min="15" max="15" width="14.453125" style="1" customWidth="1"/>
    <col min="16" max="16" width="7.76953125" style="1" customWidth="1"/>
    <col min="17" max="17" width="11.08984375" style="1" customWidth="1"/>
    <col min="18" max="18" width="2.76953125" style="1" customWidth="1"/>
    <col min="19" max="19" width="19.76953125" style="1" bestFit="1" customWidth="1"/>
    <col min="20" max="20" width="9.453125" style="1" bestFit="1" customWidth="1"/>
    <col min="21" max="16384" width="9.08984375" style="1"/>
  </cols>
  <sheetData>
    <row r="1" spans="2:17" ht="13" thickBot="1" x14ac:dyDescent="0.8"/>
    <row r="2" spans="2:17" ht="14.25" x14ac:dyDescent="0.9">
      <c r="B2" s="982" t="s">
        <v>37</v>
      </c>
      <c r="C2" s="983"/>
      <c r="E2" s="390"/>
      <c r="F2" s="390"/>
      <c r="G2" s="390"/>
      <c r="H2" s="390"/>
      <c r="I2" s="390"/>
    </row>
    <row r="3" spans="2:17" x14ac:dyDescent="0.65">
      <c r="B3" s="3" t="s">
        <v>36</v>
      </c>
      <c r="C3" s="4" t="str">
        <f>ProjectName</f>
        <v>8th Hill</v>
      </c>
      <c r="E3" s="390"/>
      <c r="F3" s="390"/>
      <c r="G3" s="390"/>
      <c r="H3" s="390"/>
      <c r="I3" s="390"/>
    </row>
    <row r="4" spans="2:17" ht="13" thickBot="1" x14ac:dyDescent="0.8">
      <c r="B4" s="5" t="s">
        <v>35</v>
      </c>
      <c r="C4" s="6">
        <f>TeamNumber</f>
        <v>192021</v>
      </c>
    </row>
    <row r="5" spans="2:17" ht="13" thickBot="1" x14ac:dyDescent="0.8"/>
    <row r="6" spans="2:17" ht="14.25" x14ac:dyDescent="0.9">
      <c r="B6" s="979" t="s">
        <v>133</v>
      </c>
      <c r="C6" s="980"/>
      <c r="D6" s="980"/>
      <c r="E6" s="980"/>
      <c r="F6" s="981"/>
      <c r="H6" s="979" t="s">
        <v>139</v>
      </c>
      <c r="I6" s="980"/>
      <c r="J6" s="980"/>
      <c r="K6" s="980"/>
      <c r="L6" s="981"/>
      <c r="N6" s="979" t="s">
        <v>583</v>
      </c>
      <c r="O6" s="980"/>
      <c r="P6" s="980"/>
      <c r="Q6" s="981"/>
    </row>
    <row r="7" spans="2:17" x14ac:dyDescent="0.65">
      <c r="B7" s="33" t="s">
        <v>134</v>
      </c>
      <c r="C7" s="21"/>
      <c r="D7" s="47" t="s">
        <v>104</v>
      </c>
      <c r="E7" s="21" t="s">
        <v>104</v>
      </c>
      <c r="F7" s="4" t="s">
        <v>104</v>
      </c>
      <c r="H7" s="36" t="s">
        <v>41</v>
      </c>
      <c r="I7" s="97" t="s">
        <v>106</v>
      </c>
      <c r="J7" s="37" t="s">
        <v>135</v>
      </c>
      <c r="K7" s="37" t="s">
        <v>467</v>
      </c>
      <c r="L7" s="39" t="s">
        <v>136</v>
      </c>
      <c r="N7" s="36" t="s">
        <v>41</v>
      </c>
      <c r="O7" s="97" t="s">
        <v>106</v>
      </c>
      <c r="P7" s="37" t="s">
        <v>135</v>
      </c>
      <c r="Q7" s="39" t="s">
        <v>136</v>
      </c>
    </row>
    <row r="8" spans="2:17" x14ac:dyDescent="0.65">
      <c r="B8" s="36" t="s">
        <v>41</v>
      </c>
      <c r="C8" s="377" t="s">
        <v>103</v>
      </c>
      <c r="D8" s="378" t="s">
        <v>25</v>
      </c>
      <c r="E8" s="377" t="s">
        <v>24</v>
      </c>
      <c r="F8" s="379" t="s">
        <v>23</v>
      </c>
      <c r="H8" s="3" t="s">
        <v>13</v>
      </c>
      <c r="I8" s="24">
        <f>BuildingSummary!Y58</f>
        <v>556.1131112224449</v>
      </c>
      <c r="J8" s="103">
        <v>260</v>
      </c>
      <c r="K8" s="74">
        <v>0.1</v>
      </c>
      <c r="L8" s="101">
        <f>I8*J8*(1+K8)</f>
        <v>159048.34980961925</v>
      </c>
      <c r="N8" s="3" t="s">
        <v>13</v>
      </c>
      <c r="O8" s="24">
        <f>I8</f>
        <v>556.1131112224449</v>
      </c>
      <c r="P8" s="512">
        <f>J8*(1-O26)</f>
        <v>156</v>
      </c>
      <c r="Q8" s="101">
        <f>O8*P8</f>
        <v>86753.645350701408</v>
      </c>
    </row>
    <row r="9" spans="2:17" x14ac:dyDescent="0.65">
      <c r="B9" s="3" t="s">
        <v>13</v>
      </c>
      <c r="C9" s="22">
        <f>SUM(D9:F9)</f>
        <v>107</v>
      </c>
      <c r="D9" s="380">
        <f>SUMIFS(BuildingSummary!$D52:$U52,BuildingSummary!$D$34:$U$34,"Condominium",BuildingSummary!$D$34:$U$34,'Assumptions-ResRental'!D$8)</f>
        <v>0</v>
      </c>
      <c r="E9" s="22">
        <f>SUMIFS(BuildingSummary!$D52:$U52,BuildingSummary!$D$34:$U$34,"Condominium",BuildingSummary!$D$18:$U$18,'Assumptions-ResRental'!E$8)</f>
        <v>107</v>
      </c>
      <c r="F9" s="381">
        <f>SUMIFS(BuildingSummary!$D52:$U52,BuildingSummary!$D$34:$U$34,"Condominium",BuildingSummary!$D$18:$U$18,'Assumptions-ResRental'!F$8)</f>
        <v>0</v>
      </c>
      <c r="H9" s="3" t="s">
        <v>12</v>
      </c>
      <c r="I9" s="24">
        <f>BuildingSummary!Y59</f>
        <v>750.94952091503262</v>
      </c>
      <c r="J9" s="103">
        <v>260</v>
      </c>
      <c r="K9" s="74">
        <v>0.1</v>
      </c>
      <c r="L9" s="101">
        <f t="shared" ref="L9:L11" si="0">I9*J9*(1+K9)</f>
        <v>214771.56298169936</v>
      </c>
      <c r="N9" s="3" t="s">
        <v>12</v>
      </c>
      <c r="O9" s="24">
        <f>I9</f>
        <v>750.94952091503262</v>
      </c>
      <c r="P9" s="512">
        <f>J9*(1-O26)</f>
        <v>156</v>
      </c>
      <c r="Q9" s="101">
        <f t="shared" ref="Q9:Q11" si="1">O9*P9</f>
        <v>117148.12526274509</v>
      </c>
    </row>
    <row r="10" spans="2:17" x14ac:dyDescent="0.65">
      <c r="B10" s="3" t="s">
        <v>12</v>
      </c>
      <c r="C10" s="22">
        <f>SUM(D10:F10)</f>
        <v>410</v>
      </c>
      <c r="D10" s="467">
        <f>SUMIFS(BuildingSummary!$D53:$U53,BuildingSummary!$D$34:$U$34,"Condominium",BuildingSummary!$D$18:$U$18,'Assumptions-ResRental'!D$8)</f>
        <v>175</v>
      </c>
      <c r="E10" s="22">
        <f>SUMIFS(BuildingSummary!$D53:$U53,BuildingSummary!$D$34:$U$34,"Condominium",BuildingSummary!$D$18:$U$18,'Assumptions-ResRental'!E$8)</f>
        <v>188</v>
      </c>
      <c r="F10" s="381">
        <f>SUMIFS(BuildingSummary!$D53:$U53,BuildingSummary!$D$34:$U$34,"Condominium",BuildingSummary!$D$18:$U$18,'Assumptions-ResRental'!F$8)</f>
        <v>47</v>
      </c>
      <c r="H10" s="3" t="s">
        <v>11</v>
      </c>
      <c r="I10" s="24">
        <f>BuildingSummary!Y60</f>
        <v>1027.0415875000001</v>
      </c>
      <c r="J10" s="103">
        <v>260</v>
      </c>
      <c r="K10" s="74">
        <v>0.1</v>
      </c>
      <c r="L10" s="101">
        <f t="shared" si="0"/>
        <v>293733.89402500005</v>
      </c>
      <c r="N10" s="3" t="s">
        <v>11</v>
      </c>
      <c r="O10" s="24">
        <f>I10</f>
        <v>1027.0415875000001</v>
      </c>
      <c r="P10" s="512">
        <f>J10*(1-O26)</f>
        <v>156</v>
      </c>
      <c r="Q10" s="101">
        <f t="shared" si="1"/>
        <v>160218.48765000002</v>
      </c>
    </row>
    <row r="11" spans="2:17" ht="13" thickBot="1" x14ac:dyDescent="0.8">
      <c r="B11" s="3" t="s">
        <v>11</v>
      </c>
      <c r="C11" s="22">
        <f>SUM(D11:F11)</f>
        <v>209</v>
      </c>
      <c r="D11" s="380">
        <f>SUMIFS(BuildingSummary!$D54:$U54,BuildingSummary!$D$34:$U$34,"Condominium",BuildingSummary!$D$18:$U$18,'Assumptions-ResRental'!D$8)</f>
        <v>155</v>
      </c>
      <c r="E11" s="22">
        <f>SUMIFS(BuildingSummary!$D54:$U54,BuildingSummary!$D$34:$U$34,"Condominium",BuildingSummary!$D$18:$U$18,'Assumptions-ResRental'!E$8)</f>
        <v>16</v>
      </c>
      <c r="F11" s="381">
        <f>SUMIFS(BuildingSummary!$D54:$U54,BuildingSummary!$D$34:$U$34,"Condominium",BuildingSummary!$D$18:$U$18,'Assumptions-ResRental'!F$8)</f>
        <v>38</v>
      </c>
      <c r="H11" s="5" t="s">
        <v>10</v>
      </c>
      <c r="I11" s="376">
        <f>BuildingSummary!Y61</f>
        <v>1164.5215891472867</v>
      </c>
      <c r="J11" s="105">
        <v>260</v>
      </c>
      <c r="K11" s="511">
        <v>0.1</v>
      </c>
      <c r="L11" s="102">
        <f t="shared" si="0"/>
        <v>333053.17449612403</v>
      </c>
      <c r="N11" s="5" t="s">
        <v>10</v>
      </c>
      <c r="O11" s="376">
        <f>I11</f>
        <v>1164.5215891472867</v>
      </c>
      <c r="P11" s="513">
        <f>J11*(1-O26)</f>
        <v>156</v>
      </c>
      <c r="Q11" s="102">
        <f t="shared" si="1"/>
        <v>181665.36790697672</v>
      </c>
    </row>
    <row r="12" spans="2:17" ht="13" thickBot="1" x14ac:dyDescent="0.8">
      <c r="B12" s="3" t="s">
        <v>10</v>
      </c>
      <c r="C12" s="382">
        <f>SUM(D12:F12)</f>
        <v>125</v>
      </c>
      <c r="D12" s="383">
        <f>SUMIFS(BuildingSummary!$D55:$U55,BuildingSummary!$D$34:$U$34,"Condominium",BuildingSummary!$D$18:$U$18,'Assumptions-ResRental'!D$8)</f>
        <v>105</v>
      </c>
      <c r="E12" s="86">
        <f>SUMIFS(BuildingSummary!$D55:$U55,BuildingSummary!$D$34:$U$34,"Condominium",BuildingSummary!$D$18:$U$18,'Assumptions-ResRental'!E$8)</f>
        <v>20</v>
      </c>
      <c r="F12" s="384">
        <f>SUMIFS(BuildingSummary!$D55:$U55,BuildingSummary!$D$34:$U$34,"Condominium",BuildingSummary!$D$18:$U$18,'Assumptions-ResRental'!F$8)</f>
        <v>0</v>
      </c>
    </row>
    <row r="13" spans="2:17" ht="14.25" x14ac:dyDescent="0.9">
      <c r="B13" s="3" t="s">
        <v>28</v>
      </c>
      <c r="C13" s="22">
        <f>SUM(C9:C12)</f>
        <v>851</v>
      </c>
      <c r="D13" s="380">
        <f>SUM(D9:D12)</f>
        <v>435</v>
      </c>
      <c r="E13" s="22">
        <f>SUM(E9:E12)</f>
        <v>331</v>
      </c>
      <c r="F13" s="381">
        <f>SUM(F9:F12)</f>
        <v>85</v>
      </c>
      <c r="H13" s="979" t="s">
        <v>160</v>
      </c>
      <c r="I13" s="981"/>
      <c r="N13" s="740" t="s">
        <v>577</v>
      </c>
      <c r="O13" s="711"/>
    </row>
    <row r="14" spans="2:17" x14ac:dyDescent="0.65">
      <c r="B14" s="3"/>
      <c r="C14" s="371"/>
      <c r="D14" s="385"/>
      <c r="E14" s="371"/>
      <c r="F14" s="386"/>
      <c r="H14" s="36" t="s">
        <v>167</v>
      </c>
      <c r="I14" s="39" t="s">
        <v>131</v>
      </c>
      <c r="N14" s="989" t="s">
        <v>579</v>
      </c>
      <c r="O14" s="990"/>
    </row>
    <row r="15" spans="2:17" x14ac:dyDescent="0.65">
      <c r="B15" s="33" t="s">
        <v>570</v>
      </c>
      <c r="C15" s="371"/>
      <c r="D15" s="385" t="s">
        <v>104</v>
      </c>
      <c r="E15" s="371" t="s">
        <v>104</v>
      </c>
      <c r="F15" s="386" t="s">
        <v>104</v>
      </c>
      <c r="H15" s="3" t="s">
        <v>168</v>
      </c>
      <c r="I15" s="73">
        <v>0.05</v>
      </c>
      <c r="N15" s="36" t="s">
        <v>132</v>
      </c>
      <c r="O15" s="39" t="s">
        <v>131</v>
      </c>
    </row>
    <row r="16" spans="2:17" x14ac:dyDescent="0.65">
      <c r="B16" s="36" t="s">
        <v>41</v>
      </c>
      <c r="C16" s="377" t="s">
        <v>103</v>
      </c>
      <c r="D16" s="378" t="s">
        <v>25</v>
      </c>
      <c r="E16" s="377" t="s">
        <v>24</v>
      </c>
      <c r="F16" s="379" t="s">
        <v>23</v>
      </c>
      <c r="H16" s="3" t="s">
        <v>169</v>
      </c>
      <c r="I16" s="73">
        <v>0.15</v>
      </c>
      <c r="N16" s="3" t="s">
        <v>20</v>
      </c>
      <c r="O16" s="69">
        <f>'Assumptions-ResRental'!P16</f>
        <v>0.1</v>
      </c>
    </row>
    <row r="17" spans="2:15" x14ac:dyDescent="0.65">
      <c r="B17" s="3" t="s">
        <v>13</v>
      </c>
      <c r="C17" s="22">
        <f>SUM(D17:F17)</f>
        <v>8</v>
      </c>
      <c r="D17" s="380">
        <f>SUMIFS(BuildingSummary!$D46:$U46,BuildingSummary!$D$34:$U$34,"Condominium",BuildingSummary!$D$18:$U$18,'Assumptions-ResRental'!D$8)</f>
        <v>0</v>
      </c>
      <c r="E17" s="22">
        <f>SUMIFS(BuildingSummary!$D46:$U46,BuildingSummary!$D$34:$U$34,"Condominium",BuildingSummary!$D$18:$U$18,'Assumptions-ResRental'!E$8)</f>
        <v>8</v>
      </c>
      <c r="F17" s="381">
        <f>SUMIFS(BuildingSummary!$D46:$U46,BuildingSummary!$D$34:$U$34,"Condominium",BuildingSummary!$D$18:$U$18,'Assumptions-ResRental'!F$8)</f>
        <v>0</v>
      </c>
      <c r="H17" s="3" t="s">
        <v>500</v>
      </c>
      <c r="I17" s="460">
        <v>0.8</v>
      </c>
      <c r="N17" s="3" t="s">
        <v>19</v>
      </c>
      <c r="O17" s="69">
        <f>'Assumptions-ResRental'!P17</f>
        <v>0.1</v>
      </c>
    </row>
    <row r="18" spans="2:15" x14ac:dyDescent="0.65">
      <c r="B18" s="3" t="s">
        <v>12</v>
      </c>
      <c r="C18" s="22">
        <f>SUM(D18:F18)</f>
        <v>30</v>
      </c>
      <c r="D18" s="380">
        <f>SUMIFS(BuildingSummary!$D47:$U47,BuildingSummary!$D$34:$U$34,"Condominium",BuildingSummary!$D$18:$U$18,'Assumptions-ResRental'!D$8)</f>
        <v>15</v>
      </c>
      <c r="E18" s="22">
        <f>SUMIFS(BuildingSummary!$D47:$U47,BuildingSummary!$D$34:$U$34,"Condominium",BuildingSummary!$D$18:$U$18,'Assumptions-ResRental'!E$8)</f>
        <v>12</v>
      </c>
      <c r="F18" s="381">
        <f>SUMIFS(BuildingSummary!$D47:$U47,BuildingSummary!$D$34:$U$34,"Condominium",BuildingSummary!$D$18:$U$18,'Assumptions-ResRental'!F$8)</f>
        <v>3</v>
      </c>
      <c r="H18" s="3" t="s">
        <v>223</v>
      </c>
      <c r="I18" s="73">
        <v>0.2</v>
      </c>
      <c r="N18" s="3"/>
      <c r="O18" s="9"/>
    </row>
    <row r="19" spans="2:15" x14ac:dyDescent="0.65">
      <c r="B19" s="3" t="s">
        <v>11</v>
      </c>
      <c r="C19" s="22">
        <f>SUM(D19:F19)</f>
        <v>41</v>
      </c>
      <c r="D19" s="380">
        <f>SUMIFS(BuildingSummary!$D48:$U48,BuildingSummary!$D$34:$U$34,"Condominium",BuildingSummary!$D$18:$U$18,'Assumptions-ResRental'!D$8)</f>
        <v>20</v>
      </c>
      <c r="E19" s="22">
        <f>SUMIFS(BuildingSummary!$D48:$U48,BuildingSummary!$D$34:$U$34,"Condominium",BuildingSummary!$D$18:$U$18,'Assumptions-ResRental'!E$8)</f>
        <v>16</v>
      </c>
      <c r="F19" s="381">
        <f>SUMIFS(BuildingSummary!$D48:$U48,BuildingSummary!$D$34:$U$34,"Condominium",BuildingSummary!$D$18:$U$18,'Assumptions-ResRental'!F$8)</f>
        <v>5</v>
      </c>
      <c r="H19" s="3"/>
      <c r="I19" s="9"/>
      <c r="N19" s="33" t="s">
        <v>575</v>
      </c>
      <c r="O19" s="4"/>
    </row>
    <row r="20" spans="2:15" ht="13" thickBot="1" x14ac:dyDescent="0.8">
      <c r="B20" s="3" t="s">
        <v>10</v>
      </c>
      <c r="C20" s="382">
        <f>SUM(D20:F20)</f>
        <v>10</v>
      </c>
      <c r="D20" s="383">
        <f>SUMIFS(BuildingSummary!$D49:$U49,BuildingSummary!$D$34:$U$34,"Condominium",BuildingSummary!$D$18:$U$18,'Assumptions-ResRental'!D$8)</f>
        <v>5</v>
      </c>
      <c r="E20" s="86">
        <f>SUMIFS(BuildingSummary!$D49:$U49,BuildingSummary!$D$34:$U$34,"Condominium",BuildingSummary!$D$18:$U$18,'Assumptions-ResRental'!E$8)</f>
        <v>5</v>
      </c>
      <c r="F20" s="384">
        <f>SUMIFS(BuildingSummary!$D49:$U49,BuildingSummary!$D$34:$U$34,"Condominium",BuildingSummary!$D$18:$U$18,'Assumptions-ResRental'!F$8)</f>
        <v>0</v>
      </c>
      <c r="H20" s="5" t="s">
        <v>170</v>
      </c>
      <c r="I20" s="142">
        <v>0.03</v>
      </c>
      <c r="N20" s="36" t="s">
        <v>41</v>
      </c>
      <c r="O20" s="39" t="s">
        <v>131</v>
      </c>
    </row>
    <row r="21" spans="2:15" ht="13" thickBot="1" x14ac:dyDescent="0.8">
      <c r="B21" s="5" t="s">
        <v>28</v>
      </c>
      <c r="C21" s="387">
        <f>SUM(C17:C20)</f>
        <v>89</v>
      </c>
      <c r="D21" s="388">
        <f>SUM(D17:D20)</f>
        <v>40</v>
      </c>
      <c r="E21" s="387">
        <f>SUM(E17:E20)</f>
        <v>41</v>
      </c>
      <c r="F21" s="389">
        <f>SUM(F17:F20)</f>
        <v>8</v>
      </c>
      <c r="N21" s="3" t="s">
        <v>13</v>
      </c>
      <c r="O21" s="69">
        <f>'Assumptions-ResRental'!P21</f>
        <v>0.2</v>
      </c>
    </row>
    <row r="22" spans="2:15" x14ac:dyDescent="0.65">
      <c r="C22" s="365"/>
      <c r="D22" s="365"/>
      <c r="E22" s="365"/>
      <c r="F22" s="365"/>
      <c r="N22" s="3" t="s">
        <v>12</v>
      </c>
      <c r="O22" s="69">
        <f>'Assumptions-ResRental'!P22</f>
        <v>0.3</v>
      </c>
    </row>
    <row r="23" spans="2:15" x14ac:dyDescent="0.65">
      <c r="N23" s="3" t="s">
        <v>11</v>
      </c>
      <c r="O23" s="69">
        <f>'Assumptions-ResRental'!P23</f>
        <v>0.4</v>
      </c>
    </row>
    <row r="24" spans="2:15" x14ac:dyDescent="0.65">
      <c r="C24" s="91"/>
      <c r="N24" s="3" t="s">
        <v>10</v>
      </c>
      <c r="O24" s="69">
        <f>'Assumptions-ResRental'!P24</f>
        <v>0.1</v>
      </c>
    </row>
    <row r="25" spans="2:15" x14ac:dyDescent="0.65">
      <c r="N25" s="3"/>
      <c r="O25" s="9"/>
    </row>
    <row r="26" spans="2:15" ht="13" thickBot="1" x14ac:dyDescent="0.8">
      <c r="N26" s="5" t="s">
        <v>582</v>
      </c>
      <c r="O26" s="160">
        <v>0.4</v>
      </c>
    </row>
    <row r="28" spans="2:15" x14ac:dyDescent="0.65">
      <c r="C28" s="37"/>
    </row>
    <row r="29" spans="2:15" x14ac:dyDescent="0.65">
      <c r="C29" s="405"/>
    </row>
    <row r="30" spans="2:15" x14ac:dyDescent="0.65">
      <c r="C30" s="405"/>
    </row>
    <row r="31" spans="2:15" x14ac:dyDescent="0.65">
      <c r="C31" s="405"/>
    </row>
    <row r="32" spans="2:15" x14ac:dyDescent="0.65">
      <c r="C32" s="405"/>
    </row>
  </sheetData>
  <mergeCells count="6">
    <mergeCell ref="H13:I13"/>
    <mergeCell ref="N14:O14"/>
    <mergeCell ref="B2:C2"/>
    <mergeCell ref="B6:F6"/>
    <mergeCell ref="H6:L6"/>
    <mergeCell ref="N6:Q6"/>
  </mergeCells>
  <pageMargins left="0.7" right="0.7" top="0.75" bottom="0.75" header="0.3" footer="0.3"/>
  <pageSetup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59746-E6D5-48E6-997F-D84F4B83025D}">
  <sheetPr>
    <tabColor rgb="FFC1F5FB"/>
  </sheetPr>
  <dimension ref="B1:N116"/>
  <sheetViews>
    <sheetView workbookViewId="0">
      <selection activeCell="E28" sqref="E28"/>
    </sheetView>
  </sheetViews>
  <sheetFormatPr defaultColWidth="9.08984375" defaultRowHeight="12.25" x14ac:dyDescent="0.65"/>
  <cols>
    <col min="1" max="1" width="2.76953125" style="1" customWidth="1"/>
    <col min="2" max="2" width="31.08984375" style="1" customWidth="1"/>
    <col min="3" max="3" width="9.08984375" style="1" customWidth="1"/>
    <col min="4" max="14" width="11.453125" style="1" customWidth="1"/>
    <col min="15" max="16384" width="9.08984375" style="1"/>
  </cols>
  <sheetData>
    <row r="1" spans="2:14" ht="12.75" customHeight="1" thickBot="1" x14ac:dyDescent="0.8">
      <c r="D1" s="470"/>
      <c r="E1" s="470"/>
      <c r="F1" s="470"/>
      <c r="G1" s="365"/>
      <c r="H1" s="365"/>
      <c r="I1" s="365"/>
      <c r="J1" s="365"/>
    </row>
    <row r="2" spans="2:14" ht="12" customHeight="1" x14ac:dyDescent="0.9">
      <c r="B2" s="982" t="s">
        <v>37</v>
      </c>
      <c r="C2" s="983"/>
      <c r="D2" s="470"/>
      <c r="E2" s="470"/>
      <c r="F2" s="470"/>
      <c r="G2" s="365"/>
      <c r="H2" s="365"/>
      <c r="I2" s="365"/>
      <c r="J2" s="365"/>
    </row>
    <row r="3" spans="2:14" ht="12" customHeight="1" x14ac:dyDescent="0.65">
      <c r="B3" s="3" t="s">
        <v>36</v>
      </c>
      <c r="C3" s="4" t="str">
        <f>ProjectName</f>
        <v>8th Hill</v>
      </c>
      <c r="D3" s="470"/>
      <c r="E3" s="470"/>
      <c r="F3" s="470"/>
      <c r="G3" s="365"/>
      <c r="H3" s="365"/>
      <c r="I3" s="365"/>
      <c r="J3" s="365"/>
    </row>
    <row r="4" spans="2:14" ht="12.75" customHeight="1" thickBot="1" x14ac:dyDescent="0.8">
      <c r="B4" s="5" t="s">
        <v>35</v>
      </c>
      <c r="C4" s="6">
        <f>TeamNumber</f>
        <v>192021</v>
      </c>
      <c r="D4" s="470"/>
      <c r="E4" s="470"/>
      <c r="F4" s="470"/>
      <c r="G4" s="365"/>
      <c r="H4" s="365"/>
      <c r="I4" s="365"/>
      <c r="J4" s="365"/>
    </row>
    <row r="5" spans="2:14" ht="13" thickBot="1" x14ac:dyDescent="0.8"/>
    <row r="6" spans="2:14" ht="15" thickBot="1" x14ac:dyDescent="1.05">
      <c r="B6" s="986" t="s">
        <v>219</v>
      </c>
      <c r="C6" s="987"/>
      <c r="D6" s="987"/>
      <c r="E6" s="987"/>
      <c r="F6" s="987"/>
      <c r="G6" s="987"/>
      <c r="H6" s="987"/>
      <c r="I6" s="987"/>
      <c r="J6" s="987"/>
      <c r="K6" s="987"/>
      <c r="L6" s="987"/>
      <c r="M6" s="987"/>
      <c r="N6" s="988"/>
    </row>
    <row r="7" spans="2:14" x14ac:dyDescent="0.65">
      <c r="B7" s="154" t="s">
        <v>191</v>
      </c>
      <c r="C7" s="155"/>
      <c r="D7" s="155">
        <v>1</v>
      </c>
      <c r="E7" s="155">
        <f>D7+1</f>
        <v>2</v>
      </c>
      <c r="F7" s="155">
        <f t="shared" ref="F7:N8" si="0">E7+1</f>
        <v>3</v>
      </c>
      <c r="G7" s="155">
        <f t="shared" si="0"/>
        <v>4</v>
      </c>
      <c r="H7" s="155">
        <f t="shared" si="0"/>
        <v>5</v>
      </c>
      <c r="I7" s="155">
        <f t="shared" si="0"/>
        <v>6</v>
      </c>
      <c r="J7" s="155">
        <f t="shared" si="0"/>
        <v>7</v>
      </c>
      <c r="K7" s="155">
        <f t="shared" si="0"/>
        <v>8</v>
      </c>
      <c r="L7" s="155">
        <f t="shared" si="0"/>
        <v>9</v>
      </c>
      <c r="M7" s="155">
        <f t="shared" si="0"/>
        <v>10</v>
      </c>
      <c r="N7" s="156">
        <f t="shared" si="0"/>
        <v>11</v>
      </c>
    </row>
    <row r="8" spans="2:14" x14ac:dyDescent="0.65">
      <c r="B8" s="3" t="s">
        <v>192</v>
      </c>
      <c r="C8" s="8"/>
      <c r="D8" s="8">
        <f>YEAR('Assumptions-Overall'!C9)</f>
        <v>2019</v>
      </c>
      <c r="E8" s="8">
        <f>D8+1</f>
        <v>2020</v>
      </c>
      <c r="F8" s="8">
        <f t="shared" si="0"/>
        <v>2021</v>
      </c>
      <c r="G8" s="8">
        <f t="shared" si="0"/>
        <v>2022</v>
      </c>
      <c r="H8" s="8">
        <f t="shared" si="0"/>
        <v>2023</v>
      </c>
      <c r="I8" s="8">
        <f t="shared" si="0"/>
        <v>2024</v>
      </c>
      <c r="J8" s="8">
        <f t="shared" si="0"/>
        <v>2025</v>
      </c>
      <c r="K8" s="8">
        <f t="shared" si="0"/>
        <v>2026</v>
      </c>
      <c r="L8" s="8">
        <f t="shared" si="0"/>
        <v>2027</v>
      </c>
      <c r="M8" s="8">
        <f t="shared" si="0"/>
        <v>2028</v>
      </c>
      <c r="N8" s="9">
        <f t="shared" si="0"/>
        <v>2029</v>
      </c>
    </row>
    <row r="9" spans="2:14" x14ac:dyDescent="0.65">
      <c r="B9" s="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</row>
    <row r="10" spans="2:14" x14ac:dyDescent="0.65">
      <c r="B10" s="147" t="s">
        <v>193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9"/>
    </row>
    <row r="11" spans="2:14" x14ac:dyDescent="0.65">
      <c r="B11" s="3" t="s">
        <v>194</v>
      </c>
      <c r="C11" s="8"/>
      <c r="D11" s="148">
        <f>(D$8&gt;=YEAR(PhaseIComplete))*SUMIFS(BuildingSummary!$D$21:$U$21,BuildingSummary!$D$34:$U$34,"Condominium",BuildingSummary!$D$18:$U$18,"I")+(D$8&gt;=YEAR(PhaseIComplete))*SUMIFS(BuildingSummary!$D$29:$U$29,BuildingSummary!$D$34:$U$34,"Condominium",BuildingSummary!$D$18:$U$18,"I")</f>
        <v>0</v>
      </c>
      <c r="E11" s="148">
        <f>(E$8&gt;=YEAR(PhaseIComplete))*SUMIFS(BuildingSummary!$D$21:$U$21,BuildingSummary!$D$34:$U$34,"Condominium",BuildingSummary!$D$18:$U$18,"I")+(E$8&gt;=YEAR(PhaseIComplete))*SUMIFS(BuildingSummary!$D$29:$U$29,BuildingSummary!$D$34:$U$34,"Condominium",BuildingSummary!$D$18:$U$18,"I")</f>
        <v>0</v>
      </c>
      <c r="F11" s="148">
        <f>(F$8&gt;=YEAR(PhaseIComplete))*SUMIFS(BuildingSummary!$D$21:$U$21,BuildingSummary!$D$34:$U$34,"Condominium",BuildingSummary!$D$18:$U$18,"I")+(F$8&gt;=YEAR(PhaseIComplete))*SUMIFS(BuildingSummary!$D$29:$U$29,BuildingSummary!$D$34:$U$34,"Condominium",BuildingSummary!$D$18:$U$18,"I")</f>
        <v>0</v>
      </c>
      <c r="G11" s="148">
        <f>(G$8&gt;=YEAR(PhaseIComplete))*SUMIFS(BuildingSummary!$D$21:$U$21,BuildingSummary!$D$34:$U$34,"Condominium",BuildingSummary!$D$18:$U$18,"I")+(G$8&gt;=YEAR(PhaseIComplete))*SUMIFS(BuildingSummary!$D$29:$U$29,BuildingSummary!$D$34:$U$34,"Condominium",BuildingSummary!$D$18:$U$18,"I")</f>
        <v>0</v>
      </c>
      <c r="H11" s="148">
        <f>(H$8&gt;=YEAR(PhaseIComplete))*SUMIFS(BuildingSummary!$D$21:$U$21,BuildingSummary!$D$34:$U$34,"Condominium",BuildingSummary!$D$18:$U$18,"I")+(H$8&gt;=YEAR(PhaseIComplete))*SUMIFS(BuildingSummary!$D$29:$U$29,BuildingSummary!$D$34:$U$34,"Condominium",BuildingSummary!$D$18:$U$18,"I")</f>
        <v>501219.73850000004</v>
      </c>
      <c r="I11" s="148">
        <f>(I$8&gt;=YEAR(PhaseIComplete))*SUMIFS(BuildingSummary!$D$21:$U$21,BuildingSummary!$D$34:$U$34,"Condominium",BuildingSummary!$D$18:$U$18,"I")+(I$8&gt;=YEAR(PhaseIComplete))*SUMIFS(BuildingSummary!$D$29:$U$29,BuildingSummary!$D$34:$U$34,"Condominium",BuildingSummary!$D$18:$U$18,"I")</f>
        <v>501219.73850000004</v>
      </c>
      <c r="J11" s="148">
        <f>(J$8&gt;=YEAR(PhaseIComplete))*SUMIFS(BuildingSummary!$D$21:$U$21,BuildingSummary!$D$34:$U$34,"Condominium",BuildingSummary!$D$18:$U$18,"I")+(J$8&gt;=YEAR(PhaseIComplete))*SUMIFS(BuildingSummary!$D$29:$U$29,BuildingSummary!$D$34:$U$34,"Condominium",BuildingSummary!$D$18:$U$18,"I")</f>
        <v>501219.73850000004</v>
      </c>
      <c r="K11" s="148">
        <f>(K$8&gt;=YEAR(PhaseIComplete))*SUMIFS(BuildingSummary!$D$21:$U$21,BuildingSummary!$D$34:$U$34,"Condominium",BuildingSummary!$D$18:$U$18,"I")+(K$8&gt;=YEAR(PhaseIComplete))*SUMIFS(BuildingSummary!$D$29:$U$29,BuildingSummary!$D$34:$U$34,"Condominium",BuildingSummary!$D$18:$U$18,"I")</f>
        <v>501219.73850000004</v>
      </c>
      <c r="L11" s="148">
        <f>(L$8&gt;=YEAR(PhaseIComplete))*SUMIFS(BuildingSummary!$D$21:$U$21,BuildingSummary!$D$34:$U$34,"Condominium",BuildingSummary!$D$18:$U$18,"I")+(L$8&gt;=YEAR(PhaseIComplete))*SUMIFS(BuildingSummary!$D$29:$U$29,BuildingSummary!$D$34:$U$34,"Condominium",BuildingSummary!$D$18:$U$18,"I")</f>
        <v>501219.73850000004</v>
      </c>
      <c r="M11" s="148">
        <f>(M$8&gt;=YEAR(PhaseIComplete))*SUMIFS(BuildingSummary!$D$21:$U$21,BuildingSummary!$D$34:$U$34,"Condominium",BuildingSummary!$D$18:$U$18,"I")+(M$8&gt;=YEAR(PhaseIComplete))*SUMIFS(BuildingSummary!$D$29:$U$29,BuildingSummary!$D$34:$U$34,"Condominium",BuildingSummary!$D$18:$U$18,"I")</f>
        <v>501219.73850000004</v>
      </c>
      <c r="N11" s="149">
        <f>(N$8&gt;=YEAR(PhaseIComplete))*SUMIFS(BuildingSummary!$D$21:$U$21,BuildingSummary!$D$34:$U$34,"Condominium",BuildingSummary!$D$18:$U$18,"I")+(N$8&gt;=YEAR(PhaseIComplete))*SUMIFS(BuildingSummary!$D$29:$U$29,BuildingSummary!$D$34:$U$34,"Condominium",BuildingSummary!$D$18:$U$18,"I")</f>
        <v>501219.73850000004</v>
      </c>
    </row>
    <row r="12" spans="2:14" x14ac:dyDescent="0.65">
      <c r="B12" s="3" t="s">
        <v>195</v>
      </c>
      <c r="C12" s="8"/>
      <c r="D12" s="148">
        <f>D11-C11</f>
        <v>0</v>
      </c>
      <c r="E12" s="148">
        <f t="shared" ref="E12:N12" si="1">E11-D11</f>
        <v>0</v>
      </c>
      <c r="F12" s="148">
        <f t="shared" si="1"/>
        <v>0</v>
      </c>
      <c r="G12" s="148">
        <f t="shared" si="1"/>
        <v>0</v>
      </c>
      <c r="H12" s="148">
        <f>H11-G11</f>
        <v>501219.73850000004</v>
      </c>
      <c r="I12" s="148">
        <f t="shared" si="1"/>
        <v>0</v>
      </c>
      <c r="J12" s="148">
        <f t="shared" si="1"/>
        <v>0</v>
      </c>
      <c r="K12" s="148">
        <f t="shared" si="1"/>
        <v>0</v>
      </c>
      <c r="L12" s="148">
        <f t="shared" si="1"/>
        <v>0</v>
      </c>
      <c r="M12" s="148">
        <f t="shared" si="1"/>
        <v>0</v>
      </c>
      <c r="N12" s="149">
        <f t="shared" si="1"/>
        <v>0</v>
      </c>
    </row>
    <row r="13" spans="2:14" x14ac:dyDescent="0.65">
      <c r="B13" s="3"/>
      <c r="C13" s="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9"/>
    </row>
    <row r="14" spans="2:14" x14ac:dyDescent="0.65">
      <c r="B14" s="36" t="s">
        <v>196</v>
      </c>
      <c r="C14" s="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9"/>
    </row>
    <row r="15" spans="2:14" x14ac:dyDescent="0.65">
      <c r="B15" s="3" t="s">
        <v>13</v>
      </c>
      <c r="C15" s="8"/>
      <c r="D15" s="148">
        <f>(D$8&gt;=YEAR(PhaseIComplete))*'Assumptions-ResCondo'!$D9</f>
        <v>0</v>
      </c>
      <c r="E15" s="148">
        <f>(E$8&gt;=YEAR(PhaseIComplete))*'Assumptions-ResCondo'!$D9</f>
        <v>0</v>
      </c>
      <c r="F15" s="148">
        <f>(F$8&gt;=YEAR(PhaseIComplete))*'Assumptions-ResCondo'!$D9</f>
        <v>0</v>
      </c>
      <c r="G15" s="148">
        <f>(G$8&gt;=YEAR(PhaseIComplete))*'Assumptions-ResCondo'!$D9</f>
        <v>0</v>
      </c>
      <c r="H15" s="148">
        <f>(H$8&gt;=YEAR(PhaseIComplete))*'Assumptions-ResCondo'!$D9</f>
        <v>0</v>
      </c>
      <c r="I15" s="148">
        <f>(I$8&gt;=YEAR(PhaseIComplete))*'Assumptions-ResCondo'!$D9</f>
        <v>0</v>
      </c>
      <c r="J15" s="148">
        <f>(J$8&gt;=YEAR(PhaseIComplete))*'Assumptions-ResCondo'!$D9</f>
        <v>0</v>
      </c>
      <c r="K15" s="148">
        <f>(K$8&gt;=YEAR(PhaseIComplete))*'Assumptions-ResCondo'!$D9</f>
        <v>0</v>
      </c>
      <c r="L15" s="148">
        <f>(L$8&gt;=YEAR(PhaseIComplete))*'Assumptions-ResCondo'!$D9</f>
        <v>0</v>
      </c>
      <c r="M15" s="148">
        <f>(M$8&gt;=YEAR(PhaseIComplete))*'Assumptions-ResCondo'!$D9</f>
        <v>0</v>
      </c>
      <c r="N15" s="149">
        <f>(N$8&gt;=YEAR(PhaseIComplete))*'Assumptions-ResCondo'!$D9</f>
        <v>0</v>
      </c>
    </row>
    <row r="16" spans="2:14" x14ac:dyDescent="0.65">
      <c r="B16" s="3" t="s">
        <v>12</v>
      </c>
      <c r="C16" s="8"/>
      <c r="D16" s="148">
        <f>(D$8&gt;=YEAR(PhaseIComplete))*'Assumptions-ResCondo'!$D10</f>
        <v>0</v>
      </c>
      <c r="E16" s="148">
        <f>(E$8&gt;=YEAR(PhaseIComplete))*'Assumptions-ResCondo'!$D10</f>
        <v>0</v>
      </c>
      <c r="F16" s="148">
        <f>(F$8&gt;=YEAR(PhaseIComplete))*'Assumptions-ResCondo'!$D10</f>
        <v>0</v>
      </c>
      <c r="G16" s="148">
        <f>(G$8&gt;=YEAR(PhaseIComplete))*'Assumptions-ResCondo'!$D10</f>
        <v>0</v>
      </c>
      <c r="H16" s="148">
        <f>(H$8&gt;=YEAR(PhaseIComplete))*'Assumptions-ResCondo'!$D10</f>
        <v>175</v>
      </c>
      <c r="I16" s="148">
        <f>(I$8&gt;=YEAR(PhaseIComplete))*'Assumptions-ResCondo'!$D10</f>
        <v>175</v>
      </c>
      <c r="J16" s="148">
        <f>(J$8&gt;=YEAR(PhaseIComplete))*'Assumptions-ResCondo'!$D10</f>
        <v>175</v>
      </c>
      <c r="K16" s="148">
        <f>(K$8&gt;=YEAR(PhaseIComplete))*'Assumptions-ResCondo'!$D10</f>
        <v>175</v>
      </c>
      <c r="L16" s="148">
        <f>(L$8&gt;=YEAR(PhaseIComplete))*'Assumptions-ResCondo'!$D10</f>
        <v>175</v>
      </c>
      <c r="M16" s="148">
        <f>(M$8&gt;=YEAR(PhaseIComplete))*'Assumptions-ResCondo'!$D10</f>
        <v>175</v>
      </c>
      <c r="N16" s="149">
        <f>(N$8&gt;=YEAR(PhaseIComplete))*'Assumptions-ResCondo'!$D10</f>
        <v>175</v>
      </c>
    </row>
    <row r="17" spans="2:14" x14ac:dyDescent="0.65">
      <c r="B17" s="3" t="s">
        <v>11</v>
      </c>
      <c r="C17" s="8"/>
      <c r="D17" s="148">
        <f>(D$8&gt;=YEAR(PhaseIComplete))*'Assumptions-ResCondo'!$D11</f>
        <v>0</v>
      </c>
      <c r="E17" s="148">
        <f>(E$8&gt;=YEAR(PhaseIComplete))*'Assumptions-ResCondo'!$D11</f>
        <v>0</v>
      </c>
      <c r="F17" s="148">
        <f>(F$8&gt;=YEAR(PhaseIComplete))*'Assumptions-ResCondo'!$D11</f>
        <v>0</v>
      </c>
      <c r="G17" s="148">
        <f>(G$8&gt;=YEAR(PhaseIComplete))*'Assumptions-ResCondo'!$D11</f>
        <v>0</v>
      </c>
      <c r="H17" s="148">
        <f>(H$8&gt;=YEAR(PhaseIComplete))*'Assumptions-ResCondo'!$D11</f>
        <v>155</v>
      </c>
      <c r="I17" s="148">
        <f>(I$8&gt;=YEAR(PhaseIComplete))*'Assumptions-ResCondo'!$D11</f>
        <v>155</v>
      </c>
      <c r="J17" s="148">
        <f>(J$8&gt;=YEAR(PhaseIComplete))*'Assumptions-ResCondo'!$D11</f>
        <v>155</v>
      </c>
      <c r="K17" s="148">
        <f>(K$8&gt;=YEAR(PhaseIComplete))*'Assumptions-ResCondo'!$D11</f>
        <v>155</v>
      </c>
      <c r="L17" s="148">
        <f>(L$8&gt;=YEAR(PhaseIComplete))*'Assumptions-ResCondo'!$D11</f>
        <v>155</v>
      </c>
      <c r="M17" s="148">
        <f>(M$8&gt;=YEAR(PhaseIComplete))*'Assumptions-ResCondo'!$D11</f>
        <v>155</v>
      </c>
      <c r="N17" s="149">
        <f>(N$8&gt;=YEAR(PhaseIComplete))*'Assumptions-ResCondo'!$D11</f>
        <v>155</v>
      </c>
    </row>
    <row r="18" spans="2:14" x14ac:dyDescent="0.65">
      <c r="B18" s="3" t="s">
        <v>10</v>
      </c>
      <c r="C18" s="8"/>
      <c r="D18" s="148">
        <f>(D$8&gt;=YEAR(PhaseIComplete))*'Assumptions-ResCondo'!$D12</f>
        <v>0</v>
      </c>
      <c r="E18" s="148">
        <f>(E$8&gt;=YEAR(PhaseIComplete))*'Assumptions-ResCondo'!$D12</f>
        <v>0</v>
      </c>
      <c r="F18" s="148">
        <f>(F$8&gt;=YEAR(PhaseIComplete))*'Assumptions-ResCondo'!$D12</f>
        <v>0</v>
      </c>
      <c r="G18" s="148">
        <f>(G$8&gt;=YEAR(PhaseIComplete))*'Assumptions-ResCondo'!$D12</f>
        <v>0</v>
      </c>
      <c r="H18" s="148">
        <f>(H$8&gt;=YEAR(PhaseIComplete))*'Assumptions-ResCondo'!$D12</f>
        <v>105</v>
      </c>
      <c r="I18" s="148">
        <f>(I$8&gt;=YEAR(PhaseIComplete))*'Assumptions-ResCondo'!$D12</f>
        <v>105</v>
      </c>
      <c r="J18" s="148">
        <f>(J$8&gt;=YEAR(PhaseIComplete))*'Assumptions-ResCondo'!$D12</f>
        <v>105</v>
      </c>
      <c r="K18" s="148">
        <f>(K$8&gt;=YEAR(PhaseIComplete))*'Assumptions-ResCondo'!$D12</f>
        <v>105</v>
      </c>
      <c r="L18" s="148">
        <f>(L$8&gt;=YEAR(PhaseIComplete))*'Assumptions-ResCondo'!$D12</f>
        <v>105</v>
      </c>
      <c r="M18" s="148">
        <f>(M$8&gt;=YEAR(PhaseIComplete))*'Assumptions-ResCondo'!$D12</f>
        <v>105</v>
      </c>
      <c r="N18" s="149">
        <f>(N$8&gt;=YEAR(PhaseIComplete))*'Assumptions-ResCondo'!$D12</f>
        <v>105</v>
      </c>
    </row>
    <row r="19" spans="2:14" x14ac:dyDescent="0.65">
      <c r="B19" s="3"/>
      <c r="C19" s="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9"/>
    </row>
    <row r="20" spans="2:14" x14ac:dyDescent="0.65">
      <c r="B20" s="36" t="s">
        <v>580</v>
      </c>
      <c r="C20" s="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9"/>
    </row>
    <row r="21" spans="2:14" x14ac:dyDescent="0.65">
      <c r="B21" s="3" t="s">
        <v>13</v>
      </c>
      <c r="C21" s="8"/>
      <c r="D21" s="148">
        <f>(D$8&gt;=YEAR(PhaseIComplete))*'Assumptions-ResCondo'!$D17</f>
        <v>0</v>
      </c>
      <c r="E21" s="148">
        <f>(E$8&gt;=YEAR(PhaseIComplete))*'Assumptions-ResCondo'!$D17</f>
        <v>0</v>
      </c>
      <c r="F21" s="148">
        <f>(F$8&gt;=YEAR(PhaseIComplete))*'Assumptions-ResCondo'!$D17</f>
        <v>0</v>
      </c>
      <c r="G21" s="148">
        <f>(G$8&gt;=YEAR(PhaseIComplete))*'Assumptions-ResCondo'!$D17</f>
        <v>0</v>
      </c>
      <c r="H21" s="148">
        <f>(H$8&gt;=YEAR(PhaseIComplete))*'Assumptions-ResCondo'!$D17</f>
        <v>0</v>
      </c>
      <c r="I21" s="148">
        <f>(I$8&gt;=YEAR(PhaseIComplete))*'Assumptions-ResCondo'!$D17</f>
        <v>0</v>
      </c>
      <c r="J21" s="148">
        <f>(J$8&gt;=YEAR(PhaseIComplete))*'Assumptions-ResCondo'!$D17</f>
        <v>0</v>
      </c>
      <c r="K21" s="148">
        <f>(K$8&gt;=YEAR(PhaseIComplete))*'Assumptions-ResCondo'!$D17</f>
        <v>0</v>
      </c>
      <c r="L21" s="148">
        <f>(L$8&gt;=YEAR(PhaseIComplete))*'Assumptions-ResCondo'!$D17</f>
        <v>0</v>
      </c>
      <c r="M21" s="148">
        <f>(M$8&gt;=YEAR(PhaseIComplete))*'Assumptions-ResCondo'!$D17</f>
        <v>0</v>
      </c>
      <c r="N21" s="149">
        <f>(N$8&gt;=YEAR(PhaseIComplete))*'Assumptions-ResCondo'!$D17</f>
        <v>0</v>
      </c>
    </row>
    <row r="22" spans="2:14" x14ac:dyDescent="0.65">
      <c r="B22" s="3" t="s">
        <v>12</v>
      </c>
      <c r="C22" s="8"/>
      <c r="D22" s="148">
        <f>(D$8&gt;=YEAR(PhaseIComplete))*'Assumptions-ResCondo'!$D18</f>
        <v>0</v>
      </c>
      <c r="E22" s="148">
        <f>(E$8&gt;=YEAR(PhaseIComplete))*'Assumptions-ResCondo'!$D18</f>
        <v>0</v>
      </c>
      <c r="F22" s="148">
        <f>(F$8&gt;=YEAR(PhaseIComplete))*'Assumptions-ResCondo'!$D18</f>
        <v>0</v>
      </c>
      <c r="G22" s="148">
        <f>(G$8&gt;=YEAR(PhaseIComplete))*'Assumptions-ResCondo'!$D18</f>
        <v>0</v>
      </c>
      <c r="H22" s="148">
        <f>(H$8&gt;=YEAR(PhaseIComplete))*'Assumptions-ResCondo'!$D18</f>
        <v>15</v>
      </c>
      <c r="I22" s="148">
        <f>(I$8&gt;=YEAR(PhaseIComplete))*'Assumptions-ResCondo'!$D18</f>
        <v>15</v>
      </c>
      <c r="J22" s="148">
        <f>(J$8&gt;=YEAR(PhaseIComplete))*'Assumptions-ResCondo'!$D18</f>
        <v>15</v>
      </c>
      <c r="K22" s="148">
        <f>(K$8&gt;=YEAR(PhaseIComplete))*'Assumptions-ResCondo'!$D18</f>
        <v>15</v>
      </c>
      <c r="L22" s="148">
        <f>(L$8&gt;=YEAR(PhaseIComplete))*'Assumptions-ResCondo'!$D18</f>
        <v>15</v>
      </c>
      <c r="M22" s="148">
        <f>(M$8&gt;=YEAR(PhaseIComplete))*'Assumptions-ResCondo'!$D18</f>
        <v>15</v>
      </c>
      <c r="N22" s="149">
        <f>(N$8&gt;=YEAR(PhaseIComplete))*'Assumptions-ResCondo'!$D18</f>
        <v>15</v>
      </c>
    </row>
    <row r="23" spans="2:14" x14ac:dyDescent="0.65">
      <c r="B23" s="3" t="s">
        <v>11</v>
      </c>
      <c r="C23" s="8"/>
      <c r="D23" s="148">
        <f>(D$8&gt;=YEAR(PhaseIComplete))*'Assumptions-ResCondo'!$D19</f>
        <v>0</v>
      </c>
      <c r="E23" s="148">
        <f>(E$8&gt;=YEAR(PhaseIComplete))*'Assumptions-ResCondo'!$D19</f>
        <v>0</v>
      </c>
      <c r="F23" s="148">
        <f>(F$8&gt;=YEAR(PhaseIComplete))*'Assumptions-ResCondo'!$D19</f>
        <v>0</v>
      </c>
      <c r="G23" s="148">
        <f>(G$8&gt;=YEAR(PhaseIComplete))*'Assumptions-ResCondo'!$D19</f>
        <v>0</v>
      </c>
      <c r="H23" s="148">
        <f>(H$8&gt;=YEAR(PhaseIComplete))*'Assumptions-ResCondo'!$D19</f>
        <v>20</v>
      </c>
      <c r="I23" s="148">
        <f>(I$8&gt;=YEAR(PhaseIComplete))*'Assumptions-ResCondo'!$D19</f>
        <v>20</v>
      </c>
      <c r="J23" s="148">
        <f>(J$8&gt;=YEAR(PhaseIComplete))*'Assumptions-ResCondo'!$D19</f>
        <v>20</v>
      </c>
      <c r="K23" s="148">
        <f>(K$8&gt;=YEAR(PhaseIComplete))*'Assumptions-ResCondo'!$D19</f>
        <v>20</v>
      </c>
      <c r="L23" s="148">
        <f>(L$8&gt;=YEAR(PhaseIComplete))*'Assumptions-ResCondo'!$D19</f>
        <v>20</v>
      </c>
      <c r="M23" s="148">
        <f>(M$8&gt;=YEAR(PhaseIComplete))*'Assumptions-ResCondo'!$D19</f>
        <v>20</v>
      </c>
      <c r="N23" s="149">
        <f>(N$8&gt;=YEAR(PhaseIComplete))*'Assumptions-ResCondo'!$D19</f>
        <v>20</v>
      </c>
    </row>
    <row r="24" spans="2:14" x14ac:dyDescent="0.65">
      <c r="B24" s="3" t="s">
        <v>10</v>
      </c>
      <c r="C24" s="8"/>
      <c r="D24" s="148">
        <f>(D$8&gt;=YEAR(PhaseIComplete))*'Assumptions-ResCondo'!$D20</f>
        <v>0</v>
      </c>
      <c r="E24" s="148">
        <f>(E$8&gt;=YEAR(PhaseIComplete))*'Assumptions-ResCondo'!$D20</f>
        <v>0</v>
      </c>
      <c r="F24" s="148">
        <f>(F$8&gt;=YEAR(PhaseIComplete))*'Assumptions-ResCondo'!$D20</f>
        <v>0</v>
      </c>
      <c r="G24" s="148">
        <f>(G$8&gt;=YEAR(PhaseIComplete))*'Assumptions-ResCondo'!$D20</f>
        <v>0</v>
      </c>
      <c r="H24" s="148">
        <f>(H$8&gt;=YEAR(PhaseIComplete))*'Assumptions-ResCondo'!$D20</f>
        <v>5</v>
      </c>
      <c r="I24" s="148">
        <f>(I$8&gt;=YEAR(PhaseIComplete))*'Assumptions-ResCondo'!$D20</f>
        <v>5</v>
      </c>
      <c r="J24" s="148">
        <f>(J$8&gt;=YEAR(PhaseIComplete))*'Assumptions-ResCondo'!$D20</f>
        <v>5</v>
      </c>
      <c r="K24" s="148">
        <f>(K$8&gt;=YEAR(PhaseIComplete))*'Assumptions-ResCondo'!$D20</f>
        <v>5</v>
      </c>
      <c r="L24" s="148">
        <f>(L$8&gt;=YEAR(PhaseIComplete))*'Assumptions-ResCondo'!$D20</f>
        <v>5</v>
      </c>
      <c r="M24" s="148">
        <f>(M$8&gt;=YEAR(PhaseIComplete))*'Assumptions-ResCondo'!$D20</f>
        <v>5</v>
      </c>
      <c r="N24" s="149">
        <f>(N$8&gt;=YEAR(PhaseIComplete))*'Assumptions-ResCondo'!$D20</f>
        <v>5</v>
      </c>
    </row>
    <row r="25" spans="2:14" x14ac:dyDescent="0.65">
      <c r="B25" s="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9"/>
    </row>
    <row r="26" spans="2:14" x14ac:dyDescent="0.65">
      <c r="B26" s="36" t="s">
        <v>130</v>
      </c>
      <c r="C26" s="8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51"/>
    </row>
    <row r="27" spans="2:14" x14ac:dyDescent="0.65">
      <c r="B27" s="3" t="s">
        <v>210</v>
      </c>
      <c r="C27" s="8"/>
      <c r="D27" s="146">
        <f>-(AND(D$8&gt;=YEAR(PhaseIConBegin),D$8&lt;=YEAR(PhaseIConEnd)))*SUM($D12:$N12)*('Assumptions-Overall'!$J$11)*(1+'Assumptions-Overall'!$C$41)^('CashFlow-ResCondo'!D$7-1)/(YEAR(PhaseIConEnd)-YEAR(PhaseIConBegin)+1)</f>
        <v>0</v>
      </c>
      <c r="E27" s="146">
        <f>-(AND(E$8&gt;=YEAR(PhaseIConBegin),E$8&lt;=YEAR(PhaseIConEnd)))*SUM($D12:$N12)*('Assumptions-Overall'!$J$11)*(1+'Assumptions-Overall'!$C$41)^('CashFlow-ResCondo'!E$7-1)/(YEAR(PhaseIConEnd)-YEAR(PhaseIConBegin)+1)</f>
        <v>0</v>
      </c>
      <c r="F27" s="146">
        <f>-(AND(F$8&gt;=YEAR(PhaseIConBegin),F$8&lt;=YEAR(PhaseIConEnd)))*SUM($D12:$N12)*('Assumptions-Overall'!$J$11)*(1+'Assumptions-Overall'!$C$41)^('CashFlow-ResCondo'!F$7-1)/(YEAR(PhaseIConEnd)-YEAR(PhaseIConBegin)+1)</f>
        <v>-35892721.388788879</v>
      </c>
      <c r="G27" s="146">
        <f>-(AND(G$8&gt;=YEAR(PhaseIConBegin),G$8&lt;=YEAR(PhaseIConEnd)))*SUM($D12:$N12)*('Assumptions-Overall'!$J$11)*(1+'Assumptions-Overall'!$C$41)^('CashFlow-ResCondo'!G$7-1)/(YEAR(PhaseIConEnd)-YEAR(PhaseIConBegin)+1)</f>
        <v>-36969503.030452542</v>
      </c>
      <c r="H27" s="146">
        <f>-(AND(H$8&gt;=YEAR(PhaseIConBegin),H$8&lt;=YEAR(PhaseIConEnd)))*SUM($D12:$N12)*('Assumptions-Overall'!$J$11)*(1+'Assumptions-Overall'!$C$41)^('CashFlow-ResCondo'!H$7-1)/(YEAR(PhaseIConEnd)-YEAR(PhaseIConBegin)+1)</f>
        <v>0</v>
      </c>
      <c r="I27" s="146">
        <f>-(AND(I$8&gt;=YEAR(PhaseIConBegin),I$8&lt;=YEAR(PhaseIConEnd)))*SUM($D12:$N12)*('Assumptions-Overall'!$J$11)*(1+'Assumptions-Overall'!$C$41)^('CashFlow-ResCondo'!I$7-1)/(YEAR(PhaseIConEnd)-YEAR(PhaseIConBegin)+1)</f>
        <v>0</v>
      </c>
      <c r="J27" s="146">
        <f>-(AND(J$8&gt;=YEAR(PhaseIConBegin),J$8&lt;=YEAR(PhaseIConEnd)))*SUM($D12:$N12)*('Assumptions-Overall'!$J$11)*(1+'Assumptions-Overall'!$C$41)^('CashFlow-ResCondo'!J$7-1)/(YEAR(PhaseIConEnd)-YEAR(PhaseIConBegin)+1)</f>
        <v>0</v>
      </c>
      <c r="K27" s="146">
        <f>-(AND(K$8&gt;=YEAR(PhaseIConBegin),K$8&lt;=YEAR(PhaseIConEnd)))*SUM($D12:$N12)*('Assumptions-Overall'!$J$11)*(1+'Assumptions-Overall'!$C$41)^('CashFlow-ResCondo'!K$7-1)/(YEAR(PhaseIConEnd)-YEAR(PhaseIConBegin)+1)</f>
        <v>0</v>
      </c>
      <c r="L27" s="146">
        <f>-(AND(L$8&gt;=YEAR(PhaseIConBegin),L$8&lt;=YEAR(PhaseIConEnd)))*SUM($D12:$N12)*('Assumptions-Overall'!$J$11)*(1+'Assumptions-Overall'!$C$41)^('CashFlow-ResCondo'!L$7-1)/(YEAR(PhaseIConEnd)-YEAR(PhaseIConBegin)+1)</f>
        <v>0</v>
      </c>
      <c r="M27" s="146">
        <f>-(AND(M$8&gt;=YEAR(PhaseIConBegin),M$8&lt;=YEAR(PhaseIConEnd)))*SUM($D12:$N12)*('Assumptions-Overall'!$J$11)*(1+'Assumptions-Overall'!$C$41)^('CashFlow-ResCondo'!M$7-1)/(YEAR(PhaseIConEnd)-YEAR(PhaseIConBegin)+1)</f>
        <v>0</v>
      </c>
      <c r="N27" s="151"/>
    </row>
    <row r="28" spans="2:14" x14ac:dyDescent="0.65">
      <c r="B28" s="3" t="s">
        <v>211</v>
      </c>
      <c r="C28" s="8"/>
      <c r="D28" s="146">
        <f>(AND(D$8&gt;=YEAR(PhaseIPreconBegin),D$8&lt;=YEAR(PhaseIConEnd)))*SUM($D27:$N27)*'Assumptions-Overall'!$H$43/(YEAR(PhaseIConEnd)-YEAR(PhaseIPreconBegin)+1)</f>
        <v>-1092933.3662886214</v>
      </c>
      <c r="E28" s="146">
        <f>(AND(E$8&gt;=YEAR(PhaseIPreconBegin),E$8&lt;=YEAR(PhaseIConEnd)))*SUM($D27:$N27)*'Assumptions-Overall'!$H$43/(YEAR(PhaseIConEnd)-YEAR(PhaseIPreconBegin)+1)</f>
        <v>-1092933.3662886214</v>
      </c>
      <c r="F28" s="146">
        <f>(AND(F$8&gt;=YEAR(PhaseIPreconBegin),F$8&lt;=YEAR(PhaseIConEnd)))*SUM($D27:$N27)*'Assumptions-Overall'!$H$43/(YEAR(PhaseIConEnd)-YEAR(PhaseIPreconBegin)+1)</f>
        <v>-1092933.3662886214</v>
      </c>
      <c r="G28" s="146">
        <f>(AND(G$8&gt;=YEAR(PhaseIPreconBegin),G$8&lt;=YEAR(PhaseIConEnd)))*SUM($D27:$N27)*'Assumptions-Overall'!$H$43/(YEAR(PhaseIConEnd)-YEAR(PhaseIPreconBegin)+1)</f>
        <v>-1092933.3662886214</v>
      </c>
      <c r="H28" s="146">
        <f>(AND(H$8&gt;=YEAR(PhaseIPreconBegin),H$8&lt;=YEAR(PhaseIConEnd)))*SUM($D27:$N27)*'Assumptions-Overall'!$H$43/(YEAR(PhaseIConEnd)-YEAR(PhaseIPreconBegin)+1)</f>
        <v>0</v>
      </c>
      <c r="I28" s="146">
        <f>(AND(I$8&gt;=YEAR(PhaseIPreconBegin),I$8&lt;=YEAR(PhaseIConEnd)))*SUM($D27:$N27)*'Assumptions-Overall'!$H$43/(YEAR(PhaseIConEnd)-YEAR(PhaseIPreconBegin)+1)</f>
        <v>0</v>
      </c>
      <c r="J28" s="146">
        <f>(AND(J$8&gt;=YEAR(PhaseIPreconBegin),J$8&lt;=YEAR(PhaseIConEnd)))*SUM($D27:$N27)*'Assumptions-Overall'!$H$43/(YEAR(PhaseIConEnd)-YEAR(PhaseIPreconBegin)+1)</f>
        <v>0</v>
      </c>
      <c r="K28" s="146">
        <f>(AND(K$8&gt;=YEAR(PhaseIPreconBegin),K$8&lt;=YEAR(PhaseIConEnd)))*SUM($D27:$N27)*'Assumptions-Overall'!$H$43/(YEAR(PhaseIConEnd)-YEAR(PhaseIPreconBegin)+1)</f>
        <v>0</v>
      </c>
      <c r="L28" s="146">
        <f>(AND(L$8&gt;=YEAR(PhaseIPreconBegin),L$8&lt;=YEAR(PhaseIConEnd)))*SUM($D27:$N27)*'Assumptions-Overall'!$H$43/(YEAR(PhaseIConEnd)-YEAR(PhaseIPreconBegin)+1)</f>
        <v>0</v>
      </c>
      <c r="M28" s="146">
        <f>(AND(M$8&gt;=YEAR(PhaseIPreconBegin),M$8&lt;=YEAR(PhaseIConEnd)))*SUM($D27:$N27)*'Assumptions-Overall'!$H$43/(YEAR(PhaseIConEnd)-YEAR(PhaseIPreconBegin)+1)</f>
        <v>0</v>
      </c>
      <c r="N28" s="151"/>
    </row>
    <row r="29" spans="2:14" x14ac:dyDescent="0.65">
      <c r="B29" s="3" t="s">
        <v>115</v>
      </c>
      <c r="C29" s="8"/>
      <c r="D29" s="146">
        <f>(AND(D$8&gt;=YEAR(PhaseIPreconBegin),D$8&lt;=YEAR(PhaseIConEnd)))*SUM($D27:$N27)*'Assumptions-Overall'!$H$44/(YEAR(PhaseIConEnd)-YEAR(PhaseIPreconBegin)+1)</f>
        <v>-1821555.6104810359</v>
      </c>
      <c r="E29" s="146">
        <f>(AND(E$8&gt;=YEAR(PhaseIPreconBegin),E$8&lt;=YEAR(PhaseIConEnd)))*SUM($D27:$N27)*'Assumptions-Overall'!$H$44/(YEAR(PhaseIConEnd)-YEAR(PhaseIPreconBegin)+1)</f>
        <v>-1821555.6104810359</v>
      </c>
      <c r="F29" s="146">
        <f>(AND(F$8&gt;=YEAR(PhaseIPreconBegin),F$8&lt;=YEAR(PhaseIConEnd)))*SUM($D27:$N27)*'Assumptions-Overall'!$H$44/(YEAR(PhaseIConEnd)-YEAR(PhaseIPreconBegin)+1)</f>
        <v>-1821555.6104810359</v>
      </c>
      <c r="G29" s="146">
        <f>(AND(G$8&gt;=YEAR(PhaseIPreconBegin),G$8&lt;=YEAR(PhaseIConEnd)))*SUM($D27:$N27)*'Assumptions-Overall'!$H$44/(YEAR(PhaseIConEnd)-YEAR(PhaseIPreconBegin)+1)</f>
        <v>-1821555.6104810359</v>
      </c>
      <c r="H29" s="146">
        <f>(AND(H$8&gt;=YEAR(PhaseIPreconBegin),H$8&lt;=YEAR(PhaseIConEnd)))*SUM($D27:$N27)*'Assumptions-Overall'!$H$44/(YEAR(PhaseIConEnd)-YEAR(PhaseIPreconBegin)+1)</f>
        <v>0</v>
      </c>
      <c r="I29" s="146">
        <f>(AND(I$8&gt;=YEAR(PhaseIPreconBegin),I$8&lt;=YEAR(PhaseIConEnd)))*SUM($D27:$N27)*'Assumptions-Overall'!$H$44/(YEAR(PhaseIConEnd)-YEAR(PhaseIPreconBegin)+1)</f>
        <v>0</v>
      </c>
      <c r="J29" s="146">
        <f>(AND(J$8&gt;=YEAR(PhaseIPreconBegin),J$8&lt;=YEAR(PhaseIConEnd)))*SUM($D27:$N27)*'Assumptions-Overall'!$H$44/(YEAR(PhaseIConEnd)-YEAR(PhaseIPreconBegin)+1)</f>
        <v>0</v>
      </c>
      <c r="K29" s="146">
        <f>(AND(K$8&gt;=YEAR(PhaseIPreconBegin),K$8&lt;=YEAR(PhaseIConEnd)))*SUM($D27:$N27)*'Assumptions-Overall'!$H$44/(YEAR(PhaseIConEnd)-YEAR(PhaseIPreconBegin)+1)</f>
        <v>0</v>
      </c>
      <c r="L29" s="146">
        <f>(AND(L$8&gt;=YEAR(PhaseIPreconBegin),L$8&lt;=YEAR(PhaseIConEnd)))*SUM($D27:$N27)*'Assumptions-Overall'!$H$44/(YEAR(PhaseIConEnd)-YEAR(PhaseIPreconBegin)+1)</f>
        <v>0</v>
      </c>
      <c r="M29" s="146">
        <f>(AND(M$8&gt;=YEAR(PhaseIPreconBegin),M$8&lt;=YEAR(PhaseIConEnd)))*SUM($D27:$N27)*'Assumptions-Overall'!$H$44/(YEAR(PhaseIConEnd)-YEAR(PhaseIPreconBegin)+1)</f>
        <v>0</v>
      </c>
      <c r="N29" s="151"/>
    </row>
    <row r="30" spans="2:14" x14ac:dyDescent="0.65">
      <c r="B30" s="3" t="s">
        <v>116</v>
      </c>
      <c r="C30" s="8"/>
      <c r="D30" s="144">
        <f>SUM(D27:D29)*'Assumptions-Overall'!$H$45</f>
        <v>-145724.44883848287</v>
      </c>
      <c r="E30" s="144">
        <f>SUM(E27:E29)*'Assumptions-Overall'!$H$45</f>
        <v>-145724.44883848287</v>
      </c>
      <c r="F30" s="144">
        <f>SUM(F27:F29)*'Assumptions-Overall'!$H$45</f>
        <v>-1940360.5182779273</v>
      </c>
      <c r="G30" s="144">
        <f>SUM(G27:G29)*'Assumptions-Overall'!$H$45</f>
        <v>-1994199.6003611104</v>
      </c>
      <c r="H30" s="144">
        <f>SUM(H27:H29)*'Assumptions-Overall'!$H$45</f>
        <v>0</v>
      </c>
      <c r="I30" s="144">
        <f>SUM(I27:I29)*'Assumptions-Overall'!$H$45</f>
        <v>0</v>
      </c>
      <c r="J30" s="144">
        <f>SUM(J27:J29)*'Assumptions-Overall'!$H$45</f>
        <v>0</v>
      </c>
      <c r="K30" s="144">
        <f>SUM(K27:K29)*'Assumptions-Overall'!$H$45</f>
        <v>0</v>
      </c>
      <c r="L30" s="144">
        <f>SUM(L27:L29)*'Assumptions-Overall'!$H$45</f>
        <v>0</v>
      </c>
      <c r="M30" s="144">
        <f>SUM(M27:M29)*'Assumptions-Overall'!$H$45</f>
        <v>0</v>
      </c>
      <c r="N30" s="151"/>
    </row>
    <row r="31" spans="2:14" x14ac:dyDescent="0.65">
      <c r="B31" s="3" t="s">
        <v>212</v>
      </c>
      <c r="C31" s="8"/>
      <c r="D31" s="146">
        <f>SUM(D27:D30)</f>
        <v>-3060213.4256081404</v>
      </c>
      <c r="E31" s="146">
        <f t="shared" ref="E31:M31" si="2">SUM(E27:E30)</f>
        <v>-3060213.4256081404</v>
      </c>
      <c r="F31" s="146">
        <f t="shared" si="2"/>
        <v>-40747570.883836471</v>
      </c>
      <c r="G31" s="146">
        <f t="shared" si="2"/>
        <v>-41878191.607583314</v>
      </c>
      <c r="H31" s="146">
        <f t="shared" si="2"/>
        <v>0</v>
      </c>
      <c r="I31" s="146">
        <f t="shared" si="2"/>
        <v>0</v>
      </c>
      <c r="J31" s="146">
        <f t="shared" si="2"/>
        <v>0</v>
      </c>
      <c r="K31" s="146">
        <f t="shared" si="2"/>
        <v>0</v>
      </c>
      <c r="L31" s="146">
        <f t="shared" si="2"/>
        <v>0</v>
      </c>
      <c r="M31" s="146">
        <f t="shared" si="2"/>
        <v>0</v>
      </c>
      <c r="N31" s="151"/>
    </row>
    <row r="32" spans="2:14" x14ac:dyDescent="0.65">
      <c r="B32" s="3"/>
      <c r="C32" s="8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51"/>
    </row>
    <row r="33" spans="2:14" x14ac:dyDescent="0.65">
      <c r="B33" s="36" t="s">
        <v>167</v>
      </c>
      <c r="C33" s="8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51"/>
    </row>
    <row r="34" spans="2:14" x14ac:dyDescent="0.65">
      <c r="B34" s="3" t="s">
        <v>221</v>
      </c>
      <c r="C34" s="8"/>
      <c r="D34" s="128">
        <f>(AND(D$8&gt;=YEAR(PhaseIPreconBegin),D$8&lt;YEAR(PhaseIConBegin)))*'Assumptions-ResCondo'!$I$15/(YEAR(PhaseIConBegin)-YEAR(PhaseIPreconBegin))+(AND(D$8&gt;=YEAR(PhaseIConBegin),D$8&lt;=YEAR(PhaseIConEnd)))*'Assumptions-ResCondo'!$I$16/(YEAR(PhaseIConEnd)-YEAR(PhaseIConBegin)+1)</f>
        <v>2.5000000000000001E-2</v>
      </c>
      <c r="E34" s="128">
        <f>(AND(E$8&gt;=YEAR(PhaseIPreconBegin),E$8&lt;YEAR(PhaseIConBegin)))*'Assumptions-ResCondo'!$I$15/(YEAR(PhaseIConBegin)-YEAR(PhaseIPreconBegin))+(AND(E$8&gt;=YEAR(PhaseIConBegin),E$8&lt;=YEAR(PhaseIConEnd)))*'Assumptions-ResCondo'!$I$16/(YEAR(PhaseIConEnd)-YEAR(PhaseIConBegin)+1)</f>
        <v>2.5000000000000001E-2</v>
      </c>
      <c r="F34" s="128">
        <v>0.35</v>
      </c>
      <c r="G34" s="128">
        <v>0.45</v>
      </c>
      <c r="H34" s="128">
        <f>(AND(H$8&gt;=YEAR(PhaseIIPreconBegin),H$8&lt;YEAR(PhaseIIConBegin)))*'Assumptions-ResCondo'!$I$15/(YEAR(PhaseIIConBegin)-YEAR(PhaseIIPreconBegin))+(AND(H$8&gt;=YEAR(PhaseIIConBegin),H$8&lt;=YEAR(PhaseIIConEnd)))*'Assumptions-ResCondo'!$I$16/(YEAR(PhaseIIConEnd)-YEAR(PhaseIIConBegin)+1)</f>
        <v>0</v>
      </c>
      <c r="I34" s="128">
        <f>(AND(I$8&gt;=YEAR(PhaseIIPreconBegin),I$8&lt;YEAR(PhaseIIConBegin)))*'Assumptions-ResCondo'!$I$15/(YEAR(PhaseIIConBegin)-YEAR(PhaseIIPreconBegin))+(AND(I$8&gt;=YEAR(PhaseIIConBegin),I$8&lt;=YEAR(PhaseIIConEnd)))*'Assumptions-ResCondo'!$I$16/(YEAR(PhaseIIConEnd)-YEAR(PhaseIIConBegin)+1)</f>
        <v>0</v>
      </c>
      <c r="J34" s="128">
        <f>(AND(J$8&gt;=YEAR(PhaseIIPreconBegin),J$8&lt;YEAR(PhaseIIConBegin)))*'Assumptions-ResCondo'!$I$15/(YEAR(PhaseIIConBegin)-YEAR(PhaseIIPreconBegin))+(AND(J$8&gt;=YEAR(PhaseIIConBegin),J$8&lt;=YEAR(PhaseIIConEnd)))*'Assumptions-ResCondo'!$I$16/(YEAR(PhaseIIConEnd)-YEAR(PhaseIIConBegin)+1)</f>
        <v>0</v>
      </c>
      <c r="K34" s="128">
        <f>(AND(K$8&gt;=YEAR(PhaseIIPreconBegin),K$8&lt;YEAR(PhaseIIConBegin)))*'Assumptions-ResCondo'!$I$15/(YEAR(PhaseIIConBegin)-YEAR(PhaseIIPreconBegin))+(AND(K$8&gt;=YEAR(PhaseIIConBegin),K$8&lt;=YEAR(PhaseIIConEnd)))*'Assumptions-ResCondo'!$I$16/(YEAR(PhaseIIConEnd)-YEAR(PhaseIIConBegin)+1)</f>
        <v>0</v>
      </c>
      <c r="L34" s="128">
        <f>(AND(L$8&gt;=YEAR(PhaseIIPreconBegin),L$8&lt;YEAR(PhaseIIConBegin)))*'Assumptions-ResCondo'!$I$15/(YEAR(PhaseIIConBegin)-YEAR(PhaseIIPreconBegin))+(AND(L$8&gt;=YEAR(PhaseIIConBegin),L$8&lt;=YEAR(PhaseIIConEnd)))*'Assumptions-ResCondo'!$I$16/(YEAR(PhaseIIConEnd)-YEAR(PhaseIIConBegin)+1)</f>
        <v>0</v>
      </c>
      <c r="M34" s="128">
        <f>(AND(M$8&gt;=YEAR(PhaseIIPreconBegin),M$8&lt;YEAR(PhaseIIConBegin)))*'Assumptions-ResCondo'!$I$15/(YEAR(PhaseIIConBegin)-YEAR(PhaseIIPreconBegin))+(AND(M$8&gt;=YEAR(PhaseIIConBegin),M$8&lt;=YEAR(PhaseIIConEnd)))*'Assumptions-ResCondo'!$I$16/(YEAR(PhaseIIConEnd)-YEAR(PhaseIIConBegin)+1)</f>
        <v>0</v>
      </c>
      <c r="N34" s="151"/>
    </row>
    <row r="35" spans="2:14" x14ac:dyDescent="0.65">
      <c r="B35" s="3" t="s">
        <v>222</v>
      </c>
      <c r="C35" s="8"/>
      <c r="D35" s="146">
        <f>D34*'Assumptions-ResCondo'!$I$18*(SUMPRODUCT('Assumptions-ResCondo'!$L$8:$L$11,'CashFlow-ResCondo'!$N15:$N18)+SUMPRODUCT('CashFlow-ResCondo'!$N21:$N24,'Assumptions-ResCondo'!$Q$8:$Q$11))*((1+'Assumptions-Overall'!$C$34)^('CashFlow-ResCondo'!D$7-1))</f>
        <v>619771.39444620756</v>
      </c>
      <c r="E35" s="146">
        <f>E34*'Assumptions-ResCondo'!$I$18*(SUMPRODUCT('Assumptions-ResCondo'!$L$8:$L$11,'CashFlow-ResCondo'!$N15:$N18)+SUMPRODUCT('CashFlow-ResCondo'!$N21:$N24,'Assumptions-ResCondo'!$Q$8:$Q$11))*((1+'Assumptions-Overall'!$C$34)^('CashFlow-ResCondo'!E$7-1))</f>
        <v>638364.53627959383</v>
      </c>
      <c r="F35" s="146">
        <f>F34*'Assumptions-ResCondo'!$I$18*(SUMPRODUCT('Assumptions-ResCondo'!$L$8:$L$11,'CashFlow-ResCondo'!$N15:$N18)+SUMPRODUCT('CashFlow-ResCondo'!$N21:$N24,'Assumptions-ResCondo'!$Q$8:$Q$11))*((1+'Assumptions-Overall'!$C$34)^('CashFlow-ResCondo'!F$7-1))</f>
        <v>9205216.6131517384</v>
      </c>
      <c r="G35" s="146">
        <f>G34*'Assumptions-ResCondo'!$I$18*(SUMPRODUCT('Assumptions-ResCondo'!$L$8:$L$11,'CashFlow-ResCondo'!$N15:$N18)+SUMPRODUCT('CashFlow-ResCondo'!$N21:$N24,'Assumptions-ResCondo'!$Q$8:$Q$11))*((1+'Assumptions-Overall'!$C$34)^('CashFlow-ResCondo'!G$7-1))</f>
        <v>12190336.857702378</v>
      </c>
      <c r="H35" s="146">
        <f>H34*'Assumptions-ResCondo'!$I$18*(SUMPRODUCT('Assumptions-ResCondo'!$L$8:$L$11,'CashFlow-ResCondo'!$N15:$N18)+SUMPRODUCT('CashFlow-ResCondo'!$N21:$N24,'Assumptions-ResCondo'!$Q$8:$Q$11))*((1+'Assumptions-Overall'!$C$34)^('CashFlow-ResCondo'!H$7-1))</f>
        <v>0</v>
      </c>
      <c r="I35" s="146">
        <f>I34*'Assumptions-ResCondo'!$I$18*(SUMPRODUCT('Assumptions-ResCondo'!$L$8:$L$11,'CashFlow-ResCondo'!$N15:$N18)+SUMPRODUCT('CashFlow-ResCondo'!$N21:$N24,'Assumptions-ResCondo'!$Q$8:$Q$11))*((1+'Assumptions-Overall'!$C$34)^('CashFlow-ResCondo'!I$7-1))</f>
        <v>0</v>
      </c>
      <c r="J35" s="146">
        <f>J34*'Assumptions-ResCondo'!$I$18*(SUMPRODUCT('Assumptions-ResCondo'!$L$8:$L$11,'CashFlow-ResCondo'!$N15:$N18)+SUMPRODUCT('CashFlow-ResCondo'!$N21:$N24,'Assumptions-ResCondo'!$Q$8:$Q$11))*((1+'Assumptions-Overall'!$C$34)^('CashFlow-ResCondo'!J$7-1))</f>
        <v>0</v>
      </c>
      <c r="K35" s="146">
        <f>K34*'Assumptions-ResCondo'!$I$18*(SUMPRODUCT('Assumptions-ResCondo'!$L$8:$L$11,'CashFlow-ResCondo'!$N15:$N18)+SUMPRODUCT('CashFlow-ResCondo'!$N21:$N24,'Assumptions-ResCondo'!$Q$8:$Q$11))*((1+'Assumptions-Overall'!$C$34)^('CashFlow-ResCondo'!K$7-1))</f>
        <v>0</v>
      </c>
      <c r="L35" s="146">
        <f>L34*'Assumptions-ResCondo'!$I$18*(SUMPRODUCT('Assumptions-ResCondo'!$L$8:$L$11,'CashFlow-ResCondo'!$N15:$N18)+SUMPRODUCT('CashFlow-ResCondo'!$N21:$N24,'Assumptions-ResCondo'!$Q$8:$Q$11))*((1+'Assumptions-Overall'!$C$34)^('CashFlow-ResCondo'!L$7-1))</f>
        <v>0</v>
      </c>
      <c r="M35" s="146">
        <f>M34*'Assumptions-ResCondo'!$I$18*(SUMPRODUCT('Assumptions-ResCondo'!$L$8:$L$11,'CashFlow-ResCondo'!$N15:$N18)+SUMPRODUCT('CashFlow-ResCondo'!$N21:$N24,'Assumptions-ResCondo'!$Q$8:$Q$11))*((1+'Assumptions-Overall'!$C$34)^('CashFlow-ResCondo'!M$7-1))</f>
        <v>0</v>
      </c>
      <c r="N35" s="151"/>
    </row>
    <row r="36" spans="2:14" x14ac:dyDescent="0.65">
      <c r="B36" s="3" t="s">
        <v>225</v>
      </c>
      <c r="C36" s="8"/>
      <c r="D36" s="146">
        <f>(D$8=YEAR(PhaseIComplete))*SUM($D35:$M35)/'Assumptions-ResCondo'!$I$18*(1-'Assumptions-ResCondo'!$I$18)</f>
        <v>0</v>
      </c>
      <c r="E36" s="146">
        <f>(E$8=YEAR(PhaseIComplete))*SUM($D35:$M35)/'Assumptions-ResCondo'!$I$18*(1-'Assumptions-ResCondo'!$I$18)</f>
        <v>0</v>
      </c>
      <c r="F36" s="146">
        <f>(F$8=YEAR(PhaseIComplete))*SUM($D35:$M35)/'Assumptions-ResCondo'!$I$18*(1-'Assumptions-ResCondo'!$I$18)</f>
        <v>0</v>
      </c>
      <c r="G36" s="146">
        <f>(G$8=YEAR(PhaseIComplete))*SUM($D35:$M35)/'Assumptions-ResCondo'!$I$18*(1-'Assumptions-ResCondo'!$I$18)</f>
        <v>0</v>
      </c>
      <c r="H36" s="146">
        <f>(H$8=YEAR(PhaseIComplete))*SUM($D35:$M35)/'Assumptions-ResCondo'!$I$18*(1-'Assumptions-ResCondo'!$I$18)</f>
        <v>90614757.606319666</v>
      </c>
      <c r="I36" s="146">
        <f>(I$8=YEAR(PhaseIComplete))*SUM($D35:$M35)/'Assumptions-ResCondo'!$I$18*(1-'Assumptions-ResCondo'!$I$18)</f>
        <v>0</v>
      </c>
      <c r="J36" s="146">
        <f>(J$8=YEAR(PhaseIComplete))*SUM($D35:$M35)/'Assumptions-ResCondo'!$I$18*(1-'Assumptions-ResCondo'!$I$18)</f>
        <v>0</v>
      </c>
      <c r="K36" s="146">
        <f>(K$8=YEAR(PhaseIComplete))*SUM($D35:$M35)/'Assumptions-ResCondo'!$I$18*(1-'Assumptions-ResCondo'!$I$18)</f>
        <v>0</v>
      </c>
      <c r="L36" s="146">
        <f>(L$8=YEAR(PhaseIComplete))*SUM($D35:$M35)/'Assumptions-ResCondo'!$I$18*(1-'Assumptions-ResCondo'!$I$18)</f>
        <v>0</v>
      </c>
      <c r="M36" s="146">
        <f>(M$8=YEAR(PhaseIComplete))*SUM($D35:$M35)/'Assumptions-ResCondo'!$I$18*(1-'Assumptions-ResCondo'!$I$18)</f>
        <v>0</v>
      </c>
      <c r="N36" s="151"/>
    </row>
    <row r="37" spans="2:14" x14ac:dyDescent="0.65">
      <c r="B37" s="3" t="s">
        <v>216</v>
      </c>
      <c r="C37" s="8"/>
      <c r="D37" s="144">
        <f>-SUM(D35:D36)*'Assumptions-ResCondo'!$I$20</f>
        <v>-18593.141833386228</v>
      </c>
      <c r="E37" s="144">
        <f>-SUM(E35:E36)*'Assumptions-ResCondo'!$I$20</f>
        <v>-19150.936088387814</v>
      </c>
      <c r="F37" s="144">
        <f>-SUM(F35:F36)*'Assumptions-ResCondo'!$I$20</f>
        <v>-276156.49839455215</v>
      </c>
      <c r="G37" s="144">
        <f>-SUM(G35:G36)*'Assumptions-ResCondo'!$I$20</f>
        <v>-365710.10573107132</v>
      </c>
      <c r="H37" s="144">
        <f>-SUM(H35:H36)*'Assumptions-ResCondo'!$I$20</f>
        <v>-2718442.7281895899</v>
      </c>
      <c r="I37" s="144">
        <f>-SUM(I35:I36)*'Assumptions-ResCondo'!$I$20</f>
        <v>0</v>
      </c>
      <c r="J37" s="144">
        <f>-SUM(J35:J36)*'Assumptions-ResCondo'!$I$20</f>
        <v>0</v>
      </c>
      <c r="K37" s="144">
        <f>-SUM(K35:K36)*'Assumptions-ResCondo'!$I$20</f>
        <v>0</v>
      </c>
      <c r="L37" s="144">
        <f>-SUM(L35:L36)*'Assumptions-ResCondo'!$I$20</f>
        <v>0</v>
      </c>
      <c r="M37" s="144">
        <f>-SUM(M35:M36)*'Assumptions-ResCondo'!$I$20</f>
        <v>0</v>
      </c>
      <c r="N37" s="151"/>
    </row>
    <row r="38" spans="2:14" x14ac:dyDescent="0.65">
      <c r="B38" s="3" t="s">
        <v>220</v>
      </c>
      <c r="C38" s="8"/>
      <c r="D38" s="146">
        <f t="shared" ref="D38:M38" si="3">SUM(D35:D37)</f>
        <v>601178.25261282129</v>
      </c>
      <c r="E38" s="146">
        <f t="shared" si="3"/>
        <v>619213.60019120597</v>
      </c>
      <c r="F38" s="146">
        <f t="shared" si="3"/>
        <v>8929060.1147571858</v>
      </c>
      <c r="G38" s="146">
        <f t="shared" si="3"/>
        <v>11824626.751971306</v>
      </c>
      <c r="H38" s="146">
        <f t="shared" si="3"/>
        <v>87896314.878130078</v>
      </c>
      <c r="I38" s="146">
        <f t="shared" si="3"/>
        <v>0</v>
      </c>
      <c r="J38" s="146">
        <f t="shared" si="3"/>
        <v>0</v>
      </c>
      <c r="K38" s="146">
        <f t="shared" si="3"/>
        <v>0</v>
      </c>
      <c r="L38" s="146">
        <f t="shared" si="3"/>
        <v>0</v>
      </c>
      <c r="M38" s="146">
        <f t="shared" si="3"/>
        <v>0</v>
      </c>
      <c r="N38" s="151"/>
    </row>
    <row r="39" spans="2:14" x14ac:dyDescent="0.65">
      <c r="B39" s="3"/>
      <c r="C39" s="8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51"/>
    </row>
    <row r="40" spans="2:14" x14ac:dyDescent="0.65">
      <c r="B40" s="3" t="s">
        <v>214</v>
      </c>
      <c r="C40" s="8"/>
      <c r="D40" s="146">
        <f t="shared" ref="D40:M40" si="4">D31+D38</f>
        <v>-2459035.1729953191</v>
      </c>
      <c r="E40" s="146">
        <f t="shared" si="4"/>
        <v>-2440999.8254169347</v>
      </c>
      <c r="F40" s="146">
        <f t="shared" si="4"/>
        <v>-31818510.769079283</v>
      </c>
      <c r="G40" s="146">
        <f t="shared" si="4"/>
        <v>-30053564.85561201</v>
      </c>
      <c r="H40" s="146">
        <f t="shared" si="4"/>
        <v>87896314.878130078</v>
      </c>
      <c r="I40" s="146">
        <f t="shared" si="4"/>
        <v>0</v>
      </c>
      <c r="J40" s="146">
        <f t="shared" si="4"/>
        <v>0</v>
      </c>
      <c r="K40" s="146">
        <f t="shared" si="4"/>
        <v>0</v>
      </c>
      <c r="L40" s="146">
        <f t="shared" si="4"/>
        <v>0</v>
      </c>
      <c r="M40" s="146">
        <f t="shared" si="4"/>
        <v>0</v>
      </c>
      <c r="N40" s="151"/>
    </row>
    <row r="41" spans="2:14" x14ac:dyDescent="0.65">
      <c r="B41" s="3" t="s">
        <v>218</v>
      </c>
      <c r="C41" s="469">
        <f>IFERROR(IRR(D40:H40),"n/a")</f>
        <v>0.1750522665299501</v>
      </c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51"/>
    </row>
    <row r="42" spans="2:14" ht="13" thickBot="1" x14ac:dyDescent="0.8">
      <c r="B42" s="5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</row>
    <row r="43" spans="2:14" x14ac:dyDescent="0.65">
      <c r="B43" s="154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6"/>
    </row>
    <row r="44" spans="2:14" x14ac:dyDescent="0.65">
      <c r="B44" s="147" t="s">
        <v>197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9"/>
    </row>
    <row r="45" spans="2:14" x14ac:dyDescent="0.65">
      <c r="B45" s="3" t="s">
        <v>194</v>
      </c>
      <c r="C45" s="8"/>
      <c r="D45" s="148">
        <f>(D$8&gt;=YEAR(PhaseIIComplete))*SUMIFS(BuildingSummary!$D$21:$U$21,BuildingSummary!$D$34:$U$34,"Condominium",BuildingSummary!$D$18:$U$18,"II")+(D$8&gt;=YEAR(PhaseIIComplete))*SUMIFS(BuildingSummary!$D$29:$U$29,BuildingSummary!$D$34:$U$34,"Condominium",BuildingSummary!$D$18:$U$18,"II")</f>
        <v>0</v>
      </c>
      <c r="E45" s="148">
        <f>(E$8&gt;=YEAR(PhaseIIComplete))*SUMIFS(BuildingSummary!$D$21:$U$21,BuildingSummary!$D$34:$U$34,"Condominium",BuildingSummary!$D$18:$U$18,"II")+(E$8&gt;=YEAR(PhaseIIComplete))*SUMIFS(BuildingSummary!$D$29:$U$29,BuildingSummary!$D$34:$U$34,"Condominium",BuildingSummary!$D$18:$U$18,"II")</f>
        <v>0</v>
      </c>
      <c r="F45" s="148">
        <f>(F$8&gt;=YEAR(PhaseIIComplete))*SUMIFS(BuildingSummary!$D$21:$U$21,BuildingSummary!$D$34:$U$34,"Condominium",BuildingSummary!$D$18:$U$18,"II")+(F$8&gt;=YEAR(PhaseIIComplete))*SUMIFS(BuildingSummary!$D$29:$U$29,BuildingSummary!$D$34:$U$34,"Condominium",BuildingSummary!$D$18:$U$18,"II")</f>
        <v>0</v>
      </c>
      <c r="G45" s="148">
        <f>(G$8&gt;=YEAR(PhaseIIComplete))*SUMIFS(BuildingSummary!$D$21:$U$21,BuildingSummary!$D$34:$U$34,"Condominium",BuildingSummary!$D$18:$U$18,"II")+(G$8&gt;=YEAR(PhaseIIComplete))*SUMIFS(BuildingSummary!$D$29:$U$29,BuildingSummary!$D$34:$U$34,"Condominium",BuildingSummary!$D$18:$U$18,"II")</f>
        <v>309657.15287254902</v>
      </c>
      <c r="H45" s="148">
        <f>(H$8&gt;=YEAR(PhaseIIComplete))*SUMIFS(BuildingSummary!$D$21:$U$21,BuildingSummary!$D$34:$U$34,"Condominium",BuildingSummary!$D$18:$U$18,"II")+(H$8&gt;=YEAR(PhaseIIComplete))*SUMIFS(BuildingSummary!$D$29:$U$29,BuildingSummary!$D$34:$U$34,"Condominium",BuildingSummary!$D$18:$U$18,"II")</f>
        <v>309657.15287254902</v>
      </c>
      <c r="I45" s="148">
        <f>(I$8&gt;=YEAR(PhaseIIComplete))*SUMIFS(BuildingSummary!$D$21:$U$21,BuildingSummary!$D$34:$U$34,"Condominium",BuildingSummary!$D$18:$U$18,"II")+(I$8&gt;=YEAR(PhaseIIComplete))*SUMIFS(BuildingSummary!$D$29:$U$29,BuildingSummary!$D$34:$U$34,"Condominium",BuildingSummary!$D$18:$U$18,"II")</f>
        <v>309657.15287254902</v>
      </c>
      <c r="J45" s="148">
        <f>(J$8&gt;=YEAR(PhaseIIComplete))*SUMIFS(BuildingSummary!$D$21:$U$21,BuildingSummary!$D$34:$U$34,"Condominium",BuildingSummary!$D$18:$U$18,"II")+(J$8&gt;=YEAR(PhaseIIComplete))*SUMIFS(BuildingSummary!$D$29:$U$29,BuildingSummary!$D$34:$U$34,"Condominium",BuildingSummary!$D$18:$U$18,"II")</f>
        <v>309657.15287254902</v>
      </c>
      <c r="K45" s="148">
        <f>(K$8&gt;=YEAR(PhaseIIComplete))*SUMIFS(BuildingSummary!$D$21:$U$21,BuildingSummary!$D$34:$U$34,"Condominium",BuildingSummary!$D$18:$U$18,"II")+(K$8&gt;=YEAR(PhaseIIComplete))*SUMIFS(BuildingSummary!$D$29:$U$29,BuildingSummary!$D$34:$U$34,"Condominium",BuildingSummary!$D$18:$U$18,"II")</f>
        <v>309657.15287254902</v>
      </c>
      <c r="L45" s="148">
        <f>(L$8&gt;=YEAR(PhaseIIComplete))*SUMIFS(BuildingSummary!$D$21:$U$21,BuildingSummary!$D$34:$U$34,"Condominium",BuildingSummary!$D$18:$U$18,"II")+(L$8&gt;=YEAR(PhaseIIComplete))*SUMIFS(BuildingSummary!$D$29:$U$29,BuildingSummary!$D$34:$U$34,"Condominium",BuildingSummary!$D$18:$U$18,"II")</f>
        <v>309657.15287254902</v>
      </c>
      <c r="M45" s="148">
        <f>(M$8&gt;=YEAR(PhaseIIComplete))*SUMIFS(BuildingSummary!$D$21:$U$21,BuildingSummary!$D$34:$U$34,"Condominium",BuildingSummary!$D$18:$U$18,"II")+(M$8&gt;=YEAR(PhaseIIComplete))*SUMIFS(BuildingSummary!$D$29:$U$29,BuildingSummary!$D$34:$U$34,"Condominium",BuildingSummary!$D$18:$U$18,"II")</f>
        <v>309657.15287254902</v>
      </c>
      <c r="N45" s="149">
        <f>(N$8&gt;=YEAR(PhaseIIComplete))*SUMIFS(BuildingSummary!$D$21:$U$21,BuildingSummary!$D$34:$U$34,"Condominium",BuildingSummary!$D$18:$U$18,"II")+(N$8&gt;=YEAR(PhaseIIComplete))*SUMIFS(BuildingSummary!$D$29:$U$29,BuildingSummary!$D$34:$U$34,"Condominium",BuildingSummary!$D$18:$U$18,"II")</f>
        <v>309657.15287254902</v>
      </c>
    </row>
    <row r="46" spans="2:14" x14ac:dyDescent="0.65">
      <c r="B46" s="3" t="s">
        <v>195</v>
      </c>
      <c r="C46" s="8"/>
      <c r="D46" s="148">
        <f>D45-C45</f>
        <v>0</v>
      </c>
      <c r="E46" s="148">
        <f t="shared" ref="E46" si="5">E45-D45</f>
        <v>0</v>
      </c>
      <c r="F46" s="148">
        <f t="shared" ref="F46" si="6">F45-E45</f>
        <v>0</v>
      </c>
      <c r="G46" s="148">
        <f t="shared" ref="G46" si="7">G45-F45</f>
        <v>309657.15287254902</v>
      </c>
      <c r="H46" s="148">
        <f t="shared" ref="H46" si="8">H45-G45</f>
        <v>0</v>
      </c>
      <c r="I46" s="148">
        <f t="shared" ref="I46" si="9">I45-H45</f>
        <v>0</v>
      </c>
      <c r="J46" s="148">
        <f t="shared" ref="J46" si="10">J45-I45</f>
        <v>0</v>
      </c>
      <c r="K46" s="148">
        <f t="shared" ref="K46" si="11">K45-J45</f>
        <v>0</v>
      </c>
      <c r="L46" s="148">
        <f t="shared" ref="L46" si="12">L45-K45</f>
        <v>0</v>
      </c>
      <c r="M46" s="148">
        <f t="shared" ref="M46" si="13">M45-L45</f>
        <v>0</v>
      </c>
      <c r="N46" s="149">
        <f t="shared" ref="N46" si="14">N45-M45</f>
        <v>0</v>
      </c>
    </row>
    <row r="47" spans="2:14" x14ac:dyDescent="0.65">
      <c r="B47" s="3"/>
      <c r="C47" s="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9"/>
    </row>
    <row r="48" spans="2:14" x14ac:dyDescent="0.65">
      <c r="B48" s="36" t="s">
        <v>196</v>
      </c>
      <c r="C48" s="8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9"/>
    </row>
    <row r="49" spans="2:14" x14ac:dyDescent="0.65">
      <c r="B49" s="3" t="s">
        <v>13</v>
      </c>
      <c r="C49" s="8"/>
      <c r="D49" s="148">
        <f>(D$8&gt;=YEAR(PhaseIIComplete))*'Assumptions-ResCondo'!$E9</f>
        <v>0</v>
      </c>
      <c r="E49" s="148">
        <f>(E$8&gt;=YEAR(PhaseIIComplete))*'Assumptions-ResCondo'!$E9</f>
        <v>0</v>
      </c>
      <c r="F49" s="148">
        <f>(F$8&gt;=YEAR(PhaseIIComplete))*'Assumptions-ResCondo'!$E9</f>
        <v>0</v>
      </c>
      <c r="G49" s="148">
        <f>(G$8&gt;=YEAR(PhaseIIComplete))*'Assumptions-ResCondo'!$E9</f>
        <v>107</v>
      </c>
      <c r="H49" s="148">
        <f>(H$8&gt;=YEAR(PhaseIIComplete))*'Assumptions-ResCondo'!$E9</f>
        <v>107</v>
      </c>
      <c r="I49" s="148">
        <f>(I$8&gt;=YEAR(PhaseIIComplete))*'Assumptions-ResCondo'!$E9</f>
        <v>107</v>
      </c>
      <c r="J49" s="148">
        <f>(J$8&gt;=YEAR(PhaseIIComplete))*'Assumptions-ResCondo'!$E9</f>
        <v>107</v>
      </c>
      <c r="K49" s="148">
        <f>(K$8&gt;=YEAR(PhaseIIComplete))*'Assumptions-ResCondo'!$E9</f>
        <v>107</v>
      </c>
      <c r="L49" s="148">
        <f>(L$8&gt;=YEAR(PhaseIIComplete))*'Assumptions-ResCondo'!$E9</f>
        <v>107</v>
      </c>
      <c r="M49" s="148">
        <f>(M$8&gt;=YEAR(PhaseIIComplete))*'Assumptions-ResCondo'!$E9</f>
        <v>107</v>
      </c>
      <c r="N49" s="149">
        <f>(N$8&gt;=YEAR(PhaseIIComplete))*'Assumptions-ResCondo'!$E9</f>
        <v>107</v>
      </c>
    </row>
    <row r="50" spans="2:14" x14ac:dyDescent="0.65">
      <c r="B50" s="3" t="s">
        <v>12</v>
      </c>
      <c r="C50" s="8"/>
      <c r="D50" s="148">
        <f>(D$8&gt;=YEAR(PhaseIIComplete))*'Assumptions-ResCondo'!$E10</f>
        <v>0</v>
      </c>
      <c r="E50" s="148">
        <f>(E$8&gt;=YEAR(PhaseIIComplete))*'Assumptions-ResCondo'!$E10</f>
        <v>0</v>
      </c>
      <c r="F50" s="148">
        <f>(F$8&gt;=YEAR(PhaseIIComplete))*'Assumptions-ResCondo'!$E10</f>
        <v>0</v>
      </c>
      <c r="G50" s="148">
        <f>(G$8&gt;=YEAR(PhaseIIComplete))*'Assumptions-ResCondo'!$E10</f>
        <v>188</v>
      </c>
      <c r="H50" s="148">
        <f>(H$8&gt;=YEAR(PhaseIIComplete))*'Assumptions-ResCondo'!$E10</f>
        <v>188</v>
      </c>
      <c r="I50" s="148">
        <f>(I$8&gt;=YEAR(PhaseIIComplete))*'Assumptions-ResCondo'!$E10</f>
        <v>188</v>
      </c>
      <c r="J50" s="148">
        <f>(J$8&gt;=YEAR(PhaseIIComplete))*'Assumptions-ResCondo'!$E10</f>
        <v>188</v>
      </c>
      <c r="K50" s="148">
        <f>(K$8&gt;=YEAR(PhaseIIComplete))*'Assumptions-ResCondo'!$E10</f>
        <v>188</v>
      </c>
      <c r="L50" s="148">
        <f>(L$8&gt;=YEAR(PhaseIIComplete))*'Assumptions-ResCondo'!$E10</f>
        <v>188</v>
      </c>
      <c r="M50" s="148">
        <f>(M$8&gt;=YEAR(PhaseIIComplete))*'Assumptions-ResCondo'!$E10</f>
        <v>188</v>
      </c>
      <c r="N50" s="149">
        <f>(N$8&gt;=YEAR(PhaseIIComplete))*'Assumptions-ResCondo'!$E10</f>
        <v>188</v>
      </c>
    </row>
    <row r="51" spans="2:14" x14ac:dyDescent="0.65">
      <c r="B51" s="3" t="s">
        <v>11</v>
      </c>
      <c r="C51" s="8"/>
      <c r="D51" s="148">
        <f>(D$8&gt;=YEAR(PhaseIIComplete))*'Assumptions-ResCondo'!$E11</f>
        <v>0</v>
      </c>
      <c r="E51" s="148">
        <f>(E$8&gt;=YEAR(PhaseIIComplete))*'Assumptions-ResCondo'!$E11</f>
        <v>0</v>
      </c>
      <c r="F51" s="148">
        <f>(F$8&gt;=YEAR(PhaseIIComplete))*'Assumptions-ResCondo'!$E11</f>
        <v>0</v>
      </c>
      <c r="G51" s="148">
        <f>(G$8&gt;=YEAR(PhaseIIComplete))*'Assumptions-ResCondo'!$E11</f>
        <v>16</v>
      </c>
      <c r="H51" s="148">
        <f>(H$8&gt;=YEAR(PhaseIIComplete))*'Assumptions-ResCondo'!$E11</f>
        <v>16</v>
      </c>
      <c r="I51" s="148">
        <f>(I$8&gt;=YEAR(PhaseIIComplete))*'Assumptions-ResCondo'!$E11</f>
        <v>16</v>
      </c>
      <c r="J51" s="148">
        <f>(J$8&gt;=YEAR(PhaseIIComplete))*'Assumptions-ResCondo'!$E11</f>
        <v>16</v>
      </c>
      <c r="K51" s="148">
        <f>(K$8&gt;=YEAR(PhaseIIComplete))*'Assumptions-ResCondo'!$E11</f>
        <v>16</v>
      </c>
      <c r="L51" s="148">
        <f>(L$8&gt;=YEAR(PhaseIIComplete))*'Assumptions-ResCondo'!$E11</f>
        <v>16</v>
      </c>
      <c r="M51" s="148">
        <f>(M$8&gt;=YEAR(PhaseIIComplete))*'Assumptions-ResCondo'!$E11</f>
        <v>16</v>
      </c>
      <c r="N51" s="149">
        <f>(N$8&gt;=YEAR(PhaseIIComplete))*'Assumptions-ResCondo'!$E11</f>
        <v>16</v>
      </c>
    </row>
    <row r="52" spans="2:14" x14ac:dyDescent="0.65">
      <c r="B52" s="3" t="s">
        <v>10</v>
      </c>
      <c r="C52" s="8"/>
      <c r="D52" s="148">
        <f>(D$8&gt;=YEAR(PhaseIIComplete))*'Assumptions-ResCondo'!$E12</f>
        <v>0</v>
      </c>
      <c r="E52" s="148">
        <f>(E$8&gt;=YEAR(PhaseIIComplete))*'Assumptions-ResCondo'!$E12</f>
        <v>0</v>
      </c>
      <c r="F52" s="148">
        <f>(F$8&gt;=YEAR(PhaseIIComplete))*'Assumptions-ResCondo'!$E12</f>
        <v>0</v>
      </c>
      <c r="G52" s="148">
        <f>(G$8&gt;=YEAR(PhaseIIComplete))*'Assumptions-ResCondo'!$E12</f>
        <v>20</v>
      </c>
      <c r="H52" s="148">
        <f>(H$8&gt;=YEAR(PhaseIIComplete))*'Assumptions-ResCondo'!$E12</f>
        <v>20</v>
      </c>
      <c r="I52" s="148">
        <f>(I$8&gt;=YEAR(PhaseIIComplete))*'Assumptions-ResCondo'!$E12</f>
        <v>20</v>
      </c>
      <c r="J52" s="148">
        <f>(J$8&gt;=YEAR(PhaseIIComplete))*'Assumptions-ResCondo'!$E12</f>
        <v>20</v>
      </c>
      <c r="K52" s="148">
        <f>(K$8&gt;=YEAR(PhaseIIComplete))*'Assumptions-ResCondo'!$E12</f>
        <v>20</v>
      </c>
      <c r="L52" s="148">
        <f>(L$8&gt;=YEAR(PhaseIIComplete))*'Assumptions-ResCondo'!$E12</f>
        <v>20</v>
      </c>
      <c r="M52" s="148">
        <f>(M$8&gt;=YEAR(PhaseIIComplete))*'Assumptions-ResCondo'!$E12</f>
        <v>20</v>
      </c>
      <c r="N52" s="149">
        <f>(N$8&gt;=YEAR(PhaseIIComplete))*'Assumptions-ResCondo'!$E12</f>
        <v>20</v>
      </c>
    </row>
    <row r="53" spans="2:14" x14ac:dyDescent="0.65">
      <c r="B53" s="3"/>
      <c r="C53" s="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9"/>
    </row>
    <row r="54" spans="2:14" x14ac:dyDescent="0.65">
      <c r="B54" s="36" t="s">
        <v>580</v>
      </c>
      <c r="C54" s="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9"/>
    </row>
    <row r="55" spans="2:14" x14ac:dyDescent="0.65">
      <c r="B55" s="3" t="s">
        <v>13</v>
      </c>
      <c r="C55" s="8"/>
      <c r="D55" s="148">
        <f>(D$8&gt;=YEAR(PhaseIIComplete))*'Assumptions-ResCondo'!$E17</f>
        <v>0</v>
      </c>
      <c r="E55" s="148">
        <f>(E$8&gt;=YEAR(PhaseIIComplete))*'Assumptions-ResCondo'!$E17</f>
        <v>0</v>
      </c>
      <c r="F55" s="148">
        <f>(F$8&gt;=YEAR(PhaseIIComplete))*'Assumptions-ResCondo'!$E17</f>
        <v>0</v>
      </c>
      <c r="G55" s="148">
        <f>(G$8&gt;=YEAR(PhaseIIComplete))*'Assumptions-ResCondo'!$E17</f>
        <v>8</v>
      </c>
      <c r="H55" s="148">
        <f>(H$8&gt;=YEAR(PhaseIIComplete))*'Assumptions-ResCondo'!$E17</f>
        <v>8</v>
      </c>
      <c r="I55" s="148">
        <f>(I$8&gt;=YEAR(PhaseIIComplete))*'Assumptions-ResCondo'!$E17</f>
        <v>8</v>
      </c>
      <c r="J55" s="148">
        <f>(J$8&gt;=YEAR(PhaseIIComplete))*'Assumptions-ResCondo'!$E17</f>
        <v>8</v>
      </c>
      <c r="K55" s="148">
        <f>(K$8&gt;=YEAR(PhaseIIComplete))*'Assumptions-ResCondo'!$E17</f>
        <v>8</v>
      </c>
      <c r="L55" s="148">
        <f>(L$8&gt;=YEAR(PhaseIIComplete))*'Assumptions-ResCondo'!$E17</f>
        <v>8</v>
      </c>
      <c r="M55" s="148">
        <f>(M$8&gt;=YEAR(PhaseIIComplete))*'Assumptions-ResCondo'!$E17</f>
        <v>8</v>
      </c>
      <c r="N55" s="149">
        <f>(N$8&gt;=YEAR(PhaseIIComplete))*'Assumptions-ResCondo'!$E17</f>
        <v>8</v>
      </c>
    </row>
    <row r="56" spans="2:14" x14ac:dyDescent="0.65">
      <c r="B56" s="3" t="s">
        <v>12</v>
      </c>
      <c r="C56" s="8"/>
      <c r="D56" s="148">
        <f>(D$8&gt;=YEAR(PhaseIIComplete))*'Assumptions-ResCondo'!$E18</f>
        <v>0</v>
      </c>
      <c r="E56" s="148">
        <f>(E$8&gt;=YEAR(PhaseIIComplete))*'Assumptions-ResCondo'!$E18</f>
        <v>0</v>
      </c>
      <c r="F56" s="148">
        <f>(F$8&gt;=YEAR(PhaseIIComplete))*'Assumptions-ResCondo'!$E18</f>
        <v>0</v>
      </c>
      <c r="G56" s="148">
        <f>(G$8&gt;=YEAR(PhaseIIComplete))*'Assumptions-ResCondo'!$E18</f>
        <v>12</v>
      </c>
      <c r="H56" s="148">
        <f>(H$8&gt;=YEAR(PhaseIIComplete))*'Assumptions-ResCondo'!$E18</f>
        <v>12</v>
      </c>
      <c r="I56" s="148">
        <f>(I$8&gt;=YEAR(PhaseIIComplete))*'Assumptions-ResCondo'!$E18</f>
        <v>12</v>
      </c>
      <c r="J56" s="148">
        <f>(J$8&gt;=YEAR(PhaseIIComplete))*'Assumptions-ResCondo'!$E18</f>
        <v>12</v>
      </c>
      <c r="K56" s="148">
        <f>(K$8&gt;=YEAR(PhaseIIComplete))*'Assumptions-ResCondo'!$E18</f>
        <v>12</v>
      </c>
      <c r="L56" s="148">
        <f>(L$8&gt;=YEAR(PhaseIIComplete))*'Assumptions-ResCondo'!$E18</f>
        <v>12</v>
      </c>
      <c r="M56" s="148">
        <f>(M$8&gt;=YEAR(PhaseIIComplete))*'Assumptions-ResCondo'!$E18</f>
        <v>12</v>
      </c>
      <c r="N56" s="149">
        <f>(N$8&gt;=YEAR(PhaseIIComplete))*'Assumptions-ResCondo'!$E18</f>
        <v>12</v>
      </c>
    </row>
    <row r="57" spans="2:14" x14ac:dyDescent="0.65">
      <c r="B57" s="3" t="s">
        <v>11</v>
      </c>
      <c r="C57" s="8"/>
      <c r="D57" s="148">
        <f>(D$8&gt;=YEAR(PhaseIIComplete))*'Assumptions-ResCondo'!$E19</f>
        <v>0</v>
      </c>
      <c r="E57" s="148">
        <f>(E$8&gt;=YEAR(PhaseIIComplete))*'Assumptions-ResCondo'!$E19</f>
        <v>0</v>
      </c>
      <c r="F57" s="148">
        <f>(F$8&gt;=YEAR(PhaseIIComplete))*'Assumptions-ResCondo'!$E19</f>
        <v>0</v>
      </c>
      <c r="G57" s="148">
        <f>(G$8&gt;=YEAR(PhaseIIComplete))*'Assumptions-ResCondo'!$E19</f>
        <v>16</v>
      </c>
      <c r="H57" s="148">
        <f>(H$8&gt;=YEAR(PhaseIIComplete))*'Assumptions-ResCondo'!$E19</f>
        <v>16</v>
      </c>
      <c r="I57" s="148">
        <f>(I$8&gt;=YEAR(PhaseIIComplete))*'Assumptions-ResCondo'!$E19</f>
        <v>16</v>
      </c>
      <c r="J57" s="148">
        <f>(J$8&gt;=YEAR(PhaseIIComplete))*'Assumptions-ResCondo'!$E19</f>
        <v>16</v>
      </c>
      <c r="K57" s="148">
        <f>(K$8&gt;=YEAR(PhaseIIComplete))*'Assumptions-ResCondo'!$E19</f>
        <v>16</v>
      </c>
      <c r="L57" s="148">
        <f>(L$8&gt;=YEAR(PhaseIIComplete))*'Assumptions-ResCondo'!$E19</f>
        <v>16</v>
      </c>
      <c r="M57" s="148">
        <f>(M$8&gt;=YEAR(PhaseIIComplete))*'Assumptions-ResCondo'!$E19</f>
        <v>16</v>
      </c>
      <c r="N57" s="149">
        <f>(N$8&gt;=YEAR(PhaseIIComplete))*'Assumptions-ResCondo'!$E19</f>
        <v>16</v>
      </c>
    </row>
    <row r="58" spans="2:14" x14ac:dyDescent="0.65">
      <c r="B58" s="3" t="s">
        <v>10</v>
      </c>
      <c r="C58" s="8"/>
      <c r="D58" s="148">
        <f>(D$8&gt;=YEAR(PhaseIIComplete))*'Assumptions-ResCondo'!$E20</f>
        <v>0</v>
      </c>
      <c r="E58" s="148">
        <f>(E$8&gt;=YEAR(PhaseIIComplete))*'Assumptions-ResCondo'!$E20</f>
        <v>0</v>
      </c>
      <c r="F58" s="148">
        <f>(F$8&gt;=YEAR(PhaseIIComplete))*'Assumptions-ResCondo'!$E20</f>
        <v>0</v>
      </c>
      <c r="G58" s="148">
        <f>(G$8&gt;=YEAR(PhaseIIComplete))*'Assumptions-ResCondo'!$E20</f>
        <v>5</v>
      </c>
      <c r="H58" s="148">
        <f>(H$8&gt;=YEAR(PhaseIIComplete))*'Assumptions-ResCondo'!$E20</f>
        <v>5</v>
      </c>
      <c r="I58" s="148">
        <f>(I$8&gt;=YEAR(PhaseIIComplete))*'Assumptions-ResCondo'!$E20</f>
        <v>5</v>
      </c>
      <c r="J58" s="148">
        <f>(J$8&gt;=YEAR(PhaseIIComplete))*'Assumptions-ResCondo'!$E20</f>
        <v>5</v>
      </c>
      <c r="K58" s="148">
        <f>(K$8&gt;=YEAR(PhaseIIComplete))*'Assumptions-ResCondo'!$E20</f>
        <v>5</v>
      </c>
      <c r="L58" s="148">
        <f>(L$8&gt;=YEAR(PhaseIIComplete))*'Assumptions-ResCondo'!$E20</f>
        <v>5</v>
      </c>
      <c r="M58" s="148">
        <f>(M$8&gt;=YEAR(PhaseIIComplete))*'Assumptions-ResCondo'!$E20</f>
        <v>5</v>
      </c>
      <c r="N58" s="149">
        <f>(N$8&gt;=YEAR(PhaseIIComplete))*'Assumptions-ResCondo'!$E20</f>
        <v>5</v>
      </c>
    </row>
    <row r="59" spans="2:14" x14ac:dyDescent="0.65">
      <c r="B59" s="3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9"/>
    </row>
    <row r="60" spans="2:14" x14ac:dyDescent="0.65">
      <c r="B60" s="36" t="s">
        <v>130</v>
      </c>
      <c r="C60" s="8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51"/>
    </row>
    <row r="61" spans="2:14" x14ac:dyDescent="0.65">
      <c r="B61" s="3" t="s">
        <v>210</v>
      </c>
      <c r="C61" s="8"/>
      <c r="D61" s="146">
        <f>-(AND(D$8&gt;=YEAR(PhaseIIConBegin),D$8&lt;=YEAR(PhaseIIConEnd)))*SUM($D46:$N46)*('Assumptions-Overall'!$J$10)*(1+'Assumptions-Overall'!$C$41)^('CashFlow-ResCondo'!D$7-1)/(YEAR(PhaseIIConEnd)-YEAR(PhaseIIConBegin)+1)</f>
        <v>0</v>
      </c>
      <c r="E61" s="146">
        <f>-(AND(E$8&gt;=YEAR(PhaseIIConBegin),E$8&lt;=YEAR(PhaseIIConEnd)))*SUM($D46:$N46)*('Assumptions-Overall'!$J$10)*(1+'Assumptions-Overall'!$C$41)^('CashFlow-ResCondo'!E$7-1)/(YEAR(PhaseIIConEnd)-YEAR(PhaseIIConBegin)+1)</f>
        <v>0</v>
      </c>
      <c r="F61" s="146">
        <f>-(AND(F$8&gt;=YEAR(PhaseIIConBegin),F$8&lt;=YEAR(PhaseIIConEnd)))*SUM($D46:$N46)*('Assumptions-Overall'!$J$10)*(1+'Assumptions-Overall'!$C$41)^('CashFlow-ResCondo'!F$7-1)/(YEAR(PhaseIIConEnd)-YEAR(PhaseIIConBegin)+1)</f>
        <v>-22174780.960067887</v>
      </c>
      <c r="G61" s="146">
        <f>-(AND(G$8&gt;=YEAR(PhaseIIConBegin),G$8&lt;=YEAR(PhaseIIConEnd)))*SUM($D46:$N46)*('Assumptions-Overall'!$J$10)*(1+'Assumptions-Overall'!$C$41)^('CashFlow-ResCondo'!G$7-1)/(YEAR(PhaseIIConEnd)-YEAR(PhaseIIConBegin)+1)</f>
        <v>-22840024.388869926</v>
      </c>
      <c r="H61" s="146">
        <f>-(AND(H$8&gt;=YEAR(PhaseIIConBegin),H$8&lt;=YEAR(PhaseIIConEnd)))*SUM($D46:$N46)*('Assumptions-Overall'!$J$10)*(1+'Assumptions-Overall'!$C$41)^('CashFlow-ResCondo'!H$7-1)/(YEAR(PhaseIIConEnd)-YEAR(PhaseIIConBegin)+1)</f>
        <v>0</v>
      </c>
      <c r="I61" s="146">
        <f>-(AND(I$8&gt;=YEAR(PhaseIIConBegin),I$8&lt;=YEAR(PhaseIIConEnd)))*SUM($D46:$N46)*('Assumptions-Overall'!$J$10)*(1+'Assumptions-Overall'!$C$41)^('CashFlow-ResCondo'!I$7-1)/(YEAR(PhaseIIConEnd)-YEAR(PhaseIIConBegin)+1)</f>
        <v>0</v>
      </c>
      <c r="J61" s="146">
        <f>-(AND(J$8&gt;=YEAR(PhaseIIConBegin),J$8&lt;=YEAR(PhaseIIConEnd)))*SUM($D46:$N46)*('Assumptions-Overall'!$J$10)*(1+'Assumptions-Overall'!$C$41)^('CashFlow-ResCondo'!J$7-1)/(YEAR(PhaseIIConEnd)-YEAR(PhaseIIConBegin)+1)</f>
        <v>0</v>
      </c>
      <c r="K61" s="146">
        <f>-(AND(K$8&gt;=YEAR(PhaseIIConBegin),K$8&lt;=YEAR(PhaseIIConEnd)))*SUM($D46:$N46)*('Assumptions-Overall'!$J$10)*(1+'Assumptions-Overall'!$C$41)^('CashFlow-ResCondo'!K$7-1)/(YEAR(PhaseIIConEnd)-YEAR(PhaseIIConBegin)+1)</f>
        <v>0</v>
      </c>
      <c r="L61" s="146">
        <f>-(AND(L$8&gt;=YEAR(PhaseIIConBegin),L$8&lt;=YEAR(PhaseIIConEnd)))*SUM($D46:$N46)*('Assumptions-Overall'!$J$10)*(1+'Assumptions-Overall'!$C$41)^('CashFlow-ResCondo'!L$7-1)/(YEAR(PhaseIIConEnd)-YEAR(PhaseIIConBegin)+1)</f>
        <v>0</v>
      </c>
      <c r="M61" s="146">
        <f>-(AND(M$8&gt;=YEAR(PhaseIIConBegin),M$8&lt;=YEAR(PhaseIIConEnd)))*SUM($D46:$N46)*('Assumptions-Overall'!$J$10)*(1+'Assumptions-Overall'!$C$41)^('CashFlow-ResCondo'!M$7-1)/(YEAR(PhaseIIConEnd)-YEAR(PhaseIIConBegin)+1)</f>
        <v>0</v>
      </c>
      <c r="N61" s="151"/>
    </row>
    <row r="62" spans="2:14" x14ac:dyDescent="0.65">
      <c r="B62" s="3" t="s">
        <v>211</v>
      </c>
      <c r="C62" s="8"/>
      <c r="D62" s="146">
        <f>(AND(D$8&gt;=YEAR(PhaseIIPreconBegin),D$8&lt;=YEAR(PhaseIIConEnd)))*SUM($D61:$N61)*'Assumptions-Overall'!$H$43/(YEAR(PhaseIIConEnd)-YEAR(PhaseIIPreconBegin)+1)</f>
        <v>0</v>
      </c>
      <c r="E62" s="146">
        <f>(AND(E$8&gt;=YEAR(PhaseIIPreconBegin),E$8&lt;=YEAR(PhaseIIConEnd)))*SUM($D61:$N61)*'Assumptions-Overall'!$H$43/(YEAR(PhaseIIConEnd)-YEAR(PhaseIIPreconBegin)+1)</f>
        <v>-900296.10697875626</v>
      </c>
      <c r="F62" s="146">
        <f>(AND(F$8&gt;=YEAR(PhaseIIPreconBegin),F$8&lt;=YEAR(PhaseIIConEnd)))*SUM($D61:$N61)*'Assumptions-Overall'!$H$43/(YEAR(PhaseIIConEnd)-YEAR(PhaseIIPreconBegin)+1)</f>
        <v>-900296.10697875626</v>
      </c>
      <c r="G62" s="146">
        <f>(AND(G$8&gt;=YEAR(PhaseIIPreconBegin),G$8&lt;=YEAR(PhaseIIConEnd)))*SUM($D61:$N61)*'Assumptions-Overall'!$H$43/(YEAR(PhaseIIConEnd)-YEAR(PhaseIIPreconBegin)+1)</f>
        <v>-900296.10697875626</v>
      </c>
      <c r="H62" s="146">
        <f>(AND(H$8&gt;=YEAR(PhaseIIPreconBegin),H$8&lt;=YEAR(PhaseIIConEnd)))*SUM($D61:$N61)*'Assumptions-Overall'!$H$43/(YEAR(PhaseIIConEnd)-YEAR(PhaseIIPreconBegin)+1)</f>
        <v>0</v>
      </c>
      <c r="I62" s="146">
        <f>(AND(I$8&gt;=YEAR(PhaseIIPreconBegin),I$8&lt;=YEAR(PhaseIIConEnd)))*SUM($D61:$N61)*'Assumptions-Overall'!$H$43/(YEAR(PhaseIIConEnd)-YEAR(PhaseIIPreconBegin)+1)</f>
        <v>0</v>
      </c>
      <c r="J62" s="146">
        <f>(AND(J$8&gt;=YEAR(PhaseIIPreconBegin),J$8&lt;=YEAR(PhaseIIConEnd)))*SUM($D61:$N61)*'Assumptions-Overall'!$H$43/(YEAR(PhaseIIConEnd)-YEAR(PhaseIIPreconBegin)+1)</f>
        <v>0</v>
      </c>
      <c r="K62" s="146">
        <f>(AND(K$8&gt;=YEAR(PhaseIIPreconBegin),K$8&lt;=YEAR(PhaseIIConEnd)))*SUM($D61:$N61)*'Assumptions-Overall'!$H$43/(YEAR(PhaseIIConEnd)-YEAR(PhaseIIPreconBegin)+1)</f>
        <v>0</v>
      </c>
      <c r="L62" s="146">
        <f>(AND(L$8&gt;=YEAR(PhaseIIPreconBegin),L$8&lt;=YEAR(PhaseIIConEnd)))*SUM($D61:$N61)*'Assumptions-Overall'!$H$43/(YEAR(PhaseIIConEnd)-YEAR(PhaseIIPreconBegin)+1)</f>
        <v>0</v>
      </c>
      <c r="M62" s="146">
        <f>(AND(M$8&gt;=YEAR(PhaseIIPreconBegin),M$8&lt;=YEAR(PhaseIIConEnd)))*SUM($D61:$N61)*'Assumptions-Overall'!$H$43/(YEAR(PhaseIIConEnd)-YEAR(PhaseIIPreconBegin)+1)</f>
        <v>0</v>
      </c>
      <c r="N62" s="151"/>
    </row>
    <row r="63" spans="2:14" x14ac:dyDescent="0.65">
      <c r="B63" s="3" t="s">
        <v>115</v>
      </c>
      <c r="C63" s="8"/>
      <c r="D63" s="146">
        <f>(AND(D$8&gt;=YEAR(PhaseIIPreconBegin),D$8&lt;=YEAR(PhaseIIConEnd)))*SUM($D61:$N61)*'Assumptions-Overall'!$H$44/(YEAR(PhaseIIConEnd)-YEAR(PhaseIIPreconBegin)+1)</f>
        <v>0</v>
      </c>
      <c r="E63" s="146">
        <f>(AND(E$8&gt;=YEAR(PhaseIIPreconBegin),E$8&lt;=YEAR(PhaseIIConEnd)))*SUM($D61:$N61)*'Assumptions-Overall'!$H$44/(YEAR(PhaseIIConEnd)-YEAR(PhaseIIPreconBegin)+1)</f>
        <v>-1500493.5116312604</v>
      </c>
      <c r="F63" s="146">
        <f>(AND(F$8&gt;=YEAR(PhaseIIPreconBegin),F$8&lt;=YEAR(PhaseIIConEnd)))*SUM($D61:$N61)*'Assumptions-Overall'!$H$44/(YEAR(PhaseIIConEnd)-YEAR(PhaseIIPreconBegin)+1)</f>
        <v>-1500493.5116312604</v>
      </c>
      <c r="G63" s="146">
        <f>(AND(G$8&gt;=YEAR(PhaseIIPreconBegin),G$8&lt;=YEAR(PhaseIIConEnd)))*SUM($D61:$N61)*'Assumptions-Overall'!$H$44/(YEAR(PhaseIIConEnd)-YEAR(PhaseIIPreconBegin)+1)</f>
        <v>-1500493.5116312604</v>
      </c>
      <c r="H63" s="146">
        <f>(AND(H$8&gt;=YEAR(PhaseIIPreconBegin),H$8&lt;=YEAR(PhaseIIConEnd)))*SUM($D61:$N61)*'Assumptions-Overall'!$H$44/(YEAR(PhaseIIConEnd)-YEAR(PhaseIIPreconBegin)+1)</f>
        <v>0</v>
      </c>
      <c r="I63" s="146">
        <f>(AND(I$8&gt;=YEAR(PhaseIIPreconBegin),I$8&lt;=YEAR(PhaseIIConEnd)))*SUM($D61:$N61)*'Assumptions-Overall'!$H$44/(YEAR(PhaseIIConEnd)-YEAR(PhaseIIPreconBegin)+1)</f>
        <v>0</v>
      </c>
      <c r="J63" s="146">
        <f>(AND(J$8&gt;=YEAR(PhaseIIPreconBegin),J$8&lt;=YEAR(PhaseIIConEnd)))*SUM($D61:$N61)*'Assumptions-Overall'!$H$44/(YEAR(PhaseIIConEnd)-YEAR(PhaseIIPreconBegin)+1)</f>
        <v>0</v>
      </c>
      <c r="K63" s="146">
        <f>(AND(K$8&gt;=YEAR(PhaseIIPreconBegin),K$8&lt;=YEAR(PhaseIIConEnd)))*SUM($D61:$N61)*'Assumptions-Overall'!$H$44/(YEAR(PhaseIIConEnd)-YEAR(PhaseIIPreconBegin)+1)</f>
        <v>0</v>
      </c>
      <c r="L63" s="146">
        <f>(AND(L$8&gt;=YEAR(PhaseIIPreconBegin),L$8&lt;=YEAR(PhaseIIConEnd)))*SUM($D61:$N61)*'Assumptions-Overall'!$H$44/(YEAR(PhaseIIConEnd)-YEAR(PhaseIIPreconBegin)+1)</f>
        <v>0</v>
      </c>
      <c r="M63" s="146">
        <f>(AND(M$8&gt;=YEAR(PhaseIIPreconBegin),M$8&lt;=YEAR(PhaseIIConEnd)))*SUM($D61:$N61)*'Assumptions-Overall'!$H$44/(YEAR(PhaseIIConEnd)-YEAR(PhaseIIPreconBegin)+1)</f>
        <v>0</v>
      </c>
      <c r="N63" s="151"/>
    </row>
    <row r="64" spans="2:14" x14ac:dyDescent="0.65">
      <c r="B64" s="3" t="s">
        <v>116</v>
      </c>
      <c r="C64" s="8"/>
      <c r="D64" s="144">
        <f>SUM(D61:D63)*'Assumptions-Overall'!$H$45</f>
        <v>0</v>
      </c>
      <c r="E64" s="144">
        <f>SUM(E61:E63)*'Assumptions-Overall'!$H$45</f>
        <v>-120039.48093050084</v>
      </c>
      <c r="F64" s="144">
        <f>SUM(F61:F63)*'Assumptions-Overall'!$H$45</f>
        <v>-1228778.5289338953</v>
      </c>
      <c r="G64" s="144">
        <f>SUM(G61:G63)*'Assumptions-Overall'!$H$45</f>
        <v>-1262040.7003739972</v>
      </c>
      <c r="H64" s="144">
        <f>SUM(H61:H63)*'Assumptions-Overall'!$H$45</f>
        <v>0</v>
      </c>
      <c r="I64" s="144">
        <f>SUM(I61:I63)*'Assumptions-Overall'!$H$45</f>
        <v>0</v>
      </c>
      <c r="J64" s="144">
        <f>SUM(J61:J63)*'Assumptions-Overall'!$H$45</f>
        <v>0</v>
      </c>
      <c r="K64" s="144">
        <f>SUM(K61:K63)*'Assumptions-Overall'!$H$45</f>
        <v>0</v>
      </c>
      <c r="L64" s="144">
        <f>SUM(L61:L63)*'Assumptions-Overall'!$H$45</f>
        <v>0</v>
      </c>
      <c r="M64" s="144">
        <f>SUM(M61:M63)*'Assumptions-Overall'!$H$45</f>
        <v>0</v>
      </c>
      <c r="N64" s="151"/>
    </row>
    <row r="65" spans="2:14" x14ac:dyDescent="0.65">
      <c r="B65" s="3" t="s">
        <v>212</v>
      </c>
      <c r="C65" s="8"/>
      <c r="D65" s="146">
        <f>SUM(D61:D64)</f>
        <v>0</v>
      </c>
      <c r="E65" s="146">
        <f t="shared" ref="E65" si="15">SUM(E61:E64)</f>
        <v>-2520829.0995405172</v>
      </c>
      <c r="F65" s="146">
        <f t="shared" ref="F65" si="16">SUM(F61:F64)</f>
        <v>-25804349.107611798</v>
      </c>
      <c r="G65" s="146">
        <f t="shared" ref="G65" si="17">SUM(G61:G64)</f>
        <v>-26502854.707853939</v>
      </c>
      <c r="H65" s="146">
        <f t="shared" ref="H65" si="18">SUM(H61:H64)</f>
        <v>0</v>
      </c>
      <c r="I65" s="146">
        <f t="shared" ref="I65" si="19">SUM(I61:I64)</f>
        <v>0</v>
      </c>
      <c r="J65" s="146">
        <f t="shared" ref="J65" si="20">SUM(J61:J64)</f>
        <v>0</v>
      </c>
      <c r="K65" s="146">
        <f t="shared" ref="K65" si="21">SUM(K61:K64)</f>
        <v>0</v>
      </c>
      <c r="L65" s="146">
        <f t="shared" ref="L65" si="22">SUM(L61:L64)</f>
        <v>0</v>
      </c>
      <c r="M65" s="146">
        <f t="shared" ref="M65" si="23">SUM(M61:M64)</f>
        <v>0</v>
      </c>
      <c r="N65" s="151"/>
    </row>
    <row r="66" spans="2:14" x14ac:dyDescent="0.65">
      <c r="B66" s="3"/>
      <c r="C66" s="8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51"/>
    </row>
    <row r="67" spans="2:14" x14ac:dyDescent="0.65">
      <c r="B67" s="36" t="s">
        <v>167</v>
      </c>
      <c r="C67" s="8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51"/>
    </row>
    <row r="68" spans="2:14" x14ac:dyDescent="0.65">
      <c r="B68" s="3" t="s">
        <v>221</v>
      </c>
      <c r="C68" s="8"/>
      <c r="D68" s="128">
        <f>(AND(D$8&gt;=YEAR(PhaseIIPreconBegin),D$8&lt;YEAR(PhaseIIConBegin)))*'Assumptions-ResCondo'!$I$15/(YEAR(PhaseIIConBegin)-YEAR(PhaseIIPreconBegin))+(AND(D$8&gt;=YEAR(PhaseIIConBegin),D$8&lt;=YEAR(PhaseIIConEnd)))*'Assumptions-ResCondo'!$I$16/(YEAR(PhaseIIConEnd)-YEAR(PhaseIIConBegin)+1)</f>
        <v>0</v>
      </c>
      <c r="E68" s="128">
        <f>(AND(E$8&gt;=YEAR(PhaseIIPreconBegin),E$8&lt;YEAR(PhaseIIConBegin)))*'Assumptions-ResCondo'!$I$15/(YEAR(PhaseIIConBegin)-YEAR(PhaseIIPreconBegin))+(AND(E$8&gt;=YEAR(PhaseIIConBegin),E$8&lt;=YEAR(PhaseIIConEnd)))*'Assumptions-ResCondo'!$I$16/(YEAR(PhaseIIConEnd)-YEAR(PhaseIIConBegin)+1)</f>
        <v>0.05</v>
      </c>
      <c r="F68" s="128">
        <f>(AND(F$8&gt;=YEAR(PhaseIIPreconBegin),F$8&lt;YEAR(PhaseIIConBegin)))*'Assumptions-ResCondo'!$I$15/(YEAR(PhaseIIConBegin)-YEAR(PhaseIIPreconBegin))+(AND(F$8&gt;=YEAR(PhaseIIConBegin),F$8&lt;=YEAR(PhaseIIConEnd)))*'Assumptions-ResCondo'!$I$16/(YEAR(PhaseIIConEnd)-YEAR(PhaseIIConBegin)+1)</f>
        <v>7.4999999999999997E-2</v>
      </c>
      <c r="G68" s="128">
        <f>(AND(G$8&gt;=YEAR(PhaseIIPreconBegin),G$8&lt;YEAR(PhaseIIConBegin)))*'Assumptions-ResCondo'!$I$15/(YEAR(PhaseIIConBegin)-YEAR(PhaseIIPreconBegin))+(AND(G$8&gt;=YEAR(PhaseIIConBegin),G$8&lt;=YEAR(PhaseIIConEnd)))*'Assumptions-ResCondo'!$I$16/(YEAR(PhaseIIConEnd)-YEAR(PhaseIIConBegin)+1)</f>
        <v>7.4999999999999997E-2</v>
      </c>
      <c r="H68" s="128">
        <v>0.35</v>
      </c>
      <c r="I68" s="128">
        <v>0.45</v>
      </c>
      <c r="J68" s="128">
        <f>(AND(J$8&gt;=YEAR(PhaseIIPreconBegin),J$8&lt;YEAR(PhaseIIConBegin)))*'Assumptions-ResCondo'!$I$15/(YEAR(PhaseIIConBegin)-YEAR(PhaseIIPreconBegin))+(AND(J$8&gt;=YEAR(PhaseIIConBegin),J$8&lt;=YEAR(PhaseIIConEnd)))*'Assumptions-ResCondo'!$I$16/(YEAR(PhaseIIConEnd)-YEAR(PhaseIIConBegin)+1)</f>
        <v>0</v>
      </c>
      <c r="K68" s="128">
        <f>(AND(K$8&gt;=YEAR(PhaseIIPreconBegin),K$8&lt;YEAR(PhaseIIConBegin)))*'Assumptions-ResCondo'!$I$15/(YEAR(PhaseIIConBegin)-YEAR(PhaseIIPreconBegin))+(AND(K$8&gt;=YEAR(PhaseIIConBegin),K$8&lt;=YEAR(PhaseIIConEnd)))*'Assumptions-ResCondo'!$I$16/(YEAR(PhaseIIConEnd)-YEAR(PhaseIIConBegin)+1)</f>
        <v>0</v>
      </c>
      <c r="L68" s="128">
        <f>(AND(L$8&gt;=YEAR(PhaseIIPreconBegin),L$8&lt;YEAR(PhaseIIConBegin)))*'Assumptions-ResCondo'!$I$15/(YEAR(PhaseIIConBegin)-YEAR(PhaseIIPreconBegin))+(AND(L$8&gt;=YEAR(PhaseIIConBegin),L$8&lt;=YEAR(PhaseIIConEnd)))*'Assumptions-ResCondo'!$I$16/(YEAR(PhaseIIConEnd)-YEAR(PhaseIIConBegin)+1)</f>
        <v>0</v>
      </c>
      <c r="M68" s="128">
        <f>(AND(M$8&gt;=YEAR(PhaseIIPreconBegin),M$8&lt;YEAR(PhaseIIConBegin)))*'Assumptions-ResCondo'!$I$15/(YEAR(PhaseIIConBegin)-YEAR(PhaseIIPreconBegin))+(AND(M$8&gt;=YEAR(PhaseIIConBegin),M$8&lt;=YEAR(PhaseIIConEnd)))*'Assumptions-ResCondo'!$I$16/(YEAR(PhaseIIConEnd)-YEAR(PhaseIIConBegin)+1)</f>
        <v>0</v>
      </c>
      <c r="N68" s="151"/>
    </row>
    <row r="69" spans="2:14" x14ac:dyDescent="0.65">
      <c r="B69" s="3" t="s">
        <v>222</v>
      </c>
      <c r="C69" s="8"/>
      <c r="D69" s="146">
        <f>D68*'Assumptions-ResCondo'!$I$18*(SUMPRODUCT('Assumptions-ResCondo'!$L$8:$L$11,'CashFlow-ResCondo'!$N49:$N52)+SUMPRODUCT('CashFlow-ResCondo'!$N55:$N58,'Assumptions-ResCondo'!$Q$8:$Q$11))*((1+'Assumptions-Overall'!$C$34)^('CashFlow-ResCondo'!D$7-1))</f>
        <v>0</v>
      </c>
      <c r="E69" s="146">
        <f>E68*'Assumptions-ResCondo'!$I$18*(SUMPRODUCT('Assumptions-ResCondo'!$L$8:$L$11,'CashFlow-ResCondo'!$N49:$N52)+SUMPRODUCT('CashFlow-ResCondo'!$N55:$N58,'Assumptions-ResCondo'!$Q$8:$Q$11))*((1+'Assumptions-Overall'!$C$34)^('CashFlow-ResCondo'!E$7-1))</f>
        <v>765574.92243576818</v>
      </c>
      <c r="F69" s="146">
        <f>F68*'Assumptions-ResCondo'!$I$18*(SUMPRODUCT('Assumptions-ResCondo'!$L$8:$L$11,'CashFlow-ResCondo'!$N49:$N52)+SUMPRODUCT('CashFlow-ResCondo'!$N55:$N58,'Assumptions-ResCondo'!$Q$8:$Q$11))*((1+'Assumptions-Overall'!$C$34)^('CashFlow-ResCondo'!F$7-1))</f>
        <v>1182813.2551632617</v>
      </c>
      <c r="G69" s="146">
        <f>G68*'Assumptions-ResCondo'!$I$18*(SUMPRODUCT('Assumptions-ResCondo'!$L$8:$L$11,'CashFlow-ResCondo'!$N49:$N52)+SUMPRODUCT('CashFlow-ResCondo'!$N55:$N58,'Assumptions-ResCondo'!$Q$8:$Q$11))*((1+'Assumptions-Overall'!$C$34)^('CashFlow-ResCondo'!G$7-1))</f>
        <v>1218297.6528181594</v>
      </c>
      <c r="H69" s="146">
        <f>H68*'Assumptions-ResCondo'!$I$18*(SUMPRODUCT('Assumptions-ResCondo'!$L$8:$L$11,'CashFlow-ResCondo'!$N49:$N52)+SUMPRODUCT('CashFlow-ResCondo'!$N55:$N58,'Assumptions-ResCondo'!$Q$8:$Q$11))*((1+'Assumptions-Overall'!$C$34)^('CashFlow-ResCondo'!H$7-1))</f>
        <v>5855950.7178792851</v>
      </c>
      <c r="I69" s="146">
        <f>I68*'Assumptions-ResCondo'!$I$18*(SUMPRODUCT('Assumptions-ResCondo'!$L$8:$L$11,'CashFlow-ResCondo'!$N49:$N52)+SUMPRODUCT('CashFlow-ResCondo'!$N55:$N58,'Assumptions-ResCondo'!$Q$8:$Q$11))*((1+'Assumptions-Overall'!$C$34)^('CashFlow-ResCondo'!I$7-1))</f>
        <v>7754951.8792487131</v>
      </c>
      <c r="J69" s="146">
        <f>J68*'Assumptions-ResCondo'!$I$18*(SUMPRODUCT('Assumptions-ResCondo'!$L$8:$L$11,'CashFlow-ResCondo'!$N49:$N52)+SUMPRODUCT('CashFlow-ResCondo'!$N55:$N58,'Assumptions-ResCondo'!$Q$8:$Q$11))*((1+'Assumptions-Overall'!$C$34)^('CashFlow-ResCondo'!J$7-1))</f>
        <v>0</v>
      </c>
      <c r="K69" s="146">
        <f>K68*'Assumptions-ResCondo'!$I$18*(SUMPRODUCT('Assumptions-ResCondo'!$L$8:$L$11,'CashFlow-ResCondo'!$N49:$N52)+SUMPRODUCT('CashFlow-ResCondo'!$N55:$N58,'Assumptions-ResCondo'!$Q$8:$Q$11))*((1+'Assumptions-Overall'!$C$34)^('CashFlow-ResCondo'!K$7-1))</f>
        <v>0</v>
      </c>
      <c r="L69" s="146">
        <f>L68*'Assumptions-ResCondo'!$I$18*(SUMPRODUCT('Assumptions-ResCondo'!$L$8:$L$11,'CashFlow-ResCondo'!$N49:$N52)+SUMPRODUCT('CashFlow-ResCondo'!$N55:$N58,'Assumptions-ResCondo'!$Q$8:$Q$11))*((1+'Assumptions-Overall'!$C$34)^('CashFlow-ResCondo'!L$7-1))</f>
        <v>0</v>
      </c>
      <c r="M69" s="146">
        <f>M68*'Assumptions-ResCondo'!$I$18*(SUMPRODUCT('Assumptions-ResCondo'!$L$8:$L$11,'CashFlow-ResCondo'!$N49:$N52)+SUMPRODUCT('CashFlow-ResCondo'!$N55:$N58,'Assumptions-ResCondo'!$Q$8:$Q$11))*((1+'Assumptions-Overall'!$C$34)^('CashFlow-ResCondo'!M$7-1))</f>
        <v>0</v>
      </c>
      <c r="N69" s="151"/>
    </row>
    <row r="70" spans="2:14" x14ac:dyDescent="0.65">
      <c r="B70" s="3" t="s">
        <v>225</v>
      </c>
      <c r="C70" s="8"/>
      <c r="D70" s="146">
        <f>(D$8=YEAR(PhaseIIComplete))*SUM($D69:$M69)/'Assumptions-ResCondo'!$I$18*(1-'Assumptions-ResCondo'!$I$18)</f>
        <v>0</v>
      </c>
      <c r="E70" s="146">
        <f>(E$8=YEAR(PhaseIIComplete))*SUM($D69:$M69)/'Assumptions-ResCondo'!$I$18*(1-'Assumptions-ResCondo'!$I$18)</f>
        <v>0</v>
      </c>
      <c r="F70" s="146">
        <f>(F$8=YEAR(PhaseIIComplete))*SUM($D69:$M69)/'Assumptions-ResCondo'!$I$18*(1-'Assumptions-ResCondo'!$I$18)</f>
        <v>0</v>
      </c>
      <c r="G70" s="146">
        <f>(G$8=YEAR(PhaseIIComplete))*SUM($D69:$M69)/'Assumptions-ResCondo'!$I$18*(1-'Assumptions-ResCondo'!$I$18)</f>
        <v>67110353.710180745</v>
      </c>
      <c r="H70" s="146">
        <f>(H$8=YEAR(PhaseIIComplete))*SUM($D69:$M69)/'Assumptions-ResCondo'!$I$18*(1-'Assumptions-ResCondo'!$I$18)</f>
        <v>0</v>
      </c>
      <c r="I70" s="146">
        <f>(I$8=YEAR(PhaseIIComplete))*SUM($D69:$M69)/'Assumptions-ResCondo'!$I$18*(1-'Assumptions-ResCondo'!$I$18)</f>
        <v>0</v>
      </c>
      <c r="J70" s="146">
        <f>(J$8=YEAR(PhaseIIComplete))*SUM($D69:$M69)/'Assumptions-ResCondo'!$I$18*(1-'Assumptions-ResCondo'!$I$18)</f>
        <v>0</v>
      </c>
      <c r="K70" s="146">
        <f>(K$8=YEAR(PhaseIIComplete))*SUM($D69:$M69)/'Assumptions-ResCondo'!$I$18*(1-'Assumptions-ResCondo'!$I$18)</f>
        <v>0</v>
      </c>
      <c r="L70" s="146">
        <f>(L$8=YEAR(PhaseIIComplete))*SUM($D69:$M69)/'Assumptions-ResCondo'!$I$18*(1-'Assumptions-ResCondo'!$I$18)</f>
        <v>0</v>
      </c>
      <c r="M70" s="146">
        <f>(M$8=YEAR(PhaseIIComplete))*SUM($D69:$M69)/'Assumptions-ResCondo'!$I$18*(1-'Assumptions-ResCondo'!$I$18)</f>
        <v>0</v>
      </c>
      <c r="N70" s="151"/>
    </row>
    <row r="71" spans="2:14" x14ac:dyDescent="0.65">
      <c r="B71" s="3" t="s">
        <v>216</v>
      </c>
      <c r="C71" s="8"/>
      <c r="D71" s="144">
        <f>-SUM(D69:D70)*'Assumptions-ResCondo'!$I$20</f>
        <v>0</v>
      </c>
      <c r="E71" s="144">
        <f>-SUM(E69:E70)*'Assumptions-ResCondo'!$I$20</f>
        <v>-22967.247673073045</v>
      </c>
      <c r="F71" s="144">
        <f>-SUM(F69:F70)*'Assumptions-ResCondo'!$I$20</f>
        <v>-35484.397654897846</v>
      </c>
      <c r="G71" s="144">
        <f>-SUM(G69:G70)*'Assumptions-ResCondo'!$I$20</f>
        <v>-2049859.540889967</v>
      </c>
      <c r="H71" s="144">
        <f>-SUM(H69:H70)*'Assumptions-ResCondo'!$I$20</f>
        <v>-175678.52153637854</v>
      </c>
      <c r="I71" s="144">
        <f>-SUM(I69:I70)*'Assumptions-ResCondo'!$I$20</f>
        <v>-232648.55637746138</v>
      </c>
      <c r="J71" s="144">
        <f>-SUM(J69:J70)*'Assumptions-ResCondo'!$I$20</f>
        <v>0</v>
      </c>
      <c r="K71" s="144">
        <f>-SUM(K69:K70)*'Assumptions-ResCondo'!$I$20</f>
        <v>0</v>
      </c>
      <c r="L71" s="144">
        <f>-SUM(L69:L70)*'Assumptions-ResCondo'!$I$20</f>
        <v>0</v>
      </c>
      <c r="M71" s="144">
        <f>-SUM(M69:M70)*'Assumptions-ResCondo'!$I$20</f>
        <v>0</v>
      </c>
      <c r="N71" s="151"/>
    </row>
    <row r="72" spans="2:14" x14ac:dyDescent="0.65">
      <c r="B72" s="3" t="s">
        <v>220</v>
      </c>
      <c r="C72" s="8"/>
      <c r="D72" s="146">
        <f t="shared" ref="D72:M72" si="24">SUM(D69:D71)</f>
        <v>0</v>
      </c>
      <c r="E72" s="146">
        <f t="shared" si="24"/>
        <v>742607.6747626951</v>
      </c>
      <c r="F72" s="146">
        <f t="shared" si="24"/>
        <v>1147328.8575083639</v>
      </c>
      <c r="G72" s="146">
        <f t="shared" si="24"/>
        <v>66278791.822108939</v>
      </c>
      <c r="H72" s="146">
        <f t="shared" si="24"/>
        <v>5680272.1963429069</v>
      </c>
      <c r="I72" s="146">
        <f t="shared" si="24"/>
        <v>7522303.322871252</v>
      </c>
      <c r="J72" s="146">
        <f t="shared" si="24"/>
        <v>0</v>
      </c>
      <c r="K72" s="146">
        <f t="shared" si="24"/>
        <v>0</v>
      </c>
      <c r="L72" s="146">
        <f t="shared" si="24"/>
        <v>0</v>
      </c>
      <c r="M72" s="146">
        <f t="shared" si="24"/>
        <v>0</v>
      </c>
      <c r="N72" s="151"/>
    </row>
    <row r="73" spans="2:14" x14ac:dyDescent="0.65">
      <c r="B73" s="3"/>
      <c r="C73" s="8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51"/>
    </row>
    <row r="74" spans="2:14" x14ac:dyDescent="0.65">
      <c r="B74" s="3" t="s">
        <v>214</v>
      </c>
      <c r="C74" s="8"/>
      <c r="D74" s="146">
        <f t="shared" ref="D74:M74" si="25">D65+D72</f>
        <v>0</v>
      </c>
      <c r="E74" s="146">
        <f t="shared" si="25"/>
        <v>-1778221.4247778221</v>
      </c>
      <c r="F74" s="146">
        <f t="shared" si="25"/>
        <v>-24657020.250103433</v>
      </c>
      <c r="G74" s="146">
        <f t="shared" si="25"/>
        <v>39775937.114254996</v>
      </c>
      <c r="H74" s="146">
        <f t="shared" si="25"/>
        <v>5680272.1963429069</v>
      </c>
      <c r="I74" s="146">
        <f t="shared" si="25"/>
        <v>7522303.322871252</v>
      </c>
      <c r="J74" s="146">
        <f t="shared" si="25"/>
        <v>0</v>
      </c>
      <c r="K74" s="146">
        <f t="shared" si="25"/>
        <v>0</v>
      </c>
      <c r="L74" s="146">
        <f t="shared" si="25"/>
        <v>0</v>
      </c>
      <c r="M74" s="146">
        <f t="shared" si="25"/>
        <v>0</v>
      </c>
      <c r="N74" s="151"/>
    </row>
    <row r="75" spans="2:14" x14ac:dyDescent="0.65">
      <c r="B75" s="3" t="s">
        <v>218</v>
      </c>
      <c r="C75" s="158">
        <f>IFERROR(IRR(D74:M74),"n/a")</f>
        <v>0.66269858832325945</v>
      </c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51"/>
    </row>
    <row r="76" spans="2:14" ht="13" thickBot="1" x14ac:dyDescent="0.8">
      <c r="B76" s="5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1"/>
    </row>
    <row r="77" spans="2:14" x14ac:dyDescent="0.65">
      <c r="B77" s="154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6"/>
    </row>
    <row r="78" spans="2:14" x14ac:dyDescent="0.65">
      <c r="B78" s="147" t="s">
        <v>198</v>
      </c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9"/>
    </row>
    <row r="79" spans="2:14" x14ac:dyDescent="0.65">
      <c r="B79" s="3" t="s">
        <v>194</v>
      </c>
      <c r="C79" s="8"/>
      <c r="D79" s="148">
        <f>(D$8&gt;=YEAR(PhaseIIIComplete))*SUMIFS(BuildingSummary!$D$21:$U$21,BuildingSummary!$D$34:$U$34,"Condominium",BuildingSummary!$D$18:$U$18,"III")+(D$8&gt;=YEAR(PhaseIIIComplete))*SUMIFS(BuildingSummary!$D$29:$U$29,BuildingSummary!$D$34:$U$34,"Condominium",BuildingSummary!$D$18:$U$18,"III")</f>
        <v>0</v>
      </c>
      <c r="E79" s="148">
        <f>(E$8&gt;=YEAR(PhaseIIIComplete))*SUMIFS(BuildingSummary!$D$21:$U$21,BuildingSummary!$D$34:$U$34,"Condominium",BuildingSummary!$D$18:$U$18,"III")+(E$8&gt;=YEAR(PhaseIIIComplete))*SUMIFS(BuildingSummary!$D$29:$U$29,BuildingSummary!$D$34:$U$34,"Condominium",BuildingSummary!$D$18:$U$18,"III")</f>
        <v>0</v>
      </c>
      <c r="F79" s="148">
        <f>(F$8&gt;=YEAR(PhaseIIIComplete))*SUMIFS(BuildingSummary!$D$21:$U$21,BuildingSummary!$D$34:$U$34,"Condominium",BuildingSummary!$D$18:$U$18,"III")+(F$8&gt;=YEAR(PhaseIIIComplete))*SUMIFS(BuildingSummary!$D$29:$U$29,BuildingSummary!$D$34:$U$34,"Condominium",BuildingSummary!$D$18:$U$18,"III")</f>
        <v>0</v>
      </c>
      <c r="G79" s="148">
        <f>(G$8&gt;=YEAR(PhaseIIIComplete))*SUMIFS(BuildingSummary!$D$21:$U$21,BuildingSummary!$D$34:$U$34,"Condominium",BuildingSummary!$D$18:$U$18,"III")+(G$8&gt;=YEAR(PhaseIIIComplete))*SUMIFS(BuildingSummary!$D$29:$U$29,BuildingSummary!$D$34:$U$34,"Condominium",BuildingSummary!$D$18:$U$18,"III")</f>
        <v>0</v>
      </c>
      <c r="H79" s="148">
        <f>(H$8&gt;=YEAR(PhaseIIIComplete))*SUMIFS(BuildingSummary!$D$21:$U$21,BuildingSummary!$D$34:$U$34,"Condominium",BuildingSummary!$D$18:$U$18,"III")+(H$8&gt;=YEAR(PhaseIIIComplete))*SUMIFS(BuildingSummary!$D$29:$U$29,BuildingSummary!$D$34:$U$34,"Condominium",BuildingSummary!$D$18:$U$18,"III")</f>
        <v>0</v>
      </c>
      <c r="I79" s="148">
        <f>(I$8&gt;=YEAR(PhaseIIIComplete))*SUMIFS(BuildingSummary!$D$21:$U$21,BuildingSummary!$D$34:$U$34,"Condominium",BuildingSummary!$D$18:$U$18,"III")+(I$8&gt;=YEAR(PhaseIIIComplete))*SUMIFS(BuildingSummary!$D$29:$U$29,BuildingSummary!$D$34:$U$34,"Condominium",BuildingSummary!$D$18:$U$18,"III")</f>
        <v>0</v>
      </c>
      <c r="J79" s="148">
        <f>(J$8&gt;=YEAR(PhaseIIIComplete))*SUMIFS(BuildingSummary!$D$21:$U$21,BuildingSummary!$D$34:$U$34,"Condominium",BuildingSummary!$D$18:$U$18,"III")+(J$8&gt;=YEAR(PhaseIIIComplete))*SUMIFS(BuildingSummary!$D$29:$U$29,BuildingSummary!$D$34:$U$34,"Condominium",BuildingSummary!$D$18:$U$18,"III")</f>
        <v>0</v>
      </c>
      <c r="K79" s="148">
        <f>(K$8&gt;=YEAR(PhaseIIIComplete))*SUMIFS(BuildingSummary!$D$21:$U$21,BuildingSummary!$D$34:$U$34,"Condominium",BuildingSummary!$D$18:$U$18,"III")+(K$8&gt;=YEAR(PhaseIIIComplete))*SUMIFS(BuildingSummary!$D$29:$U$29,BuildingSummary!$D$34:$U$34,"Condominium",BuildingSummary!$D$18:$U$18,"III")</f>
        <v>0</v>
      </c>
      <c r="L79" s="148">
        <f>(L$8&gt;=YEAR(PhaseIIIComplete))*SUMIFS(BuildingSummary!$D$21:$U$21,BuildingSummary!$D$34:$U$34,"Condominium",BuildingSummary!$D$18:$U$18,"III")+(L$8&gt;=YEAR(PhaseIIIComplete))*SUMIFS(BuildingSummary!$D$29:$U$29,BuildingSummary!$D$34:$U$34,"Condominium",BuildingSummary!$D$18:$U$18,"III")</f>
        <v>0</v>
      </c>
      <c r="M79" s="148">
        <f>(M$8&gt;=YEAR(PhaseIIIComplete))*SUMIFS(BuildingSummary!$D$21:$U$21,BuildingSummary!$D$34:$U$34,"Condominium",BuildingSummary!$D$18:$U$18,"III")+(M$8&gt;=YEAR(PhaseIIIComplete))*SUMIFS(BuildingSummary!$D$29:$U$29,BuildingSummary!$D$34:$U$34,"Condominium",BuildingSummary!$D$18:$U$18,"III")</f>
        <v>84222</v>
      </c>
      <c r="N79" s="149">
        <f>(N$8&gt;=YEAR(PhaseIIIComplete))*SUMIFS(BuildingSummary!$D$21:$U$21,BuildingSummary!$D$34:$U$34,"Condominium",BuildingSummary!$D$18:$U$18,"III")+(N$8&gt;=YEAR(PhaseIIIComplete))*SUMIFS(BuildingSummary!$D$29:$U$29,BuildingSummary!$D$34:$U$34,"Condominium",BuildingSummary!$D$18:$U$18,"III")</f>
        <v>84222</v>
      </c>
    </row>
    <row r="80" spans="2:14" x14ac:dyDescent="0.65">
      <c r="B80" s="3" t="s">
        <v>195</v>
      </c>
      <c r="C80" s="8"/>
      <c r="D80" s="148">
        <f>D79-C79</f>
        <v>0</v>
      </c>
      <c r="E80" s="148">
        <f t="shared" ref="E80" si="26">E79-D79</f>
        <v>0</v>
      </c>
      <c r="F80" s="148">
        <f t="shared" ref="F80" si="27">F79-E79</f>
        <v>0</v>
      </c>
      <c r="G80" s="148">
        <f t="shared" ref="G80" si="28">G79-F79</f>
        <v>0</v>
      </c>
      <c r="H80" s="148">
        <f t="shared" ref="H80" si="29">H79-G79</f>
        <v>0</v>
      </c>
      <c r="I80" s="148">
        <f t="shared" ref="I80" si="30">I79-H79</f>
        <v>0</v>
      </c>
      <c r="J80" s="148">
        <f t="shared" ref="J80" si="31">J79-I79</f>
        <v>0</v>
      </c>
      <c r="K80" s="148">
        <f t="shared" ref="K80" si="32">K79-J79</f>
        <v>0</v>
      </c>
      <c r="L80" s="148">
        <f t="shared" ref="L80" si="33">L79-K79</f>
        <v>0</v>
      </c>
      <c r="M80" s="148">
        <f t="shared" ref="M80" si="34">M79-L79</f>
        <v>84222</v>
      </c>
      <c r="N80" s="149">
        <f t="shared" ref="N80" si="35">N79-M79</f>
        <v>0</v>
      </c>
    </row>
    <row r="81" spans="2:14" x14ac:dyDescent="0.65">
      <c r="B81" s="3"/>
      <c r="C81" s="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9"/>
    </row>
    <row r="82" spans="2:14" x14ac:dyDescent="0.65">
      <c r="B82" s="36" t="s">
        <v>196</v>
      </c>
      <c r="C82" s="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9"/>
    </row>
    <row r="83" spans="2:14" x14ac:dyDescent="0.65">
      <c r="B83" s="3" t="s">
        <v>13</v>
      </c>
      <c r="C83" s="8"/>
      <c r="D83" s="148">
        <f>(D$8&gt;=YEAR(PhaseIIIComplete))*'Assumptions-ResCondo'!$F9</f>
        <v>0</v>
      </c>
      <c r="E83" s="148">
        <f>(E$8&gt;=YEAR(PhaseIIIComplete))*'Assumptions-ResCondo'!$F9</f>
        <v>0</v>
      </c>
      <c r="F83" s="148">
        <f>(F$8&gt;=YEAR(PhaseIIIComplete))*'Assumptions-ResCondo'!$F9</f>
        <v>0</v>
      </c>
      <c r="G83" s="148">
        <f>(G$8&gt;=YEAR(PhaseIIIComplete))*'Assumptions-ResCondo'!$F9</f>
        <v>0</v>
      </c>
      <c r="H83" s="148">
        <f>(H$8&gt;=YEAR(PhaseIIIComplete))*'Assumptions-ResCondo'!$F9</f>
        <v>0</v>
      </c>
      <c r="I83" s="148">
        <f>(I$8&gt;=YEAR(PhaseIIIComplete))*'Assumptions-ResCondo'!$F9</f>
        <v>0</v>
      </c>
      <c r="J83" s="148">
        <f>(J$8&gt;=YEAR(PhaseIIIComplete))*'Assumptions-ResCondo'!$F9</f>
        <v>0</v>
      </c>
      <c r="K83" s="148">
        <f>(K$8&gt;=YEAR(PhaseIIIComplete))*'Assumptions-ResCondo'!$F9</f>
        <v>0</v>
      </c>
      <c r="L83" s="148">
        <f>(L$8&gt;=YEAR(PhaseIIIComplete))*'Assumptions-ResCondo'!$F9</f>
        <v>0</v>
      </c>
      <c r="M83" s="148">
        <f>(M$8&gt;=YEAR(PhaseIIIComplete))*'Assumptions-ResCondo'!$F9</f>
        <v>0</v>
      </c>
      <c r="N83" s="149">
        <f>(N$8&gt;=YEAR(PhaseIIIComplete))*'Assumptions-ResCondo'!$F9</f>
        <v>0</v>
      </c>
    </row>
    <row r="84" spans="2:14" x14ac:dyDescent="0.65">
      <c r="B84" s="3" t="s">
        <v>12</v>
      </c>
      <c r="C84" s="8"/>
      <c r="D84" s="148">
        <f>(D$8&gt;=YEAR(PhaseIIIComplete))*'Assumptions-ResCondo'!$F10</f>
        <v>0</v>
      </c>
      <c r="E84" s="148">
        <f>(E$8&gt;=YEAR(PhaseIIIComplete))*'Assumptions-ResCondo'!$F10</f>
        <v>0</v>
      </c>
      <c r="F84" s="148">
        <f>(F$8&gt;=YEAR(PhaseIIIComplete))*'Assumptions-ResCondo'!$F10</f>
        <v>0</v>
      </c>
      <c r="G84" s="148">
        <f>(G$8&gt;=YEAR(PhaseIIIComplete))*'Assumptions-ResCondo'!$F10</f>
        <v>0</v>
      </c>
      <c r="H84" s="148">
        <f>(H$8&gt;=YEAR(PhaseIIIComplete))*'Assumptions-ResCondo'!$F10</f>
        <v>0</v>
      </c>
      <c r="I84" s="148">
        <f>(I$8&gt;=YEAR(PhaseIIIComplete))*'Assumptions-ResCondo'!$F10</f>
        <v>0</v>
      </c>
      <c r="J84" s="148">
        <f>(J$8&gt;=YEAR(PhaseIIIComplete))*'Assumptions-ResCondo'!$F10</f>
        <v>0</v>
      </c>
      <c r="K84" s="148">
        <f>(K$8&gt;=YEAR(PhaseIIIComplete))*'Assumptions-ResCondo'!$F10</f>
        <v>0</v>
      </c>
      <c r="L84" s="148">
        <f>(L$8&gt;=YEAR(PhaseIIIComplete))*'Assumptions-ResCondo'!$F10</f>
        <v>0</v>
      </c>
      <c r="M84" s="148">
        <f>(M$8&gt;=YEAR(PhaseIIIComplete))*'Assumptions-ResCondo'!$F10</f>
        <v>47</v>
      </c>
      <c r="N84" s="149">
        <f>(N$8&gt;=YEAR(PhaseIIIComplete))*'Assumptions-ResCondo'!$F10</f>
        <v>47</v>
      </c>
    </row>
    <row r="85" spans="2:14" x14ac:dyDescent="0.65">
      <c r="B85" s="3" t="s">
        <v>11</v>
      </c>
      <c r="C85" s="8"/>
      <c r="D85" s="148">
        <f>(D$8&gt;=YEAR(PhaseIIIComplete))*'Assumptions-ResCondo'!$F11</f>
        <v>0</v>
      </c>
      <c r="E85" s="148">
        <f>(E$8&gt;=YEAR(PhaseIIIComplete))*'Assumptions-ResCondo'!$F11</f>
        <v>0</v>
      </c>
      <c r="F85" s="148">
        <f>(F$8&gt;=YEAR(PhaseIIIComplete))*'Assumptions-ResCondo'!$F11</f>
        <v>0</v>
      </c>
      <c r="G85" s="148">
        <f>(G$8&gt;=YEAR(PhaseIIIComplete))*'Assumptions-ResCondo'!$F11</f>
        <v>0</v>
      </c>
      <c r="H85" s="148">
        <f>(H$8&gt;=YEAR(PhaseIIIComplete))*'Assumptions-ResCondo'!$F11</f>
        <v>0</v>
      </c>
      <c r="I85" s="148">
        <f>(I$8&gt;=YEAR(PhaseIIIComplete))*'Assumptions-ResCondo'!$F11</f>
        <v>0</v>
      </c>
      <c r="J85" s="148">
        <f>(J$8&gt;=YEAR(PhaseIIIComplete))*'Assumptions-ResCondo'!$F11</f>
        <v>0</v>
      </c>
      <c r="K85" s="148">
        <f>(K$8&gt;=YEAR(PhaseIIIComplete))*'Assumptions-ResCondo'!$F11</f>
        <v>0</v>
      </c>
      <c r="L85" s="148">
        <f>(L$8&gt;=YEAR(PhaseIIIComplete))*'Assumptions-ResCondo'!$F11</f>
        <v>0</v>
      </c>
      <c r="M85" s="148">
        <f>(M$8&gt;=YEAR(PhaseIIIComplete))*'Assumptions-ResCondo'!$F11</f>
        <v>38</v>
      </c>
      <c r="N85" s="149">
        <f>(N$8&gt;=YEAR(PhaseIIIComplete))*'Assumptions-ResCondo'!$F11</f>
        <v>38</v>
      </c>
    </row>
    <row r="86" spans="2:14" x14ac:dyDescent="0.65">
      <c r="B86" s="3" t="s">
        <v>10</v>
      </c>
      <c r="C86" s="8"/>
      <c r="D86" s="148">
        <f>(D$8&gt;=YEAR(PhaseIIIComplete))*'Assumptions-ResCondo'!$F12</f>
        <v>0</v>
      </c>
      <c r="E86" s="148">
        <f>(E$8&gt;=YEAR(PhaseIIIComplete))*'Assumptions-ResCondo'!$F12</f>
        <v>0</v>
      </c>
      <c r="F86" s="148">
        <f>(F$8&gt;=YEAR(PhaseIIIComplete))*'Assumptions-ResCondo'!$F12</f>
        <v>0</v>
      </c>
      <c r="G86" s="148">
        <f>(G$8&gt;=YEAR(PhaseIIIComplete))*'Assumptions-ResCondo'!$F12</f>
        <v>0</v>
      </c>
      <c r="H86" s="148">
        <f>(H$8&gt;=YEAR(PhaseIIIComplete))*'Assumptions-ResCondo'!$F12</f>
        <v>0</v>
      </c>
      <c r="I86" s="148">
        <f>(I$8&gt;=YEAR(PhaseIIIComplete))*'Assumptions-ResCondo'!$F12</f>
        <v>0</v>
      </c>
      <c r="J86" s="148">
        <f>(J$8&gt;=YEAR(PhaseIIIComplete))*'Assumptions-ResCondo'!$F12</f>
        <v>0</v>
      </c>
      <c r="K86" s="148">
        <f>(K$8&gt;=YEAR(PhaseIIIComplete))*'Assumptions-ResCondo'!$F12</f>
        <v>0</v>
      </c>
      <c r="L86" s="148">
        <f>(L$8&gt;=YEAR(PhaseIIIComplete))*'Assumptions-ResCondo'!$F12</f>
        <v>0</v>
      </c>
      <c r="M86" s="148">
        <f>(M$8&gt;=YEAR(PhaseIIIComplete))*'Assumptions-ResCondo'!$F12</f>
        <v>0</v>
      </c>
      <c r="N86" s="149">
        <f>(N$8&gt;=YEAR(PhaseIIIComplete))*'Assumptions-ResCondo'!$F12</f>
        <v>0</v>
      </c>
    </row>
    <row r="87" spans="2:14" x14ac:dyDescent="0.65">
      <c r="B87" s="3"/>
      <c r="C87" s="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9"/>
    </row>
    <row r="88" spans="2:14" x14ac:dyDescent="0.65">
      <c r="B88" s="36" t="s">
        <v>580</v>
      </c>
      <c r="C88" s="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9"/>
    </row>
    <row r="89" spans="2:14" x14ac:dyDescent="0.65">
      <c r="B89" s="3" t="s">
        <v>13</v>
      </c>
      <c r="C89" s="8"/>
      <c r="D89" s="148">
        <f>(D$8&gt;=YEAR(PhaseIIIComplete))*'Assumptions-ResCondo'!$F17</f>
        <v>0</v>
      </c>
      <c r="E89" s="148">
        <f>(E$8&gt;=YEAR(PhaseIIIComplete))*'Assumptions-ResCondo'!$F17</f>
        <v>0</v>
      </c>
      <c r="F89" s="148">
        <f>(F$8&gt;=YEAR(PhaseIIIComplete))*'Assumptions-ResCondo'!$F17</f>
        <v>0</v>
      </c>
      <c r="G89" s="148">
        <f>(G$8&gt;=YEAR(PhaseIIIComplete))*'Assumptions-ResCondo'!$F17</f>
        <v>0</v>
      </c>
      <c r="H89" s="148">
        <f>(H$8&gt;=YEAR(PhaseIIIComplete))*'Assumptions-ResCondo'!$F17</f>
        <v>0</v>
      </c>
      <c r="I89" s="148">
        <f>(I$8&gt;=YEAR(PhaseIIIComplete))*'Assumptions-ResCondo'!$F17</f>
        <v>0</v>
      </c>
      <c r="J89" s="148">
        <f>(J$8&gt;=YEAR(PhaseIIIComplete))*'Assumptions-ResCondo'!$F17</f>
        <v>0</v>
      </c>
      <c r="K89" s="148">
        <f>(K$8&gt;=YEAR(PhaseIIIComplete))*'Assumptions-ResCondo'!$F17</f>
        <v>0</v>
      </c>
      <c r="L89" s="148">
        <f>(L$8&gt;=YEAR(PhaseIIIComplete))*'Assumptions-ResCondo'!$F17</f>
        <v>0</v>
      </c>
      <c r="M89" s="148">
        <f>(M$8&gt;=YEAR(PhaseIIIComplete))*'Assumptions-ResCondo'!$F17</f>
        <v>0</v>
      </c>
      <c r="N89" s="149">
        <f>(N$8&gt;=YEAR(PhaseIIIComplete))*'Assumptions-ResCondo'!$F17</f>
        <v>0</v>
      </c>
    </row>
    <row r="90" spans="2:14" x14ac:dyDescent="0.65">
      <c r="B90" s="3" t="s">
        <v>12</v>
      </c>
      <c r="C90" s="8"/>
      <c r="D90" s="148">
        <f>(D$8&gt;=YEAR(PhaseIIIComplete))*'Assumptions-ResCondo'!$F18</f>
        <v>0</v>
      </c>
      <c r="E90" s="148">
        <f>(E$8&gt;=YEAR(PhaseIIIComplete))*'Assumptions-ResCondo'!$F18</f>
        <v>0</v>
      </c>
      <c r="F90" s="148">
        <f>(F$8&gt;=YEAR(PhaseIIIComplete))*'Assumptions-ResCondo'!$F18</f>
        <v>0</v>
      </c>
      <c r="G90" s="148">
        <f>(G$8&gt;=YEAR(PhaseIIIComplete))*'Assumptions-ResCondo'!$F18</f>
        <v>0</v>
      </c>
      <c r="H90" s="148">
        <f>(H$8&gt;=YEAR(PhaseIIIComplete))*'Assumptions-ResCondo'!$F18</f>
        <v>0</v>
      </c>
      <c r="I90" s="148">
        <f>(I$8&gt;=YEAR(PhaseIIIComplete))*'Assumptions-ResCondo'!$F18</f>
        <v>0</v>
      </c>
      <c r="J90" s="148">
        <f>(J$8&gt;=YEAR(PhaseIIIComplete))*'Assumptions-ResCondo'!$F18</f>
        <v>0</v>
      </c>
      <c r="K90" s="148">
        <f>(K$8&gt;=YEAR(PhaseIIIComplete))*'Assumptions-ResCondo'!$F18</f>
        <v>0</v>
      </c>
      <c r="L90" s="148">
        <f>(L$8&gt;=YEAR(PhaseIIIComplete))*'Assumptions-ResCondo'!$F18</f>
        <v>0</v>
      </c>
      <c r="M90" s="148">
        <f>(M$8&gt;=YEAR(PhaseIIIComplete))*'Assumptions-ResCondo'!$F18</f>
        <v>3</v>
      </c>
      <c r="N90" s="149">
        <f>(N$8&gt;=YEAR(PhaseIIIComplete))*'Assumptions-ResCondo'!$F18</f>
        <v>3</v>
      </c>
    </row>
    <row r="91" spans="2:14" x14ac:dyDescent="0.65">
      <c r="B91" s="3" t="s">
        <v>11</v>
      </c>
      <c r="C91" s="8"/>
      <c r="D91" s="148">
        <f>(D$8&gt;=YEAR(PhaseIIIComplete))*'Assumptions-ResCondo'!$F19</f>
        <v>0</v>
      </c>
      <c r="E91" s="148">
        <f>(E$8&gt;=YEAR(PhaseIIIComplete))*'Assumptions-ResCondo'!$F19</f>
        <v>0</v>
      </c>
      <c r="F91" s="148">
        <f>(F$8&gt;=YEAR(PhaseIIIComplete))*'Assumptions-ResCondo'!$F19</f>
        <v>0</v>
      </c>
      <c r="G91" s="148">
        <f>(G$8&gt;=YEAR(PhaseIIIComplete))*'Assumptions-ResCondo'!$F19</f>
        <v>0</v>
      </c>
      <c r="H91" s="148">
        <f>(H$8&gt;=YEAR(PhaseIIIComplete))*'Assumptions-ResCondo'!$F19</f>
        <v>0</v>
      </c>
      <c r="I91" s="148">
        <f>(I$8&gt;=YEAR(PhaseIIIComplete))*'Assumptions-ResCondo'!$F19</f>
        <v>0</v>
      </c>
      <c r="J91" s="148">
        <f>(J$8&gt;=YEAR(PhaseIIIComplete))*'Assumptions-ResCondo'!$F19</f>
        <v>0</v>
      </c>
      <c r="K91" s="148">
        <f>(K$8&gt;=YEAR(PhaseIIIComplete))*'Assumptions-ResCondo'!$F19</f>
        <v>0</v>
      </c>
      <c r="L91" s="148">
        <f>(L$8&gt;=YEAR(PhaseIIIComplete))*'Assumptions-ResCondo'!$F19</f>
        <v>0</v>
      </c>
      <c r="M91" s="148">
        <f>(M$8&gt;=YEAR(PhaseIIIComplete))*'Assumptions-ResCondo'!$F19</f>
        <v>5</v>
      </c>
      <c r="N91" s="149">
        <f>(N$8&gt;=YEAR(PhaseIIIComplete))*'Assumptions-ResCondo'!$F19</f>
        <v>5</v>
      </c>
    </row>
    <row r="92" spans="2:14" x14ac:dyDescent="0.65">
      <c r="B92" s="3" t="s">
        <v>10</v>
      </c>
      <c r="C92" s="8"/>
      <c r="D92" s="148">
        <f>(D$8&gt;=YEAR(PhaseIIIComplete))*'Assumptions-ResCondo'!$F20</f>
        <v>0</v>
      </c>
      <c r="E92" s="148">
        <f>(E$8&gt;=YEAR(PhaseIIIComplete))*'Assumptions-ResCondo'!$F20</f>
        <v>0</v>
      </c>
      <c r="F92" s="148">
        <f>(F$8&gt;=YEAR(PhaseIIIComplete))*'Assumptions-ResCondo'!$F20</f>
        <v>0</v>
      </c>
      <c r="G92" s="148">
        <f>(G$8&gt;=YEAR(PhaseIIIComplete))*'Assumptions-ResCondo'!$F20</f>
        <v>0</v>
      </c>
      <c r="H92" s="148">
        <f>(H$8&gt;=YEAR(PhaseIIIComplete))*'Assumptions-ResCondo'!$F20</f>
        <v>0</v>
      </c>
      <c r="I92" s="148">
        <f>(I$8&gt;=YEAR(PhaseIIIComplete))*'Assumptions-ResCondo'!$F20</f>
        <v>0</v>
      </c>
      <c r="J92" s="148">
        <f>(J$8&gt;=YEAR(PhaseIIIComplete))*'Assumptions-ResCondo'!$F20</f>
        <v>0</v>
      </c>
      <c r="K92" s="148">
        <f>(K$8&gt;=YEAR(PhaseIIIComplete))*'Assumptions-ResCondo'!$F20</f>
        <v>0</v>
      </c>
      <c r="L92" s="148">
        <f>(L$8&gt;=YEAR(PhaseIIIComplete))*'Assumptions-ResCondo'!$F20</f>
        <v>0</v>
      </c>
      <c r="M92" s="148">
        <f>(M$8&gt;=YEAR(PhaseIIIComplete))*'Assumptions-ResCondo'!$F20</f>
        <v>0</v>
      </c>
      <c r="N92" s="149">
        <f>(N$8&gt;=YEAR(PhaseIIIComplete))*'Assumptions-ResCondo'!$F20</f>
        <v>0</v>
      </c>
    </row>
    <row r="93" spans="2:14" x14ac:dyDescent="0.65">
      <c r="B93" s="3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9"/>
    </row>
    <row r="94" spans="2:14" x14ac:dyDescent="0.65">
      <c r="B94" s="36" t="s">
        <v>130</v>
      </c>
      <c r="C94" s="8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51"/>
    </row>
    <row r="95" spans="2:14" x14ac:dyDescent="0.65">
      <c r="B95" s="3" t="s">
        <v>210</v>
      </c>
      <c r="C95" s="8"/>
      <c r="D95" s="146">
        <f>-(AND(D$8&gt;=YEAR(PhaseIIIConBegin),D$8&lt;=YEAR(PhaseIIIConEnd)))*SUM($D80:$N80)*('Assumptions-Overall'!$J$10+'Assumptions-Overall'!$J$12)*(1+'Assumptions-Overall'!$C$41)^('CashFlow-ResCondo'!D$7-1)/(YEAR(PhaseIIIConEnd)-YEAR(PhaseIIIConBegin)+1)</f>
        <v>0</v>
      </c>
      <c r="E95" s="146">
        <f>-(AND(E$8&gt;=YEAR(PhaseIIIConBegin),E$8&lt;=YEAR(PhaseIIIConEnd)))*SUM($D80:$N80)*('Assumptions-Overall'!$J$10+'Assumptions-Overall'!$J$12)*(1+'Assumptions-Overall'!$C$41)^('CashFlow-ResCondo'!E$7-1)/(YEAR(PhaseIIIConEnd)-YEAR(PhaseIIIConBegin)+1)</f>
        <v>0</v>
      </c>
      <c r="F95" s="146">
        <f>-(AND(F$8&gt;=YEAR(PhaseIIIConBegin),F$8&lt;=YEAR(PhaseIIIConEnd)))*SUM($D80:$N80)*('Assumptions-Overall'!$J$10+'Assumptions-Overall'!$J$12)*(1+'Assumptions-Overall'!$C$41)^('CashFlow-ResCondo'!F$7-1)/(YEAR(PhaseIIIConEnd)-YEAR(PhaseIIIConBegin)+1)</f>
        <v>0</v>
      </c>
      <c r="G95" s="146">
        <f>-(AND(G$8&gt;=YEAR(PhaseIIIConBegin),G$8&lt;=YEAR(PhaseIIIConEnd)))*SUM($D80:$N80)*('Assumptions-Overall'!$J$10+'Assumptions-Overall'!$J$12)*(1+'Assumptions-Overall'!$C$41)^('CashFlow-ResCondo'!G$7-1)/(YEAR(PhaseIIIConEnd)-YEAR(PhaseIIIConBegin)+1)</f>
        <v>0</v>
      </c>
      <c r="H95" s="146">
        <f>-(AND(H$8&gt;=YEAR(PhaseIIIConBegin),H$8&lt;=YEAR(PhaseIIIConEnd)))*SUM($D80:$N80)*('Assumptions-Overall'!$J$10+'Assumptions-Overall'!$J$12)*(1+'Assumptions-Overall'!$C$41)^('CashFlow-ResCondo'!H$7-1)/(YEAR(PhaseIIIConEnd)-YEAR(PhaseIIIConBegin)+1)</f>
        <v>0</v>
      </c>
      <c r="I95" s="146">
        <f>-(AND(I$8&gt;=YEAR(PhaseIIIConBegin),I$8&lt;=YEAR(PhaseIIIConEnd)))*SUM($D80:$N80)*('Assumptions-Overall'!$J$10+'Assumptions-Overall'!$J$12)*(1+'Assumptions-Overall'!$C$41)^('CashFlow-ResCondo'!I$7-1)/(YEAR(PhaseIIIConEnd)-YEAR(PhaseIIIConBegin)+1)</f>
        <v>0</v>
      </c>
      <c r="J95" s="146">
        <f>-(AND(J$8&gt;=YEAR(PhaseIIIConBegin),J$8&lt;=YEAR(PhaseIIIConEnd)))*SUM($D80:$N80)*('Assumptions-Overall'!$J$10+'Assumptions-Overall'!$J$12)*(1+'Assumptions-Overall'!$C$41)^('CashFlow-ResCondo'!J$7-1)/(YEAR(PhaseIIIConEnd)-YEAR(PhaseIIIConBegin)+1)</f>
        <v>0</v>
      </c>
      <c r="K95" s="146">
        <f>-(AND(K$8&gt;=YEAR(PhaseIIIConBegin),K$8&lt;=YEAR(PhaseIIIConEnd)))*SUM($D80:$N80)*('Assumptions-Overall'!$J$10+'Assumptions-Overall'!$J$12)*(1+'Assumptions-Overall'!$C$41)^('CashFlow-ResCondo'!K$7-1)/(YEAR(PhaseIIIConEnd)-YEAR(PhaseIIIConBegin)+1)</f>
        <v>-7509726.6603014711</v>
      </c>
      <c r="L95" s="146">
        <f>-(AND(L$8&gt;=YEAR(PhaseIIIConBegin),L$8&lt;=YEAR(PhaseIIIConEnd)))*SUM($D80:$N80)*('Assumptions-Overall'!$J$10+'Assumptions-Overall'!$J$12)*(1+'Assumptions-Overall'!$C$41)^('CashFlow-ResCondo'!L$7-1)/(YEAR(PhaseIIIConEnd)-YEAR(PhaseIIIConBegin)+1)</f>
        <v>-7735018.4601105144</v>
      </c>
      <c r="M95" s="146">
        <f>-(AND(M$8&gt;=YEAR(PhaseIIIConBegin),M$8&lt;=YEAR(PhaseIIIConEnd)))*SUM($D80:$N80)*('Assumptions-Overall'!$J$10+'Assumptions-Overall'!$J$12)*(1+'Assumptions-Overall'!$C$41)^('CashFlow-ResCondo'!M$7-1)/(YEAR(PhaseIIIConEnd)-YEAR(PhaseIIIConBegin)+1)</f>
        <v>0</v>
      </c>
      <c r="N95" s="151"/>
    </row>
    <row r="96" spans="2:14" x14ac:dyDescent="0.65">
      <c r="B96" s="3" t="s">
        <v>211</v>
      </c>
      <c r="C96" s="8"/>
      <c r="D96" s="146">
        <f>(AND(D$8&gt;=YEAR(PhaseIIIPreconBegin),D$8&lt;=YEAR(PhaseIIIConEnd)))*SUM($D95:$N95)*'Assumptions-Overall'!$H$43/(YEAR(PhaseIIIConEnd)-YEAR(PhaseIIIPreconBegin)+1)</f>
        <v>0</v>
      </c>
      <c r="E96" s="146">
        <f>(AND(E$8&gt;=YEAR(PhaseIIIPreconBegin),E$8&lt;=YEAR(PhaseIIIConEnd)))*SUM($D95:$N95)*'Assumptions-Overall'!$H$43/(YEAR(PhaseIIIConEnd)-YEAR(PhaseIIIPreconBegin)+1)</f>
        <v>0</v>
      </c>
      <c r="F96" s="146">
        <f>(AND(F$8&gt;=YEAR(PhaseIIIPreconBegin),F$8&lt;=YEAR(PhaseIIIConEnd)))*SUM($D95:$N95)*'Assumptions-Overall'!$H$43/(YEAR(PhaseIIIConEnd)-YEAR(PhaseIIIPreconBegin)+1)</f>
        <v>0</v>
      </c>
      <c r="G96" s="146">
        <f>(AND(G$8&gt;=YEAR(PhaseIIIPreconBegin),G$8&lt;=YEAR(PhaseIIIConEnd)))*SUM($D95:$N95)*'Assumptions-Overall'!$H$43/(YEAR(PhaseIIIConEnd)-YEAR(PhaseIIIPreconBegin)+1)</f>
        <v>0</v>
      </c>
      <c r="H96" s="146">
        <f>(AND(H$8&gt;=YEAR(PhaseIIIPreconBegin),H$8&lt;=YEAR(PhaseIIIConEnd)))*SUM($D95:$N95)*'Assumptions-Overall'!$H$43/(YEAR(PhaseIIIConEnd)-YEAR(PhaseIIIPreconBegin)+1)</f>
        <v>0</v>
      </c>
      <c r="I96" s="146">
        <f>(AND(I$8&gt;=YEAR(PhaseIIIPreconBegin),I$8&lt;=YEAR(PhaseIIIConEnd)))*SUM($D95:$N95)*'Assumptions-Overall'!$H$43/(YEAR(PhaseIIIConEnd)-YEAR(PhaseIIIPreconBegin)+1)</f>
        <v>-228671.17680617975</v>
      </c>
      <c r="J96" s="146">
        <f>(AND(J$8&gt;=YEAR(PhaseIIIPreconBegin),J$8&lt;=YEAR(PhaseIIIConEnd)))*SUM($D95:$N95)*'Assumptions-Overall'!$H$43/(YEAR(PhaseIIIConEnd)-YEAR(PhaseIIIPreconBegin)+1)</f>
        <v>-228671.17680617975</v>
      </c>
      <c r="K96" s="146">
        <f>(AND(K$8&gt;=YEAR(PhaseIIIPreconBegin),K$8&lt;=YEAR(PhaseIIIConEnd)))*SUM($D95:$N95)*'Assumptions-Overall'!$H$43/(YEAR(PhaseIIIConEnd)-YEAR(PhaseIIIPreconBegin)+1)</f>
        <v>-228671.17680617975</v>
      </c>
      <c r="L96" s="146">
        <f>(AND(L$8&gt;=YEAR(PhaseIIIPreconBegin),L$8&lt;=YEAR(PhaseIIIConEnd)))*SUM($D95:$N95)*'Assumptions-Overall'!$H$43/(YEAR(PhaseIIIConEnd)-YEAR(PhaseIIIPreconBegin)+1)</f>
        <v>-228671.17680617975</v>
      </c>
      <c r="M96" s="146">
        <f>(AND(M$8&gt;=YEAR(PhaseIIIPreconBegin),M$8&lt;=YEAR(PhaseIIIConEnd)))*SUM($D95:$N95)*'Assumptions-Overall'!$H$43/(YEAR(PhaseIIIConEnd)-YEAR(PhaseIIIPreconBegin)+1)</f>
        <v>0</v>
      </c>
      <c r="N96" s="151"/>
    </row>
    <row r="97" spans="2:14" x14ac:dyDescent="0.65">
      <c r="B97" s="3" t="s">
        <v>115</v>
      </c>
      <c r="C97" s="8"/>
      <c r="D97" s="146">
        <f>(AND(D$8&gt;=YEAR(PhaseIIIPreconBegin),D$8&lt;=YEAR(PhaseIIIConEnd)))*SUM($D95:$N95)*'Assumptions-Overall'!$H$44/(YEAR(PhaseIIIConEnd)-YEAR(PhaseIIIPreconBegin)+1)</f>
        <v>0</v>
      </c>
      <c r="E97" s="146">
        <f>(AND(E$8&gt;=YEAR(PhaseIIIPreconBegin),E$8&lt;=YEAR(PhaseIIIConEnd)))*SUM($D95:$N95)*'Assumptions-Overall'!$H$44/(YEAR(PhaseIIIConEnd)-YEAR(PhaseIIIPreconBegin)+1)</f>
        <v>0</v>
      </c>
      <c r="F97" s="146">
        <f>(AND(F$8&gt;=YEAR(PhaseIIIPreconBegin),F$8&lt;=YEAR(PhaseIIIConEnd)))*SUM($D95:$N95)*'Assumptions-Overall'!$H$44/(YEAR(PhaseIIIConEnd)-YEAR(PhaseIIIPreconBegin)+1)</f>
        <v>0</v>
      </c>
      <c r="G97" s="146">
        <f>(AND(G$8&gt;=YEAR(PhaseIIIPreconBegin),G$8&lt;=YEAR(PhaseIIIConEnd)))*SUM($D95:$N95)*'Assumptions-Overall'!$H$44/(YEAR(PhaseIIIConEnd)-YEAR(PhaseIIIPreconBegin)+1)</f>
        <v>0</v>
      </c>
      <c r="H97" s="146">
        <f>(AND(H$8&gt;=YEAR(PhaseIIIPreconBegin),H$8&lt;=YEAR(PhaseIIIConEnd)))*SUM($D95:$N95)*'Assumptions-Overall'!$H$44/(YEAR(PhaseIIIConEnd)-YEAR(PhaseIIIPreconBegin)+1)</f>
        <v>0</v>
      </c>
      <c r="I97" s="146">
        <f>(AND(I$8&gt;=YEAR(PhaseIIIPreconBegin),I$8&lt;=YEAR(PhaseIIIConEnd)))*SUM($D95:$N95)*'Assumptions-Overall'!$H$44/(YEAR(PhaseIIIConEnd)-YEAR(PhaseIIIPreconBegin)+1)</f>
        <v>-381118.62801029964</v>
      </c>
      <c r="J97" s="146">
        <f>(AND(J$8&gt;=YEAR(PhaseIIIPreconBegin),J$8&lt;=YEAR(PhaseIIIConEnd)))*SUM($D95:$N95)*'Assumptions-Overall'!$H$44/(YEAR(PhaseIIIConEnd)-YEAR(PhaseIIIPreconBegin)+1)</f>
        <v>-381118.62801029964</v>
      </c>
      <c r="K97" s="146">
        <f>(AND(K$8&gt;=YEAR(PhaseIIIPreconBegin),K$8&lt;=YEAR(PhaseIIIConEnd)))*SUM($D95:$N95)*'Assumptions-Overall'!$H$44/(YEAR(PhaseIIIConEnd)-YEAR(PhaseIIIPreconBegin)+1)</f>
        <v>-381118.62801029964</v>
      </c>
      <c r="L97" s="146">
        <f>(AND(L$8&gt;=YEAR(PhaseIIIPreconBegin),L$8&lt;=YEAR(PhaseIIIConEnd)))*SUM($D95:$N95)*'Assumptions-Overall'!$H$44/(YEAR(PhaseIIIConEnd)-YEAR(PhaseIIIPreconBegin)+1)</f>
        <v>-381118.62801029964</v>
      </c>
      <c r="M97" s="146">
        <f>(AND(M$8&gt;=YEAR(PhaseIIIPreconBegin),M$8&lt;=YEAR(PhaseIIIConEnd)))*SUM($D95:$N95)*'Assumptions-Overall'!$H$44/(YEAR(PhaseIIIConEnd)-YEAR(PhaseIIIPreconBegin)+1)</f>
        <v>0</v>
      </c>
      <c r="N97" s="151"/>
    </row>
    <row r="98" spans="2:14" x14ac:dyDescent="0.65">
      <c r="B98" s="3" t="s">
        <v>116</v>
      </c>
      <c r="C98" s="8"/>
      <c r="D98" s="144">
        <f>SUM(D95:D97)*'Assumptions-Overall'!$H$45</f>
        <v>0</v>
      </c>
      <c r="E98" s="144">
        <f>SUM(E95:E97)*'Assumptions-Overall'!$H$45</f>
        <v>0</v>
      </c>
      <c r="F98" s="144">
        <f>SUM(F95:F97)*'Assumptions-Overall'!$H$45</f>
        <v>0</v>
      </c>
      <c r="G98" s="144">
        <f>SUM(G95:G97)*'Assumptions-Overall'!$H$45</f>
        <v>0</v>
      </c>
      <c r="H98" s="144">
        <f>SUM(H95:H97)*'Assumptions-Overall'!$H$45</f>
        <v>0</v>
      </c>
      <c r="I98" s="144">
        <f>SUM(I95:I97)*'Assumptions-Overall'!$H$45</f>
        <v>-30489.490240823969</v>
      </c>
      <c r="J98" s="144">
        <f>SUM(J95:J97)*'Assumptions-Overall'!$H$45</f>
        <v>-30489.490240823969</v>
      </c>
      <c r="K98" s="144">
        <f>SUM(K95:K97)*'Assumptions-Overall'!$H$45</f>
        <v>-405975.82325589756</v>
      </c>
      <c r="L98" s="144">
        <f>SUM(L95:L97)*'Assumptions-Overall'!$H$45</f>
        <v>-417240.41324634972</v>
      </c>
      <c r="M98" s="144">
        <f>SUM(M95:M97)*'Assumptions-Overall'!$H$45</f>
        <v>0</v>
      </c>
      <c r="N98" s="151"/>
    </row>
    <row r="99" spans="2:14" x14ac:dyDescent="0.65">
      <c r="B99" s="3" t="s">
        <v>212</v>
      </c>
      <c r="C99" s="8"/>
      <c r="D99" s="146">
        <f>SUM(D95:D98)</f>
        <v>0</v>
      </c>
      <c r="E99" s="146">
        <f t="shared" ref="E99" si="36">SUM(E95:E98)</f>
        <v>0</v>
      </c>
      <c r="F99" s="146">
        <f t="shared" ref="F99" si="37">SUM(F95:F98)</f>
        <v>0</v>
      </c>
      <c r="G99" s="146">
        <f t="shared" ref="G99" si="38">SUM(G95:G98)</f>
        <v>0</v>
      </c>
      <c r="H99" s="146">
        <f t="shared" ref="H99" si="39">SUM(H95:H98)</f>
        <v>0</v>
      </c>
      <c r="I99" s="146">
        <f t="shared" ref="I99" si="40">SUM(I95:I98)</f>
        <v>-640279.29505730327</v>
      </c>
      <c r="J99" s="146">
        <f t="shared" ref="J99" si="41">SUM(J95:J98)</f>
        <v>-640279.29505730327</v>
      </c>
      <c r="K99" s="146">
        <f t="shared" ref="K99" si="42">SUM(K95:K98)</f>
        <v>-8525492.2883738484</v>
      </c>
      <c r="L99" s="146">
        <f t="shared" ref="L99" si="43">SUM(L95:L98)</f>
        <v>-8762048.6781733446</v>
      </c>
      <c r="M99" s="146">
        <f t="shared" ref="M99" si="44">SUM(M95:M98)</f>
        <v>0</v>
      </c>
      <c r="N99" s="151"/>
    </row>
    <row r="100" spans="2:14" x14ac:dyDescent="0.65">
      <c r="B100" s="3"/>
      <c r="C100" s="8"/>
      <c r="D100" s="146"/>
      <c r="E100" s="146"/>
      <c r="F100" s="146"/>
      <c r="G100" s="146"/>
      <c r="H100" s="146"/>
      <c r="I100" s="146"/>
      <c r="J100" s="146"/>
      <c r="K100" s="146"/>
      <c r="L100" s="146"/>
      <c r="M100" s="146"/>
      <c r="N100" s="151"/>
    </row>
    <row r="101" spans="2:14" x14ac:dyDescent="0.65">
      <c r="B101" s="36" t="s">
        <v>167</v>
      </c>
      <c r="C101" s="8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51"/>
    </row>
    <row r="102" spans="2:14" x14ac:dyDescent="0.65">
      <c r="B102" s="3" t="s">
        <v>221</v>
      </c>
      <c r="C102" s="8"/>
      <c r="D102" s="128">
        <f>(AND(D$8&gt;=YEAR(PhaseIIIPreconBegin),D$8&lt;YEAR(PhaseIIIConBegin)))*'Assumptions-ResCondo'!$I$15/(YEAR(PhaseIIIConBegin)-YEAR(PhaseIIIPreconBegin))+(AND(D$8&gt;=YEAR(PhaseIIIConBegin),D$8&lt;=YEAR(PhaseIIIConEnd)))*'Assumptions-ResCondo'!$I$16/(YEAR(PhaseIIIConEnd)-YEAR(PhaseIIIConBegin)+1)</f>
        <v>0</v>
      </c>
      <c r="E102" s="128">
        <f>(AND(E$8&gt;=YEAR(PhaseIIIPreconBegin),E$8&lt;YEAR(PhaseIIIConBegin)))*'Assumptions-ResCondo'!$I$15/(YEAR(PhaseIIIConBegin)-YEAR(PhaseIIIPreconBegin))+(AND(E$8&gt;=YEAR(PhaseIIIConBegin),E$8&lt;=YEAR(PhaseIIIConEnd)))*'Assumptions-ResCondo'!$I$16/(YEAR(PhaseIIIConEnd)-YEAR(PhaseIIIConBegin)+1)</f>
        <v>0</v>
      </c>
      <c r="F102" s="128">
        <f>(AND(F$8&gt;=YEAR(PhaseIIIPreconBegin),F$8&lt;YEAR(PhaseIIIConBegin)))*'Assumptions-ResCondo'!$I$15/(YEAR(PhaseIIIConBegin)-YEAR(PhaseIIIPreconBegin))+(AND(F$8&gt;=YEAR(PhaseIIIConBegin),F$8&lt;=YEAR(PhaseIIIConEnd)))*'Assumptions-ResCondo'!$I$16/(YEAR(PhaseIIIConEnd)-YEAR(PhaseIIIConBegin)+1)</f>
        <v>0</v>
      </c>
      <c r="G102" s="128">
        <f>(AND(G$8&gt;=YEAR(PhaseIIIPreconBegin),G$8&lt;YEAR(PhaseIIIConBegin)))*'Assumptions-ResCondo'!$I$15/(YEAR(PhaseIIIConBegin)-YEAR(PhaseIIIPreconBegin))+(AND(G$8&gt;=YEAR(PhaseIIIConBegin),G$8&lt;=YEAR(PhaseIIIConEnd)))*'Assumptions-ResCondo'!$I$16/(YEAR(PhaseIIIConEnd)-YEAR(PhaseIIIConBegin)+1)</f>
        <v>0</v>
      </c>
      <c r="H102" s="128">
        <f>(AND(H$8&gt;=YEAR(PhaseIIIPreconBegin),H$8&lt;YEAR(PhaseIIIConBegin)))*'Assumptions-ResCondo'!$I$15/(YEAR(PhaseIIIConBegin)-YEAR(PhaseIIIPreconBegin))+(AND(H$8&gt;=YEAR(PhaseIIIConBegin),H$8&lt;=YEAR(PhaseIIIConEnd)))*'Assumptions-ResCondo'!$I$16/(YEAR(PhaseIIIConEnd)-YEAR(PhaseIIIConBegin)+1)</f>
        <v>0</v>
      </c>
      <c r="I102" s="128">
        <f>(AND(I$8&gt;=YEAR(PhaseIIIPreconBegin),I$8&lt;YEAR(PhaseIIIConBegin)))*'Assumptions-ResCondo'!$I$15/(YEAR(PhaseIIIConBegin)-YEAR(PhaseIIIPreconBegin))+(AND(I$8&gt;=YEAR(PhaseIIIConBegin),I$8&lt;=YEAR(PhaseIIIConEnd)))*'Assumptions-ResCondo'!$I$16/(YEAR(PhaseIIIConEnd)-YEAR(PhaseIIIConBegin)+1)</f>
        <v>2.5000000000000001E-2</v>
      </c>
      <c r="J102" s="128">
        <f>(AND(J$8&gt;=YEAR(PhaseIIIPreconBegin),J$8&lt;YEAR(PhaseIIIConBegin)))*'Assumptions-ResCondo'!$I$15/(YEAR(PhaseIIIConBegin)-YEAR(PhaseIIIPreconBegin))+(AND(J$8&gt;=YEAR(PhaseIIIConBegin),J$8&lt;=YEAR(PhaseIIIConEnd)))*'Assumptions-ResCondo'!$I$16/(YEAR(PhaseIIIConEnd)-YEAR(PhaseIIIConBegin)+1)</f>
        <v>2.5000000000000001E-2</v>
      </c>
      <c r="K102" s="128">
        <v>0.35</v>
      </c>
      <c r="L102" s="128">
        <v>0.45</v>
      </c>
      <c r="M102" s="128">
        <f>(AND(M$8&gt;=YEAR(PhaseIIIPreconBegin),M$8&lt;YEAR(PhaseIIIConBegin)))*'Assumptions-ResCondo'!$I$15/(YEAR(PhaseIIIConBegin)-YEAR(PhaseIIIPreconBegin))+(AND(M$8&gt;=YEAR(PhaseIIIConBegin),M$8&lt;=YEAR(PhaseIIIConEnd)))*'Assumptions-ResCondo'!$I$16/(YEAR(PhaseIIIConEnd)-YEAR(PhaseIIIConBegin)+1)</f>
        <v>0</v>
      </c>
      <c r="N102" s="151"/>
    </row>
    <row r="103" spans="2:14" x14ac:dyDescent="0.65">
      <c r="B103" s="3" t="s">
        <v>222</v>
      </c>
      <c r="C103" s="8"/>
      <c r="D103" s="146">
        <f>D102*'Assumptions-ResCondo'!$I$18*(SUMPRODUCT('Assumptions-ResCondo'!$L$8:$L$11,'CashFlow-ResCondo'!$N83:$N86)+SUMPRODUCT('CashFlow-ResCondo'!$N89:$N92,'Assumptions-ResCondo'!$Q$8:$Q$11))*((1+'Assumptions-Overall'!$C$34)^('CashFlow-ResCondo'!D$7-1))</f>
        <v>0</v>
      </c>
      <c r="E103" s="146">
        <f>E102*'Assumptions-ResCondo'!$I$18*(SUMPRODUCT('Assumptions-ResCondo'!$L$8:$L$11,'CashFlow-ResCondo'!$N83:$N86)+SUMPRODUCT('CashFlow-ResCondo'!$N89:$N92,'Assumptions-ResCondo'!$Q$8:$Q$11))*((1+'Assumptions-Overall'!$C$34)^('CashFlow-ResCondo'!E$7-1))</f>
        <v>0</v>
      </c>
      <c r="F103" s="146">
        <f>F102*'Assumptions-ResCondo'!$I$18*(SUMPRODUCT('Assumptions-ResCondo'!$L$8:$L$11,'CashFlow-ResCondo'!$N83:$N86)+SUMPRODUCT('CashFlow-ResCondo'!$N89:$N92,'Assumptions-ResCondo'!$Q$8:$Q$11))*((1+'Assumptions-Overall'!$C$34)^('CashFlow-ResCondo'!F$7-1))</f>
        <v>0</v>
      </c>
      <c r="G103" s="146">
        <f>G102*'Assumptions-ResCondo'!$I$18*(SUMPRODUCT('Assumptions-ResCondo'!$L$8:$L$11,'CashFlow-ResCondo'!$N83:$N86)+SUMPRODUCT('CashFlow-ResCondo'!$N89:$N92,'Assumptions-ResCondo'!$Q$8:$Q$11))*((1+'Assumptions-Overall'!$C$34)^('CashFlow-ResCondo'!G$7-1))</f>
        <v>0</v>
      </c>
      <c r="H103" s="146">
        <f>H102*'Assumptions-ResCondo'!$I$18*(SUMPRODUCT('Assumptions-ResCondo'!$L$8:$L$11,'CashFlow-ResCondo'!$N83:$N86)+SUMPRODUCT('CashFlow-ResCondo'!$N89:$N92,'Assumptions-ResCondo'!$Q$8:$Q$11))*((1+'Assumptions-Overall'!$C$34)^('CashFlow-ResCondo'!H$7-1))</f>
        <v>0</v>
      </c>
      <c r="I103" s="146">
        <f>I102*'Assumptions-ResCondo'!$I$18*(SUMPRODUCT('Assumptions-ResCondo'!$L$8:$L$11,'CashFlow-ResCondo'!$N83:$N86)+SUMPRODUCT('CashFlow-ResCondo'!$N89:$N92,'Assumptions-ResCondo'!$Q$8:$Q$11))*((1+'Assumptions-Overall'!$C$34)^('CashFlow-ResCondo'!I$7-1))</f>
        <v>129889.05661983365</v>
      </c>
      <c r="J103" s="146">
        <f>J102*'Assumptions-ResCondo'!$I$18*(SUMPRODUCT('Assumptions-ResCondo'!$L$8:$L$11,'CashFlow-ResCondo'!$N83:$N86)+SUMPRODUCT('CashFlow-ResCondo'!$N89:$N92,'Assumptions-ResCondo'!$Q$8:$Q$11))*((1+'Assumptions-Overall'!$C$34)^('CashFlow-ResCondo'!J$7-1))</f>
        <v>133785.72831842868</v>
      </c>
      <c r="K103" s="146">
        <f>K102*'Assumptions-ResCondo'!$I$18*(SUMPRODUCT('Assumptions-ResCondo'!$L$8:$L$11,'CashFlow-ResCondo'!$N83:$N86)+SUMPRODUCT('CashFlow-ResCondo'!$N89:$N92,'Assumptions-ResCondo'!$Q$8:$Q$11))*((1+'Assumptions-Overall'!$C$34)^('CashFlow-ResCondo'!K$7-1))</f>
        <v>1929190.202351741</v>
      </c>
      <c r="L103" s="146">
        <f>L102*'Assumptions-ResCondo'!$I$18*(SUMPRODUCT('Assumptions-ResCondo'!$L$8:$L$11,'CashFlow-ResCondo'!$N83:$N86)+SUMPRODUCT('CashFlow-ResCondo'!$N89:$N92,'Assumptions-ResCondo'!$Q$8:$Q$11))*((1+'Assumptions-Overall'!$C$34)^('CashFlow-ResCondo'!L$7-1))</f>
        <v>2554799.0251143775</v>
      </c>
      <c r="M103" s="146">
        <f>M102*'Assumptions-ResCondo'!$I$18*(SUMPRODUCT('Assumptions-ResCondo'!$L$8:$L$11,'CashFlow-ResCondo'!$N83:$N86)+SUMPRODUCT('CashFlow-ResCondo'!$N89:$N92,'Assumptions-ResCondo'!$Q$8:$Q$11))*((1+'Assumptions-Overall'!$C$34)^('CashFlow-ResCondo'!M$7-1))</f>
        <v>0</v>
      </c>
      <c r="N103" s="151"/>
    </row>
    <row r="104" spans="2:14" x14ac:dyDescent="0.65">
      <c r="B104" s="3" t="s">
        <v>225</v>
      </c>
      <c r="C104" s="8"/>
      <c r="D104" s="146">
        <f>(D$8=YEAR(PhaseIIIComplete))*SUM($D103:$M103)/'Assumptions-ResCondo'!$I$18*(1-'Assumptions-ResCondo'!$I$18)</f>
        <v>0</v>
      </c>
      <c r="E104" s="146">
        <f>(E$8=YEAR(PhaseIIIComplete))*SUM($D103:$M103)/'Assumptions-ResCondo'!$I$18*(1-'Assumptions-ResCondo'!$I$18)</f>
        <v>0</v>
      </c>
      <c r="F104" s="146">
        <f>(F$8=YEAR(PhaseIIIComplete))*SUM($D103:$M103)/'Assumptions-ResCondo'!$I$18*(1-'Assumptions-ResCondo'!$I$18)</f>
        <v>0</v>
      </c>
      <c r="G104" s="146">
        <f>(G$8=YEAR(PhaseIIIComplete))*SUM($D103:$M103)/'Assumptions-ResCondo'!$I$18*(1-'Assumptions-ResCondo'!$I$18)</f>
        <v>0</v>
      </c>
      <c r="H104" s="146">
        <f>(H$8=YEAR(PhaseIIIComplete))*SUM($D103:$M103)/'Assumptions-ResCondo'!$I$18*(1-'Assumptions-ResCondo'!$I$18)</f>
        <v>0</v>
      </c>
      <c r="I104" s="146">
        <f>(I$8=YEAR(PhaseIIIComplete))*SUM($D103:$M103)/'Assumptions-ResCondo'!$I$18*(1-'Assumptions-ResCondo'!$I$18)</f>
        <v>0</v>
      </c>
      <c r="J104" s="146">
        <f>(J$8=YEAR(PhaseIIIComplete))*SUM($D103:$M103)/'Assumptions-ResCondo'!$I$18*(1-'Assumptions-ResCondo'!$I$18)</f>
        <v>0</v>
      </c>
      <c r="K104" s="146">
        <f>(K$8=YEAR(PhaseIIIComplete))*SUM($D103:$M103)/'Assumptions-ResCondo'!$I$18*(1-'Assumptions-ResCondo'!$I$18)</f>
        <v>0</v>
      </c>
      <c r="L104" s="146">
        <f>(L$8=YEAR(PhaseIIIComplete))*SUM($D103:$M103)/'Assumptions-ResCondo'!$I$18*(1-'Assumptions-ResCondo'!$I$18)</f>
        <v>0</v>
      </c>
      <c r="M104" s="146">
        <f>(M$8=YEAR(PhaseIIIComplete))*SUM($D103:$M103)/'Assumptions-ResCondo'!$I$18*(1-'Assumptions-ResCondo'!$I$18)</f>
        <v>18990656.049617521</v>
      </c>
      <c r="N104" s="151"/>
    </row>
    <row r="105" spans="2:14" x14ac:dyDescent="0.65">
      <c r="B105" s="3" t="s">
        <v>216</v>
      </c>
      <c r="C105" s="8"/>
      <c r="D105" s="144">
        <f>-SUM(D103:D104)*'Assumptions-ResCondo'!$I$20</f>
        <v>0</v>
      </c>
      <c r="E105" s="144">
        <f>-SUM(E103:E104)*'Assumptions-ResCondo'!$I$20</f>
        <v>0</v>
      </c>
      <c r="F105" s="144">
        <f>-SUM(F103:F104)*'Assumptions-ResCondo'!$I$20</f>
        <v>0</v>
      </c>
      <c r="G105" s="144">
        <f>-SUM(G103:G104)*'Assumptions-ResCondo'!$I$20</f>
        <v>0</v>
      </c>
      <c r="H105" s="144">
        <f>-SUM(H103:H104)*'Assumptions-ResCondo'!$I$20</f>
        <v>0</v>
      </c>
      <c r="I105" s="144">
        <f>-SUM(I103:I104)*'Assumptions-ResCondo'!$I$20</f>
        <v>-3896.6716985950093</v>
      </c>
      <c r="J105" s="144">
        <f>-SUM(J103:J104)*'Assumptions-ResCondo'!$I$20</f>
        <v>-4013.5718495528604</v>
      </c>
      <c r="K105" s="144">
        <f>-SUM(K103:K104)*'Assumptions-ResCondo'!$I$20</f>
        <v>-57875.706070552231</v>
      </c>
      <c r="L105" s="144">
        <f>-SUM(L103:L104)*'Assumptions-ResCondo'!$I$20</f>
        <v>-76643.97075343132</v>
      </c>
      <c r="M105" s="144">
        <f>-SUM(M103:M104)*'Assumptions-ResCondo'!$I$20</f>
        <v>-569719.68148852559</v>
      </c>
      <c r="N105" s="151"/>
    </row>
    <row r="106" spans="2:14" x14ac:dyDescent="0.65">
      <c r="B106" s="3" t="s">
        <v>220</v>
      </c>
      <c r="C106" s="8"/>
      <c r="D106" s="146">
        <f t="shared" ref="D106:M106" si="45">SUM(D103:D105)</f>
        <v>0</v>
      </c>
      <c r="E106" s="146">
        <f t="shared" si="45"/>
        <v>0</v>
      </c>
      <c r="F106" s="146">
        <f t="shared" si="45"/>
        <v>0</v>
      </c>
      <c r="G106" s="146">
        <f t="shared" si="45"/>
        <v>0</v>
      </c>
      <c r="H106" s="146">
        <f t="shared" si="45"/>
        <v>0</v>
      </c>
      <c r="I106" s="146">
        <f t="shared" si="45"/>
        <v>125992.38492123864</v>
      </c>
      <c r="J106" s="146">
        <f t="shared" si="45"/>
        <v>129772.15646887582</v>
      </c>
      <c r="K106" s="146">
        <f t="shared" si="45"/>
        <v>1871314.4962811889</v>
      </c>
      <c r="L106" s="146">
        <f t="shared" si="45"/>
        <v>2478155.0543609462</v>
      </c>
      <c r="M106" s="146">
        <f t="shared" si="45"/>
        <v>18420936.368128996</v>
      </c>
      <c r="N106" s="151"/>
    </row>
    <row r="107" spans="2:14" x14ac:dyDescent="0.65">
      <c r="B107" s="3"/>
      <c r="C107" s="8"/>
      <c r="D107" s="146"/>
      <c r="E107" s="146"/>
      <c r="F107" s="146"/>
      <c r="G107" s="146"/>
      <c r="H107" s="146"/>
      <c r="I107" s="146"/>
      <c r="J107" s="146"/>
      <c r="K107" s="146"/>
      <c r="L107" s="146"/>
      <c r="M107" s="146"/>
      <c r="N107" s="151"/>
    </row>
    <row r="108" spans="2:14" x14ac:dyDescent="0.65">
      <c r="B108" s="3" t="s">
        <v>214</v>
      </c>
      <c r="C108" s="8"/>
      <c r="D108" s="146">
        <f t="shared" ref="D108:M108" si="46">D99+D106</f>
        <v>0</v>
      </c>
      <c r="E108" s="146">
        <f t="shared" si="46"/>
        <v>0</v>
      </c>
      <c r="F108" s="146">
        <f t="shared" si="46"/>
        <v>0</v>
      </c>
      <c r="G108" s="146">
        <f t="shared" si="46"/>
        <v>0</v>
      </c>
      <c r="H108" s="146">
        <f t="shared" si="46"/>
        <v>0</v>
      </c>
      <c r="I108" s="146">
        <f t="shared" si="46"/>
        <v>-514286.91013606463</v>
      </c>
      <c r="J108" s="146">
        <f t="shared" si="46"/>
        <v>-510507.13858842745</v>
      </c>
      <c r="K108" s="146">
        <f t="shared" si="46"/>
        <v>-6654177.7920926595</v>
      </c>
      <c r="L108" s="146">
        <f t="shared" si="46"/>
        <v>-6283893.6238123979</v>
      </c>
      <c r="M108" s="146">
        <f t="shared" si="46"/>
        <v>18420936.368128996</v>
      </c>
      <c r="N108" s="151"/>
    </row>
    <row r="109" spans="2:14" x14ac:dyDescent="0.65">
      <c r="B109" s="3" t="s">
        <v>218</v>
      </c>
      <c r="C109" s="158">
        <f>IFERROR(IRR(D108:M108),"n/a")</f>
        <v>0.17653253015076475</v>
      </c>
      <c r="D109" s="146"/>
      <c r="E109" s="146"/>
      <c r="F109" s="146"/>
      <c r="G109" s="146"/>
      <c r="H109" s="146"/>
      <c r="I109" s="146"/>
      <c r="J109" s="146"/>
      <c r="K109" s="146"/>
      <c r="L109" s="146"/>
      <c r="M109" s="146"/>
      <c r="N109" s="151"/>
    </row>
    <row r="110" spans="2:14" ht="13" thickBot="1" x14ac:dyDescent="0.8">
      <c r="B110" s="5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1"/>
    </row>
    <row r="112" spans="2:14" x14ac:dyDescent="0.65">
      <c r="B112" s="769" t="s">
        <v>278</v>
      </c>
      <c r="C112" s="769"/>
      <c r="D112" s="770">
        <f>D108+D74+D40</f>
        <v>-2459035.1729953191</v>
      </c>
      <c r="E112" s="770">
        <f t="shared" ref="E112:M112" si="47">E108+E74+E40</f>
        <v>-4219221.2501947563</v>
      </c>
      <c r="F112" s="770">
        <f>F108+F74+F40</f>
        <v>-56475531.019182712</v>
      </c>
      <c r="G112" s="770">
        <f t="shared" si="47"/>
        <v>9722372.2586429864</v>
      </c>
      <c r="H112" s="770">
        <f t="shared" si="47"/>
        <v>93576587.074472979</v>
      </c>
      <c r="I112" s="770">
        <f t="shared" si="47"/>
        <v>7008016.4127351874</v>
      </c>
      <c r="J112" s="770">
        <f t="shared" si="47"/>
        <v>-510507.13858842745</v>
      </c>
      <c r="K112" s="770">
        <f>K108+K74+K40</f>
        <v>-6654177.7920926595</v>
      </c>
      <c r="L112" s="770">
        <f t="shared" si="47"/>
        <v>-6283893.6238123979</v>
      </c>
      <c r="M112" s="770">
        <f t="shared" si="47"/>
        <v>18420936.368128996</v>
      </c>
    </row>
    <row r="113" spans="2:13" x14ac:dyDescent="0.65">
      <c r="B113" s="769" t="s">
        <v>279</v>
      </c>
      <c r="C113" s="772">
        <f>IRR(D112:M112)</f>
        <v>0.29629440134898699</v>
      </c>
      <c r="D113" s="769"/>
      <c r="E113" s="769"/>
      <c r="F113" s="769"/>
      <c r="G113" s="769"/>
      <c r="H113" s="769"/>
      <c r="I113" s="769"/>
      <c r="J113" s="769"/>
      <c r="K113" s="769"/>
      <c r="L113" s="769"/>
      <c r="M113" s="769"/>
    </row>
    <row r="115" spans="2:13" x14ac:dyDescent="0.65">
      <c r="D115" s="447"/>
      <c r="E115" s="447"/>
      <c r="F115" s="447"/>
      <c r="G115" s="447"/>
      <c r="H115" s="447"/>
      <c r="I115" s="447"/>
      <c r="J115" s="447"/>
      <c r="K115" s="447"/>
      <c r="L115" s="447"/>
      <c r="M115" s="447"/>
    </row>
    <row r="116" spans="2:13" x14ac:dyDescent="0.65">
      <c r="C116" s="451"/>
    </row>
  </sheetData>
  <mergeCells count="2">
    <mergeCell ref="B2:C2"/>
    <mergeCell ref="B6:N6"/>
  </mergeCells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22</vt:i4>
      </vt:variant>
    </vt:vector>
  </HeadingPairs>
  <TitlesOfParts>
    <vt:vector size="42" baseType="lpstr">
      <vt:lpstr>SummarySheet1</vt:lpstr>
      <vt:lpstr>SummarySheet2</vt:lpstr>
      <vt:lpstr>CashFlow-Combined</vt:lpstr>
      <vt:lpstr>BuildingSummary</vt:lpstr>
      <vt:lpstr>Assumptions-Overall</vt:lpstr>
      <vt:lpstr>Assumptions-ResRental</vt:lpstr>
      <vt:lpstr>CashFlow-ResRental</vt:lpstr>
      <vt:lpstr>Assumptions-ResCondo</vt:lpstr>
      <vt:lpstr>CashFlow-ResCondo</vt:lpstr>
      <vt:lpstr>Assumptions-Retail</vt:lpstr>
      <vt:lpstr>CashFlow-Retail</vt:lpstr>
      <vt:lpstr>Assumptions-Office</vt:lpstr>
      <vt:lpstr>CashFlow-Office</vt:lpstr>
      <vt:lpstr>Assumptions-Hotel</vt:lpstr>
      <vt:lpstr>CashFlow-Hotel</vt:lpstr>
      <vt:lpstr>Assumptions-Parking</vt:lpstr>
      <vt:lpstr>CashFlow-Parking</vt:lpstr>
      <vt:lpstr>Assumptions-Land&amp;Infrastructure</vt:lpstr>
      <vt:lpstr>CashFlow-Infrastructure</vt:lpstr>
      <vt:lpstr>Assumptions-Cable Car</vt:lpstr>
      <vt:lpstr>LandPhaseI</vt:lpstr>
      <vt:lpstr>LandPhaseII</vt:lpstr>
      <vt:lpstr>LandPhaseIII</vt:lpstr>
      <vt:lpstr>LandSF</vt:lpstr>
      <vt:lpstr>PhaseIComplete</vt:lpstr>
      <vt:lpstr>PhaseIConBegin</vt:lpstr>
      <vt:lpstr>PhaseIConEnd</vt:lpstr>
      <vt:lpstr>PhaseIIComplete</vt:lpstr>
      <vt:lpstr>PhaseIIConBegin</vt:lpstr>
      <vt:lpstr>PhaseIIConEnd</vt:lpstr>
      <vt:lpstr>PhaseIIIComplete</vt:lpstr>
      <vt:lpstr>PhaseIIIConBegin</vt:lpstr>
      <vt:lpstr>PhaseIIIConEnd</vt:lpstr>
      <vt:lpstr>PhaseIIIPreconBegin</vt:lpstr>
      <vt:lpstr>PhaseIIIRefi</vt:lpstr>
      <vt:lpstr>PhaseIIPreconBegin</vt:lpstr>
      <vt:lpstr>PhaseIIRefi</vt:lpstr>
      <vt:lpstr>PhaseIPreconBegin</vt:lpstr>
      <vt:lpstr>PhaseIRefi</vt:lpstr>
      <vt:lpstr>SummarySheet1!Print_Area</vt:lpstr>
      <vt:lpstr>ProjectName</vt:lpstr>
      <vt:lpstr>TeamNumber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Jessica K</dc:creator>
  <cp:lastModifiedBy>Lorena Knezevic</cp:lastModifiedBy>
  <cp:lastPrinted>2019-01-28T16:06:24Z</cp:lastPrinted>
  <dcterms:created xsi:type="dcterms:W3CDTF">2018-01-24T23:14:53Z</dcterms:created>
  <dcterms:modified xsi:type="dcterms:W3CDTF">2019-01-29T00:05:10Z</dcterms:modified>
</cp:coreProperties>
</file>