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1 ULI Competition\Finance\Final Document\"/>
    </mc:Choice>
  </mc:AlternateContent>
  <xr:revisionPtr revIDLastSave="0" documentId="13_ncr:1_{6B03ABA1-5561-46EA-8883-191982A3C5A6}" xr6:coauthVersionLast="40" xr6:coauthVersionMax="40" xr10:uidLastSave="{00000000-0000-0000-0000-000000000000}"/>
  <bookViews>
    <workbookView xWindow="0" yWindow="0" windowWidth="23040" windowHeight="8988" tabRatio="909" firstSheet="1" activeTab="1" xr2:uid="{00000000-000D-0000-FFFF-FFFF00000000}"/>
  </bookViews>
  <sheets>
    <sheet name="ULI Hines Summary Board" sheetId="48" state="hidden" r:id="rId1"/>
    <sheet name="Summary Board" sheetId="28" r:id="rId2"/>
    <sheet name="Budget" sheetId="38" r:id="rId3"/>
    <sheet name="Financing" sheetId="37" r:id="rId4"/>
    <sheet name="1.Infrastructure Costs" sheetId="15" r:id="rId5"/>
    <sheet name="2.Market-Rate Rental Housing" sheetId="14" r:id="rId6"/>
    <sheet name="3.Market-Rate For-Sale Housing" sheetId="19" r:id="rId7"/>
    <sheet name="4.Affordable Rental Housing" sheetId="26" r:id="rId8"/>
    <sheet name="5.Affordable For-Sale Housing " sheetId="47" r:id="rId9"/>
    <sheet name="6.Office" sheetId="20" r:id="rId10"/>
    <sheet name="7.Industrial (Brewery)" sheetId="46" r:id="rId11"/>
    <sheet name="8.Market-Rate Retail" sheetId="22" r:id="rId12"/>
    <sheet name="9.Hotel" sheetId="23" r:id="rId13"/>
    <sheet name="10.Structured Parking" sheetId="18" r:id="rId14"/>
    <sheet name="11. Solar Energy" sheetId="52" r:id="rId15"/>
    <sheet name="Development Schedule" sheetId="29" r:id="rId16"/>
    <sheet name="Land Acquisition" sheetId="36" r:id="rId17"/>
    <sheet name="Land Values" sheetId="34" r:id="rId18"/>
    <sheet name="Reference Map" sheetId="51" r:id="rId19"/>
    <sheet name="Development Costs" sheetId="31" state="hidden" r:id="rId20"/>
  </sheets>
  <definedNames>
    <definedName name="_xlnm.Print_Area" localSheetId="4">'1.Infrastructure Costs'!$A$1:$N$36</definedName>
    <definedName name="_xlnm.Print_Area" localSheetId="13">'10.Structured Parking'!$A$1:$M$75</definedName>
    <definedName name="_xlnm.Print_Area" localSheetId="5">'2.Market-Rate Rental Housing'!$A$1:$M$88</definedName>
    <definedName name="_xlnm.Print_Area" localSheetId="6">'3.Market-Rate For-Sale Housing'!$A$1:$M$50</definedName>
    <definedName name="_xlnm.Print_Area" localSheetId="7">'4.Affordable Rental Housing'!$A$1:$M$53</definedName>
    <definedName name="_xlnm.Print_Area" localSheetId="8">'5.Affordable For-Sale Housing '!$A$1:$M$41</definedName>
    <definedName name="_xlnm.Print_Area" localSheetId="9">'6.Office'!$A$1:$M$55</definedName>
    <definedName name="_xlnm.Print_Area" localSheetId="10">'7.Industrial (Brewery)'!$A$1:$M$45</definedName>
    <definedName name="_xlnm.Print_Area" localSheetId="11">'8.Market-Rate Retail'!$A$1:$M$117</definedName>
    <definedName name="_xlnm.Print_Area" localSheetId="19">'Development Costs'!$A$1:$E$43</definedName>
    <definedName name="_xlnm.Print_Area" localSheetId="15">'Development Schedule'!$A$1:$N$104</definedName>
    <definedName name="_xlnm.Print_Area" localSheetId="3">Financing!$A$1:$M$40</definedName>
    <definedName name="_xlnm.Print_Area" localSheetId="16">'Land Acquisition'!$A$1:$H$23</definedName>
    <definedName name="_xlnm.Print_Area" localSheetId="17">'Land Values'!$A$1:$G$51</definedName>
    <definedName name="_xlnm.Print_Area" localSheetId="0">'ULI Hines Summary Board'!$A$1:$N$141</definedName>
    <definedName name="_xlnm.Print_Titles" localSheetId="13">'10.Structured Parking'!$1:$5</definedName>
    <definedName name="_xlnm.Print_Titles" localSheetId="5">'2.Market-Rate Rental Housing'!$1:$5</definedName>
    <definedName name="_xlnm.Print_Titles" localSheetId="7">'4.Affordable Rental Housing'!$1:$5</definedName>
    <definedName name="_xlnm.Print_Titles" localSheetId="11">'8.Market-Rate Retail'!$1:$5</definedName>
    <definedName name="_xlnm.Print_Titles" localSheetId="15">'Development Schedule'!$1:$4</definedName>
    <definedName name="_xlnm.Print_Titles" localSheetId="17">'Land Values'!$1:$4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5" i="28" l="1"/>
  <c r="M83" i="28"/>
  <c r="M82" i="28" l="1"/>
  <c r="M81" i="28"/>
  <c r="M79" i="28"/>
  <c r="M78" i="28"/>
  <c r="M76" i="28"/>
  <c r="C22" i="38"/>
  <c r="M85" i="28" s="1"/>
  <c r="E20" i="15" l="1"/>
  <c r="C12" i="52"/>
  <c r="D38" i="52" s="1"/>
  <c r="B17" i="47"/>
  <c r="E106" i="28"/>
  <c r="F106" i="28" s="1"/>
  <c r="C20" i="52" s="1"/>
  <c r="D106" i="28"/>
  <c r="D27" i="52"/>
  <c r="E27" i="52" s="1"/>
  <c r="F27" i="52" s="1"/>
  <c r="G27" i="52" s="1"/>
  <c r="H27" i="52" s="1"/>
  <c r="I27" i="52" s="1"/>
  <c r="J27" i="52" s="1"/>
  <c r="K27" i="52" s="1"/>
  <c r="L27" i="52" s="1"/>
  <c r="B27" i="52"/>
  <c r="E5" i="52"/>
  <c r="F5" i="52" s="1"/>
  <c r="G5" i="52" s="1"/>
  <c r="H5" i="52" s="1"/>
  <c r="I5" i="52" s="1"/>
  <c r="J5" i="52" s="1"/>
  <c r="K5" i="52" s="1"/>
  <c r="L5" i="52" s="1"/>
  <c r="M5" i="52" s="1"/>
  <c r="D4" i="52"/>
  <c r="E4" i="52" s="1"/>
  <c r="F4" i="52" s="1"/>
  <c r="G4" i="52" s="1"/>
  <c r="H4" i="52" s="1"/>
  <c r="I4" i="52" s="1"/>
  <c r="J4" i="52" s="1"/>
  <c r="K4" i="52" s="1"/>
  <c r="L4" i="52" s="1"/>
  <c r="M4" i="52" s="1"/>
  <c r="J12" i="52" l="1"/>
  <c r="D12" i="52"/>
  <c r="H12" i="52"/>
  <c r="L12" i="52"/>
  <c r="K12" i="52"/>
  <c r="E12" i="52"/>
  <c r="I12" i="52"/>
  <c r="M12" i="52"/>
  <c r="G12" i="52"/>
  <c r="F12" i="52"/>
  <c r="D27" i="28" l="1"/>
  <c r="E53" i="28"/>
  <c r="F53" i="28"/>
  <c r="G53" i="28"/>
  <c r="H53" i="28"/>
  <c r="I53" i="28"/>
  <c r="K53" i="28"/>
  <c r="L53" i="28"/>
  <c r="M53" i="28"/>
  <c r="N53" i="28"/>
  <c r="D53" i="28"/>
  <c r="G52" i="28"/>
  <c r="H52" i="28"/>
  <c r="J52" i="28"/>
  <c r="K52" i="28"/>
  <c r="L52" i="28"/>
  <c r="M52" i="28"/>
  <c r="N52" i="28"/>
  <c r="D52" i="28"/>
  <c r="H51" i="28"/>
  <c r="D51" i="28"/>
  <c r="D29" i="28" l="1"/>
  <c r="C12" i="46" l="1"/>
  <c r="C12" i="20"/>
  <c r="D51" i="20" s="1"/>
  <c r="F20" i="36"/>
  <c r="D67" i="18"/>
  <c r="D66" i="18"/>
  <c r="D65" i="18"/>
  <c r="C66" i="28" s="1"/>
  <c r="C9" i="29"/>
  <c r="C10" i="29"/>
  <c r="L55" i="14"/>
  <c r="K55" i="14"/>
  <c r="J55" i="14"/>
  <c r="I49" i="14"/>
  <c r="J49" i="14" s="1"/>
  <c r="K39" i="14"/>
  <c r="L39" i="14" s="1"/>
  <c r="J39" i="14"/>
  <c r="I29" i="14"/>
  <c r="J29" i="14" s="1"/>
  <c r="F29" i="14"/>
  <c r="D29" i="14"/>
  <c r="H19" i="14"/>
  <c r="I19" i="14" s="1"/>
  <c r="J19" i="14" s="1"/>
  <c r="K19" i="14" s="1"/>
  <c r="L19" i="14" s="1"/>
  <c r="M19" i="14" s="1"/>
  <c r="D85" i="14"/>
  <c r="C14" i="19"/>
  <c r="D50" i="26"/>
  <c r="K49" i="14" l="1"/>
  <c r="M39" i="14"/>
  <c r="K29" i="14"/>
  <c r="D52" i="20"/>
  <c r="C21" i="20"/>
  <c r="F11" i="20"/>
  <c r="F20" i="20" s="1"/>
  <c r="G20" i="20" s="1"/>
  <c r="H20" i="20" s="1"/>
  <c r="I20" i="20" s="1"/>
  <c r="J20" i="20" s="1"/>
  <c r="K20" i="20" s="1"/>
  <c r="L20" i="20" s="1"/>
  <c r="M20" i="20" s="1"/>
  <c r="E10" i="46"/>
  <c r="D42" i="46"/>
  <c r="I74" i="29"/>
  <c r="I68" i="29"/>
  <c r="H43" i="29"/>
  <c r="C75" i="22"/>
  <c r="C57" i="22"/>
  <c r="C48" i="22"/>
  <c r="D56" i="22"/>
  <c r="E56" i="22" s="1"/>
  <c r="C55" i="22"/>
  <c r="D54" i="22"/>
  <c r="D55" i="22" s="1"/>
  <c r="C108" i="22"/>
  <c r="D108" i="22" s="1"/>
  <c r="C107" i="22"/>
  <c r="D107" i="22" s="1"/>
  <c r="C105" i="22"/>
  <c r="K27" i="22" s="1"/>
  <c r="K28" i="22" s="1"/>
  <c r="C30" i="22"/>
  <c r="C21" i="22"/>
  <c r="C12" i="22"/>
  <c r="D113" i="22" s="1"/>
  <c r="D92" i="29"/>
  <c r="F92" i="29"/>
  <c r="G92" i="29"/>
  <c r="H92" i="29"/>
  <c r="I92" i="29"/>
  <c r="J92" i="29"/>
  <c r="K92" i="29"/>
  <c r="L92" i="29"/>
  <c r="M92" i="29"/>
  <c r="N92" i="29"/>
  <c r="D91" i="29"/>
  <c r="E91" i="29"/>
  <c r="H91" i="29"/>
  <c r="J91" i="29"/>
  <c r="K91" i="29"/>
  <c r="L91" i="29"/>
  <c r="M91" i="29"/>
  <c r="N91" i="29"/>
  <c r="D90" i="29"/>
  <c r="F90" i="29"/>
  <c r="G90" i="29"/>
  <c r="J90" i="29"/>
  <c r="K90" i="29"/>
  <c r="L90" i="29"/>
  <c r="M90" i="29"/>
  <c r="N90" i="29"/>
  <c r="C92" i="29"/>
  <c r="C28" i="22"/>
  <c r="D36" i="22"/>
  <c r="D37" i="22" s="1"/>
  <c r="C37" i="22"/>
  <c r="D38" i="22"/>
  <c r="G38" i="22"/>
  <c r="H38" i="22" s="1"/>
  <c r="I38" i="22" s="1"/>
  <c r="J38" i="22" s="1"/>
  <c r="K38" i="22" s="1"/>
  <c r="L38" i="22" s="1"/>
  <c r="M38" i="22" s="1"/>
  <c r="C39" i="22"/>
  <c r="G20" i="22"/>
  <c r="H20" i="22" s="1"/>
  <c r="I20" i="22" s="1"/>
  <c r="J20" i="22" s="1"/>
  <c r="K20" i="22" s="1"/>
  <c r="L20" i="22" s="1"/>
  <c r="M20" i="22" s="1"/>
  <c r="C19" i="22"/>
  <c r="D18" i="22"/>
  <c r="D19" i="22" s="1"/>
  <c r="D114" i="22"/>
  <c r="C110" i="22"/>
  <c r="H72" i="22" s="1"/>
  <c r="D36" i="23"/>
  <c r="F9" i="23"/>
  <c r="C11" i="23"/>
  <c r="C104" i="28"/>
  <c r="D46" i="18"/>
  <c r="D45" i="18"/>
  <c r="D44" i="18"/>
  <c r="C46" i="18"/>
  <c r="C45" i="18"/>
  <c r="C44" i="18"/>
  <c r="E27" i="18"/>
  <c r="D27" i="18"/>
  <c r="F28" i="18"/>
  <c r="E10" i="18"/>
  <c r="E27" i="22" l="1"/>
  <c r="E28" i="22" s="1"/>
  <c r="I27" i="22"/>
  <c r="I28" i="22" s="1"/>
  <c r="D105" i="22"/>
  <c r="J27" i="22"/>
  <c r="J28" i="22" s="1"/>
  <c r="D104" i="28"/>
  <c r="F104" i="28" s="1"/>
  <c r="C49" i="18" s="1"/>
  <c r="E104" i="28"/>
  <c r="L49" i="14"/>
  <c r="L29" i="14"/>
  <c r="E54" i="22"/>
  <c r="E55" i="22" s="1"/>
  <c r="F27" i="22"/>
  <c r="F28" i="22" s="1"/>
  <c r="M27" i="22"/>
  <c r="M28" i="22" s="1"/>
  <c r="F54" i="22"/>
  <c r="G54" i="22" s="1"/>
  <c r="H54" i="22" s="1"/>
  <c r="G27" i="22"/>
  <c r="G28" i="22" s="1"/>
  <c r="L27" i="22"/>
  <c r="L28" i="22" s="1"/>
  <c r="D27" i="22"/>
  <c r="D28" i="22" s="1"/>
  <c r="H27" i="22"/>
  <c r="H28" i="22" s="1"/>
  <c r="G45" i="22"/>
  <c r="H45" i="22" s="1"/>
  <c r="C58" i="22"/>
  <c r="C60" i="22"/>
  <c r="C59" i="22"/>
  <c r="C31" i="22"/>
  <c r="C40" i="22"/>
  <c r="C22" i="22"/>
  <c r="M49" i="14" l="1"/>
  <c r="M29" i="14"/>
  <c r="I54" i="22"/>
  <c r="H55" i="22"/>
  <c r="F55" i="22"/>
  <c r="G55" i="22"/>
  <c r="I55" i="22" l="1"/>
  <c r="J54" i="22"/>
  <c r="K54" i="22" l="1"/>
  <c r="J55" i="22"/>
  <c r="L54" i="22" l="1"/>
  <c r="K55" i="22"/>
  <c r="M54" i="22" l="1"/>
  <c r="M55" i="22" s="1"/>
  <c r="L55" i="22"/>
  <c r="C20" i="18" l="1"/>
  <c r="C11" i="18"/>
  <c r="G59" i="29"/>
  <c r="D103" i="29"/>
  <c r="E103" i="29"/>
  <c r="F103" i="29"/>
  <c r="F66" i="28" s="1"/>
  <c r="H103" i="29"/>
  <c r="H66" i="28" s="1"/>
  <c r="I103" i="29"/>
  <c r="I66" i="28" s="1"/>
  <c r="J103" i="29"/>
  <c r="J66" i="28" s="1"/>
  <c r="K103" i="29"/>
  <c r="K66" i="28" s="1"/>
  <c r="L103" i="29"/>
  <c r="L66" i="28" s="1"/>
  <c r="M103" i="29"/>
  <c r="M66" i="28" s="1"/>
  <c r="N103" i="29"/>
  <c r="N66" i="28" s="1"/>
  <c r="G51" i="29"/>
  <c r="G103" i="29" s="1"/>
  <c r="E10" i="29"/>
  <c r="C103" i="29"/>
  <c r="D68" i="18"/>
  <c r="E98" i="28"/>
  <c r="D98" i="28"/>
  <c r="C105" i="28"/>
  <c r="E105" i="28" s="1"/>
  <c r="C103" i="28"/>
  <c r="C102" i="28"/>
  <c r="D102" i="28" s="1"/>
  <c r="C101" i="28"/>
  <c r="E101" i="28" s="1"/>
  <c r="C100" i="28"/>
  <c r="E100" i="28" s="1"/>
  <c r="D99" i="28"/>
  <c r="G66" i="28" l="1"/>
  <c r="E66" i="28"/>
  <c r="D66" i="28"/>
  <c r="D55" i="28" s="1"/>
  <c r="C51" i="18"/>
  <c r="D103" i="28"/>
  <c r="C17" i="23"/>
  <c r="D101" i="28"/>
  <c r="D105" i="28"/>
  <c r="D100" i="28"/>
  <c r="E102" i="28"/>
  <c r="E99" i="28"/>
  <c r="E103" i="28"/>
  <c r="D89" i="29"/>
  <c r="C8" i="23" s="1"/>
  <c r="E89" i="29"/>
  <c r="D8" i="23" s="1"/>
  <c r="E54" i="28" s="1"/>
  <c r="F89" i="29"/>
  <c r="E8" i="23" s="1"/>
  <c r="F54" i="28" s="1"/>
  <c r="I89" i="29"/>
  <c r="H8" i="23" s="1"/>
  <c r="I54" i="28" s="1"/>
  <c r="J89" i="29"/>
  <c r="I8" i="23" s="1"/>
  <c r="J54" i="28" s="1"/>
  <c r="K89" i="29"/>
  <c r="J8" i="23" s="1"/>
  <c r="K54" i="28" s="1"/>
  <c r="L89" i="29"/>
  <c r="K8" i="23" s="1"/>
  <c r="L54" i="28" s="1"/>
  <c r="M89" i="29"/>
  <c r="L8" i="23" s="1"/>
  <c r="M54" i="28" s="1"/>
  <c r="N89" i="29"/>
  <c r="M8" i="23" s="1"/>
  <c r="N54" i="28" s="1"/>
  <c r="D93" i="29"/>
  <c r="G93" i="29"/>
  <c r="J93" i="29"/>
  <c r="K93" i="29"/>
  <c r="L93" i="29"/>
  <c r="M93" i="29"/>
  <c r="N93" i="29"/>
  <c r="D94" i="29"/>
  <c r="F94" i="29"/>
  <c r="E9" i="26" s="1"/>
  <c r="G94" i="29"/>
  <c r="H94" i="29"/>
  <c r="J94" i="29"/>
  <c r="K94" i="29"/>
  <c r="L94" i="29"/>
  <c r="M94" i="29"/>
  <c r="N94" i="29"/>
  <c r="D95" i="29"/>
  <c r="E95" i="29"/>
  <c r="F95" i="29"/>
  <c r="G95" i="29"/>
  <c r="H95" i="29"/>
  <c r="K95" i="29"/>
  <c r="L95" i="29"/>
  <c r="M95" i="29"/>
  <c r="N95" i="29"/>
  <c r="D96" i="29"/>
  <c r="E96" i="29"/>
  <c r="F96" i="29"/>
  <c r="G96" i="29"/>
  <c r="H96" i="29"/>
  <c r="I96" i="29"/>
  <c r="K96" i="29"/>
  <c r="L96" i="29"/>
  <c r="M96" i="29"/>
  <c r="N96" i="29"/>
  <c r="D97" i="29"/>
  <c r="E97" i="29"/>
  <c r="F97" i="29"/>
  <c r="I97" i="29"/>
  <c r="J97" i="29"/>
  <c r="K97" i="29"/>
  <c r="L97" i="29"/>
  <c r="M97" i="29"/>
  <c r="N97" i="29"/>
  <c r="D98" i="29"/>
  <c r="G98" i="29"/>
  <c r="H98" i="29"/>
  <c r="I98" i="29"/>
  <c r="J98" i="29"/>
  <c r="K98" i="29"/>
  <c r="L98" i="29"/>
  <c r="M98" i="29"/>
  <c r="N98" i="29"/>
  <c r="D99" i="29"/>
  <c r="N99" i="29"/>
  <c r="D100" i="29"/>
  <c r="E100" i="29"/>
  <c r="K100" i="29"/>
  <c r="J9" i="52" s="1"/>
  <c r="L100" i="29"/>
  <c r="K9" i="52" s="1"/>
  <c r="M100" i="29"/>
  <c r="L9" i="52" s="1"/>
  <c r="N100" i="29"/>
  <c r="M9" i="52" s="1"/>
  <c r="D101" i="29"/>
  <c r="D12" i="15" s="1"/>
  <c r="E101" i="29"/>
  <c r="G101" i="29"/>
  <c r="H101" i="29"/>
  <c r="K101" i="29"/>
  <c r="L101" i="29"/>
  <c r="M101" i="29"/>
  <c r="N101" i="29"/>
  <c r="D102" i="29"/>
  <c r="D13" i="15" s="1"/>
  <c r="E102" i="29"/>
  <c r="F102" i="29"/>
  <c r="G102" i="29"/>
  <c r="K102" i="29"/>
  <c r="L102" i="29"/>
  <c r="M102" i="29"/>
  <c r="N102" i="29"/>
  <c r="C102" i="29"/>
  <c r="C94" i="29"/>
  <c r="J81" i="29"/>
  <c r="J100" i="29" s="1"/>
  <c r="I9" i="52" s="1"/>
  <c r="J71" i="29"/>
  <c r="J101" i="29" s="1"/>
  <c r="H60" i="29"/>
  <c r="J45" i="29"/>
  <c r="I45" i="29"/>
  <c r="J39" i="29"/>
  <c r="J102" i="29" s="1"/>
  <c r="I39" i="29"/>
  <c r="I102" i="29" s="1"/>
  <c r="H39" i="29"/>
  <c r="H102" i="29" s="1"/>
  <c r="G39" i="29"/>
  <c r="H45" i="29"/>
  <c r="G46" i="29"/>
  <c r="H42" i="29"/>
  <c r="D80" i="14" s="1"/>
  <c r="G29" i="14" s="1"/>
  <c r="G44" i="29"/>
  <c r="F36" i="29"/>
  <c r="E36" i="29"/>
  <c r="F35" i="29"/>
  <c r="F33" i="29"/>
  <c r="F32" i="29"/>
  <c r="F23" i="29"/>
  <c r="E23" i="29"/>
  <c r="E94" i="29" s="1"/>
  <c r="E9" i="29"/>
  <c r="C82" i="29"/>
  <c r="J82" i="29" s="1"/>
  <c r="C81" i="29"/>
  <c r="C77" i="29"/>
  <c r="H77" i="29" s="1"/>
  <c r="H99" i="29" s="1"/>
  <c r="C76" i="29"/>
  <c r="H76" i="29" s="1"/>
  <c r="H100" i="29" s="1"/>
  <c r="G9" i="52" s="1"/>
  <c r="C72" i="29"/>
  <c r="J72" i="29" s="1"/>
  <c r="C71" i="29"/>
  <c r="C57" i="29"/>
  <c r="I57" i="29" s="1"/>
  <c r="C56" i="29"/>
  <c r="I56" i="29" s="1"/>
  <c r="C55" i="29"/>
  <c r="I55" i="29" s="1"/>
  <c r="I100" i="29" s="1"/>
  <c r="H9" i="52" s="1"/>
  <c r="C54" i="29"/>
  <c r="C109" i="22" s="1"/>
  <c r="G63" i="22" s="1"/>
  <c r="C53" i="29"/>
  <c r="C89" i="29" s="1"/>
  <c r="D33" i="23" s="1"/>
  <c r="C65" i="28" s="1"/>
  <c r="C29" i="29"/>
  <c r="E29" i="29" s="1"/>
  <c r="C49" i="29"/>
  <c r="G49" i="29" s="1"/>
  <c r="G100" i="29" s="1"/>
  <c r="C66" i="29"/>
  <c r="I66" i="29" s="1"/>
  <c r="C65" i="29"/>
  <c r="I65" i="29" s="1"/>
  <c r="I101" i="29" s="1"/>
  <c r="C35" i="29"/>
  <c r="C34" i="29"/>
  <c r="F34" i="29" s="1"/>
  <c r="C33" i="29"/>
  <c r="C106" i="22" s="1"/>
  <c r="E36" i="22" s="1"/>
  <c r="C32" i="29"/>
  <c r="C19" i="29"/>
  <c r="F19" i="29" s="1"/>
  <c r="C18" i="29"/>
  <c r="F18" i="29" s="1"/>
  <c r="C17" i="29"/>
  <c r="C16" i="29"/>
  <c r="F16" i="29" s="1"/>
  <c r="C12" i="29"/>
  <c r="F12" i="29" s="1"/>
  <c r="E31" i="29"/>
  <c r="C30" i="29"/>
  <c r="F30" i="29" s="1"/>
  <c r="C48" i="29"/>
  <c r="E40" i="34"/>
  <c r="C13" i="29"/>
  <c r="E13" i="29" s="1"/>
  <c r="D9" i="20" s="1"/>
  <c r="C14" i="29"/>
  <c r="F14" i="29" s="1"/>
  <c r="D9" i="26" l="1"/>
  <c r="D46" i="26"/>
  <c r="I99" i="29"/>
  <c r="F9" i="52"/>
  <c r="J99" i="29"/>
  <c r="G9" i="26"/>
  <c r="H9" i="26" s="1"/>
  <c r="I9" i="26" s="1"/>
  <c r="J9" i="26" s="1"/>
  <c r="K9" i="26" s="1"/>
  <c r="L9" i="26" s="1"/>
  <c r="M9" i="26" s="1"/>
  <c r="F52" i="28"/>
  <c r="E9" i="20"/>
  <c r="E10" i="20" s="1"/>
  <c r="D10" i="20"/>
  <c r="C47" i="20"/>
  <c r="D18" i="20"/>
  <c r="D54" i="28"/>
  <c r="H48" i="29"/>
  <c r="H97" i="29" s="1"/>
  <c r="G48" i="29"/>
  <c r="G97" i="29" s="1"/>
  <c r="D9" i="52"/>
  <c r="E98" i="29"/>
  <c r="C104" i="22"/>
  <c r="C91" i="29"/>
  <c r="F36" i="22"/>
  <c r="E37" i="22"/>
  <c r="F17" i="29"/>
  <c r="F91" i="29" s="1"/>
  <c r="C97" i="29"/>
  <c r="C38" i="46" s="1"/>
  <c r="C9" i="52"/>
  <c r="C22" i="52"/>
  <c r="D11" i="15"/>
  <c r="M33" i="14"/>
  <c r="I33" i="14"/>
  <c r="L33" i="14"/>
  <c r="H33" i="14"/>
  <c r="K33" i="14"/>
  <c r="G33" i="14"/>
  <c r="J33" i="14"/>
  <c r="I54" i="29"/>
  <c r="I91" i="29" s="1"/>
  <c r="C98" i="29"/>
  <c r="C64" i="29"/>
  <c r="C24" i="29"/>
  <c r="C70" i="29"/>
  <c r="C95" i="29" s="1"/>
  <c r="C69" i="29"/>
  <c r="I63" i="29"/>
  <c r="I94" i="29" s="1"/>
  <c r="H75" i="29"/>
  <c r="G53" i="29"/>
  <c r="G89" i="29" s="1"/>
  <c r="F8" i="23" s="1"/>
  <c r="G54" i="28" s="1"/>
  <c r="F9" i="46" l="1"/>
  <c r="D38" i="46"/>
  <c r="C63" i="28" s="1"/>
  <c r="E15" i="20"/>
  <c r="E14" i="20"/>
  <c r="F24" i="29"/>
  <c r="F93" i="29" s="1"/>
  <c r="E24" i="29"/>
  <c r="H18" i="26"/>
  <c r="I52" i="28" s="1"/>
  <c r="D47" i="26"/>
  <c r="C47" i="26" s="1"/>
  <c r="C52" i="28" s="1"/>
  <c r="M18" i="22"/>
  <c r="M19" i="22" s="1"/>
  <c r="H18" i="22"/>
  <c r="H19" i="22" s="1"/>
  <c r="E18" i="22"/>
  <c r="E19" i="22" s="1"/>
  <c r="L18" i="22"/>
  <c r="L19" i="22" s="1"/>
  <c r="J18" i="22"/>
  <c r="J19" i="22" s="1"/>
  <c r="D104" i="22"/>
  <c r="G18" i="22"/>
  <c r="G19" i="22" s="1"/>
  <c r="I18" i="22"/>
  <c r="I19" i="22" s="1"/>
  <c r="K18" i="22"/>
  <c r="K19" i="22" s="1"/>
  <c r="F18" i="22"/>
  <c r="F19" i="22" s="1"/>
  <c r="C46" i="26"/>
  <c r="F37" i="22"/>
  <c r="G36" i="22"/>
  <c r="D82" i="14"/>
  <c r="G49" i="14" s="1"/>
  <c r="H93" i="29"/>
  <c r="D19" i="20"/>
  <c r="D10" i="52"/>
  <c r="D11" i="52" s="1"/>
  <c r="C10" i="52"/>
  <c r="C11" i="52" s="1"/>
  <c r="J69" i="29"/>
  <c r="J96" i="29" s="1"/>
  <c r="C96" i="29"/>
  <c r="D35" i="47" s="1"/>
  <c r="D14" i="20"/>
  <c r="D15" i="20"/>
  <c r="F13" i="26"/>
  <c r="G13" i="26" s="1"/>
  <c r="H13" i="26" s="1"/>
  <c r="I13" i="26" s="1"/>
  <c r="J13" i="26" s="1"/>
  <c r="K13" i="26" s="1"/>
  <c r="L13" i="26" s="1"/>
  <c r="M13" i="26" s="1"/>
  <c r="E52" i="28"/>
  <c r="I64" i="29"/>
  <c r="C93" i="29"/>
  <c r="J70" i="29"/>
  <c r="H53" i="29"/>
  <c r="H89" i="29" s="1"/>
  <c r="G8" i="23" s="1"/>
  <c r="H54" i="28" s="1"/>
  <c r="G41" i="29"/>
  <c r="G91" i="29" s="1"/>
  <c r="L86" i="29"/>
  <c r="L85" i="29"/>
  <c r="C87" i="29"/>
  <c r="C22" i="29"/>
  <c r="H62" i="29"/>
  <c r="C7" i="29"/>
  <c r="G7" i="29" s="1"/>
  <c r="G99" i="29" s="1"/>
  <c r="F29" i="29"/>
  <c r="E18" i="20" s="1"/>
  <c r="E19" i="20" s="1"/>
  <c r="E42" i="34"/>
  <c r="D42" i="34"/>
  <c r="D13" i="36"/>
  <c r="D12" i="36"/>
  <c r="C12" i="36"/>
  <c r="E12" i="36" s="1"/>
  <c r="F12" i="36" s="1"/>
  <c r="D39" i="34"/>
  <c r="F39" i="34" s="1"/>
  <c r="G40" i="34"/>
  <c r="G39" i="34"/>
  <c r="D40" i="34"/>
  <c r="C13" i="36" s="1"/>
  <c r="H36" i="22" l="1"/>
  <c r="G37" i="22"/>
  <c r="C60" i="28"/>
  <c r="D79" i="14"/>
  <c r="E93" i="29"/>
  <c r="F98" i="29"/>
  <c r="C48" i="20"/>
  <c r="C35" i="47"/>
  <c r="C61" i="28"/>
  <c r="D43" i="19"/>
  <c r="I9" i="19"/>
  <c r="C13" i="52"/>
  <c r="C16" i="52" s="1"/>
  <c r="C14" i="52"/>
  <c r="C17" i="52" s="1"/>
  <c r="C103" i="22"/>
  <c r="C90" i="29"/>
  <c r="D81" i="14"/>
  <c r="H39" i="14" s="1"/>
  <c r="I93" i="29"/>
  <c r="D14" i="52"/>
  <c r="D17" i="52" s="1"/>
  <c r="D13" i="52"/>
  <c r="D16" i="52" s="1"/>
  <c r="J53" i="14"/>
  <c r="M53" i="14"/>
  <c r="I53" i="14"/>
  <c r="G53" i="14"/>
  <c r="L53" i="14"/>
  <c r="H53" i="14"/>
  <c r="K53" i="14"/>
  <c r="E22" i="29"/>
  <c r="C26" i="29"/>
  <c r="C25" i="29"/>
  <c r="C27" i="29"/>
  <c r="F27" i="29" s="1"/>
  <c r="K87" i="29"/>
  <c r="K99" i="29" s="1"/>
  <c r="M87" i="29"/>
  <c r="M99" i="29" s="1"/>
  <c r="L87" i="29"/>
  <c r="L99" i="29" s="1"/>
  <c r="E7" i="29"/>
  <c r="E99" i="29" s="1"/>
  <c r="F40" i="34"/>
  <c r="F42" i="34" s="1"/>
  <c r="E122" i="28"/>
  <c r="D122" i="28"/>
  <c r="E121" i="28"/>
  <c r="D121" i="28"/>
  <c r="E120" i="28"/>
  <c r="D120" i="28"/>
  <c r="E119" i="28"/>
  <c r="D119" i="28"/>
  <c r="E118" i="28"/>
  <c r="D118" i="28"/>
  <c r="E117" i="28"/>
  <c r="D117" i="28"/>
  <c r="E116" i="28"/>
  <c r="D116" i="28"/>
  <c r="E115" i="28"/>
  <c r="D115" i="28"/>
  <c r="D41" i="46"/>
  <c r="K103" i="28"/>
  <c r="C14" i="26" s="1"/>
  <c r="C18" i="52" l="1"/>
  <c r="C26" i="52" s="1"/>
  <c r="D14" i="28" s="1"/>
  <c r="C99" i="29"/>
  <c r="L43" i="14"/>
  <c r="K43" i="14"/>
  <c r="J43" i="14"/>
  <c r="M43" i="14"/>
  <c r="I43" i="14"/>
  <c r="H43" i="14"/>
  <c r="I36" i="22"/>
  <c r="H37" i="22"/>
  <c r="F26" i="29"/>
  <c r="F101" i="29" s="1"/>
  <c r="C101" i="29"/>
  <c r="M9" i="22"/>
  <c r="C64" i="28"/>
  <c r="J9" i="22"/>
  <c r="F9" i="22"/>
  <c r="E9" i="22"/>
  <c r="G9" i="22"/>
  <c r="K9" i="22"/>
  <c r="H9" i="22"/>
  <c r="I9" i="22"/>
  <c r="L9" i="22"/>
  <c r="F25" i="29"/>
  <c r="F100" i="29" s="1"/>
  <c r="C100" i="29"/>
  <c r="D18" i="52"/>
  <c r="D26" i="52" s="1"/>
  <c r="E14" i="28" s="1"/>
  <c r="C53" i="28"/>
  <c r="I9" i="47"/>
  <c r="D19" i="14"/>
  <c r="C58" i="28"/>
  <c r="E19" i="14"/>
  <c r="E23" i="14" s="1"/>
  <c r="F23" i="14" s="1"/>
  <c r="G23" i="14" s="1"/>
  <c r="H23" i="14" s="1"/>
  <c r="I23" i="14" s="1"/>
  <c r="J23" i="14" s="1"/>
  <c r="K23" i="14" s="1"/>
  <c r="L23" i="14" s="1"/>
  <c r="M23" i="14" s="1"/>
  <c r="F119" i="28"/>
  <c r="F116" i="28"/>
  <c r="F120" i="28"/>
  <c r="F117" i="28"/>
  <c r="D123" i="28"/>
  <c r="F118" i="28"/>
  <c r="E123" i="28"/>
  <c r="F122" i="28"/>
  <c r="F115" i="28"/>
  <c r="F121" i="28"/>
  <c r="E13" i="36"/>
  <c r="D11" i="36"/>
  <c r="C11" i="36"/>
  <c r="E11" i="36" s="1"/>
  <c r="D10" i="36"/>
  <c r="C10" i="36"/>
  <c r="E10" i="36" s="1"/>
  <c r="F10" i="36" s="1"/>
  <c r="D9" i="36"/>
  <c r="C9" i="36"/>
  <c r="E9" i="36" s="1"/>
  <c r="D8" i="36"/>
  <c r="C8" i="36"/>
  <c r="E8" i="36" s="1"/>
  <c r="F8" i="36" s="1"/>
  <c r="D7" i="36"/>
  <c r="C7" i="36"/>
  <c r="E7" i="36" s="1"/>
  <c r="D6" i="36"/>
  <c r="C6" i="36"/>
  <c r="E6" i="36" s="1"/>
  <c r="F6" i="36" s="1"/>
  <c r="D5" i="36"/>
  <c r="C5" i="36"/>
  <c r="E5" i="36" s="1"/>
  <c r="D35" i="52" l="1"/>
  <c r="C35" i="52"/>
  <c r="E9" i="52"/>
  <c r="J10" i="47"/>
  <c r="K10" i="47"/>
  <c r="J53" i="28"/>
  <c r="I10" i="47"/>
  <c r="I13" i="47"/>
  <c r="J13" i="47" s="1"/>
  <c r="K13" i="47" s="1"/>
  <c r="L13" i="47" s="1"/>
  <c r="M13" i="47" s="1"/>
  <c r="J36" i="22"/>
  <c r="I37" i="22"/>
  <c r="C104" i="29"/>
  <c r="F5" i="36"/>
  <c r="F7" i="36"/>
  <c r="F9" i="36"/>
  <c r="F130" i="28"/>
  <c r="F131" i="28" s="1"/>
  <c r="F133" i="28" s="1"/>
  <c r="F123" i="28"/>
  <c r="C14" i="36"/>
  <c r="E14" i="36" s="1"/>
  <c r="B6" i="37" s="1"/>
  <c r="D14" i="36"/>
  <c r="K36" i="22" l="1"/>
  <c r="J37" i="22"/>
  <c r="J10" i="52"/>
  <c r="J11" i="52" s="1"/>
  <c r="G10" i="52"/>
  <c r="G11" i="52" s="1"/>
  <c r="E10" i="52"/>
  <c r="E11" i="52" s="1"/>
  <c r="K10" i="52"/>
  <c r="K11" i="52" s="1"/>
  <c r="F10" i="52"/>
  <c r="F11" i="52" s="1"/>
  <c r="M10" i="52"/>
  <c r="M11" i="52" s="1"/>
  <c r="H10" i="52"/>
  <c r="H11" i="52" s="1"/>
  <c r="I10" i="52"/>
  <c r="I11" i="52" s="1"/>
  <c r="L10" i="52"/>
  <c r="L11" i="52" s="1"/>
  <c r="G35" i="34"/>
  <c r="G31" i="34"/>
  <c r="G27" i="34"/>
  <c r="G19" i="34"/>
  <c r="D19" i="34"/>
  <c r="F11" i="34"/>
  <c r="G13" i="52" l="1"/>
  <c r="G16" i="52" s="1"/>
  <c r="G14" i="52"/>
  <c r="G17" i="52" s="1"/>
  <c r="F13" i="52"/>
  <c r="F16" i="52" s="1"/>
  <c r="F14" i="52"/>
  <c r="F17" i="52" s="1"/>
  <c r="I13" i="52"/>
  <c r="I16" i="52" s="1"/>
  <c r="I14" i="52"/>
  <c r="I17" i="52" s="1"/>
  <c r="K13" i="52"/>
  <c r="K16" i="52" s="1"/>
  <c r="K14" i="52"/>
  <c r="K17" i="52" s="1"/>
  <c r="M13" i="52"/>
  <c r="M16" i="52" s="1"/>
  <c r="M14" i="52"/>
  <c r="M17" i="52" s="1"/>
  <c r="L13" i="52"/>
  <c r="L16" i="52" s="1"/>
  <c r="L14" i="52"/>
  <c r="L17" i="52" s="1"/>
  <c r="J13" i="52"/>
  <c r="J16" i="52" s="1"/>
  <c r="J14" i="52"/>
  <c r="J17" i="52" s="1"/>
  <c r="H13" i="52"/>
  <c r="H16" i="52" s="1"/>
  <c r="H14" i="52"/>
  <c r="H17" i="52" s="1"/>
  <c r="E13" i="52"/>
  <c r="E16" i="52" s="1"/>
  <c r="D41" i="52"/>
  <c r="E14" i="52"/>
  <c r="E17" i="52" s="1"/>
  <c r="L36" i="22"/>
  <c r="K37" i="22"/>
  <c r="F4" i="29"/>
  <c r="M36" i="22" l="1"/>
  <c r="M37" i="22" s="1"/>
  <c r="L37" i="22"/>
  <c r="H18" i="52"/>
  <c r="H26" i="52" s="1"/>
  <c r="I14" i="28" s="1"/>
  <c r="F18" i="52"/>
  <c r="F26" i="52" s="1"/>
  <c r="G14" i="28" s="1"/>
  <c r="L18" i="52"/>
  <c r="L26" i="52" s="1"/>
  <c r="M14" i="28" s="1"/>
  <c r="K18" i="52"/>
  <c r="K26" i="52" s="1"/>
  <c r="L14" i="28" s="1"/>
  <c r="E18" i="52"/>
  <c r="E26" i="52" s="1"/>
  <c r="F14" i="28" s="1"/>
  <c r="J18" i="52"/>
  <c r="J26" i="52" s="1"/>
  <c r="K14" i="28" s="1"/>
  <c r="M18" i="52"/>
  <c r="M26" i="52" s="1"/>
  <c r="I18" i="52"/>
  <c r="I26" i="52" s="1"/>
  <c r="J14" i="28" s="1"/>
  <c r="G18" i="52"/>
  <c r="G26" i="52" s="1"/>
  <c r="H14" i="28" s="1"/>
  <c r="E36" i="34"/>
  <c r="E32" i="34"/>
  <c r="E28" i="34"/>
  <c r="E24" i="34"/>
  <c r="E20" i="34"/>
  <c r="M27" i="52" l="1"/>
  <c r="N14" i="28"/>
  <c r="C31" i="37"/>
  <c r="E31" i="37"/>
  <c r="F31" i="37"/>
  <c r="G31" i="37"/>
  <c r="H31" i="37"/>
  <c r="I31" i="37"/>
  <c r="J31" i="37"/>
  <c r="K31" i="37"/>
  <c r="C104" i="48" l="1"/>
  <c r="D104" i="48" s="1"/>
  <c r="E103" i="48"/>
  <c r="D103" i="48"/>
  <c r="E102" i="48"/>
  <c r="D102" i="48"/>
  <c r="F102" i="48" s="1"/>
  <c r="C102" i="48"/>
  <c r="C101" i="48"/>
  <c r="E101" i="48" s="1"/>
  <c r="C100" i="48"/>
  <c r="E100" i="48" s="1"/>
  <c r="K99" i="48"/>
  <c r="C99" i="48"/>
  <c r="D99" i="48" s="1"/>
  <c r="C98" i="48"/>
  <c r="D98" i="48" s="1"/>
  <c r="C97" i="48"/>
  <c r="D97" i="48" s="1"/>
  <c r="K95" i="48"/>
  <c r="K91" i="48"/>
  <c r="M79" i="48"/>
  <c r="N67" i="48"/>
  <c r="N56" i="48" s="1"/>
  <c r="M67" i="48"/>
  <c r="M56" i="48" s="1"/>
  <c r="L67" i="48"/>
  <c r="L56" i="48" s="1"/>
  <c r="K67" i="48"/>
  <c r="J67" i="48"/>
  <c r="J56" i="48" s="1"/>
  <c r="I67" i="48"/>
  <c r="I56" i="48" s="1"/>
  <c r="H67" i="48"/>
  <c r="H56" i="48" s="1"/>
  <c r="G67" i="48"/>
  <c r="F67" i="48"/>
  <c r="F56" i="48" s="1"/>
  <c r="E67" i="48"/>
  <c r="E56" i="48" s="1"/>
  <c r="D67" i="48"/>
  <c r="D56" i="48" s="1"/>
  <c r="K56" i="48"/>
  <c r="G56" i="48"/>
  <c r="D53" i="48"/>
  <c r="D61" i="48" s="1"/>
  <c r="D52" i="48"/>
  <c r="D60" i="48" s="1"/>
  <c r="D51" i="48"/>
  <c r="D59" i="48" s="1"/>
  <c r="D50" i="48"/>
  <c r="D58" i="48" s="1"/>
  <c r="F48" i="48"/>
  <c r="G48" i="48" s="1"/>
  <c r="H48" i="48" s="1"/>
  <c r="I48" i="48" s="1"/>
  <c r="J48" i="48" s="1"/>
  <c r="K48" i="48" s="1"/>
  <c r="L48" i="48" s="1"/>
  <c r="M48" i="48" s="1"/>
  <c r="N48" i="48" s="1"/>
  <c r="F29" i="48"/>
  <c r="G29" i="48" s="1"/>
  <c r="H29" i="48" s="1"/>
  <c r="I29" i="48" s="1"/>
  <c r="J29" i="48" s="1"/>
  <c r="K29" i="48" s="1"/>
  <c r="L29" i="48" s="1"/>
  <c r="M29" i="48" s="1"/>
  <c r="N29" i="48" s="1"/>
  <c r="G27" i="48"/>
  <c r="H27" i="48" s="1"/>
  <c r="I27" i="48" s="1"/>
  <c r="J27" i="48" s="1"/>
  <c r="K27" i="48" s="1"/>
  <c r="L27" i="48" s="1"/>
  <c r="M27" i="48" s="1"/>
  <c r="N27" i="48" s="1"/>
  <c r="F3" i="48"/>
  <c r="G3" i="48" s="1"/>
  <c r="H3" i="48" s="1"/>
  <c r="I3" i="48" s="1"/>
  <c r="J3" i="48" s="1"/>
  <c r="K3" i="48" s="1"/>
  <c r="L3" i="48" s="1"/>
  <c r="M3" i="48" s="1"/>
  <c r="N3" i="48" s="1"/>
  <c r="E99" i="48" l="1"/>
  <c r="F99" i="48" s="1"/>
  <c r="F103" i="48"/>
  <c r="E98" i="48"/>
  <c r="F98" i="48" s="1"/>
  <c r="D101" i="48"/>
  <c r="F101" i="48" s="1"/>
  <c r="E104" i="48"/>
  <c r="F104" i="48" s="1"/>
  <c r="D100" i="48"/>
  <c r="F100" i="48" s="1"/>
  <c r="E97" i="48"/>
  <c r="F97" i="48" s="1"/>
  <c r="D9" i="22" l="1"/>
  <c r="D61" i="28" l="1"/>
  <c r="L61" i="28" l="1"/>
  <c r="K61" i="28"/>
  <c r="H61" i="28"/>
  <c r="H53" i="48"/>
  <c r="H61" i="48" s="1"/>
  <c r="L53" i="48"/>
  <c r="L61" i="48" s="1"/>
  <c r="C61" i="48"/>
  <c r="F61" i="28"/>
  <c r="F53" i="48"/>
  <c r="F61" i="48" s="1"/>
  <c r="N61" i="28"/>
  <c r="N53" i="48"/>
  <c r="N61" i="48" s="1"/>
  <c r="G61" i="28"/>
  <c r="G53" i="48"/>
  <c r="G61" i="48" s="1"/>
  <c r="K53" i="48"/>
  <c r="K61" i="48" s="1"/>
  <c r="M61" i="28"/>
  <c r="J61" i="28"/>
  <c r="I61" i="28"/>
  <c r="B18" i="47"/>
  <c r="D11" i="47"/>
  <c r="M10" i="47"/>
  <c r="E5" i="47"/>
  <c r="F5" i="47" s="1"/>
  <c r="G5" i="47" s="1"/>
  <c r="H5" i="47" s="1"/>
  <c r="I5" i="47" s="1"/>
  <c r="J5" i="47" s="1"/>
  <c r="K5" i="47" s="1"/>
  <c r="L5" i="47" s="1"/>
  <c r="M5" i="47" s="1"/>
  <c r="D4" i="47"/>
  <c r="E4" i="47" s="1"/>
  <c r="F4" i="47" s="1"/>
  <c r="I53" i="48" l="1"/>
  <c r="I61" i="48" s="1"/>
  <c r="E61" i="28"/>
  <c r="E53" i="48"/>
  <c r="E61" i="48" s="1"/>
  <c r="M53" i="48"/>
  <c r="M61" i="48" s="1"/>
  <c r="J53" i="48"/>
  <c r="J61" i="48" s="1"/>
  <c r="G4" i="47"/>
  <c r="H4" i="47" l="1"/>
  <c r="I4" i="47" l="1"/>
  <c r="J4" i="47" l="1"/>
  <c r="K4" i="47" l="1"/>
  <c r="L4" i="47" l="1"/>
  <c r="M4" i="47" l="1"/>
  <c r="I25" i="14" l="1"/>
  <c r="C14" i="47"/>
  <c r="C38" i="18"/>
  <c r="C39" i="18"/>
  <c r="L14" i="47" l="1"/>
  <c r="L16" i="47" s="1"/>
  <c r="H14" i="47"/>
  <c r="H16" i="47" s="1"/>
  <c r="D14" i="47"/>
  <c r="D16" i="47" s="1"/>
  <c r="J14" i="47"/>
  <c r="J16" i="47" s="1"/>
  <c r="K14" i="47"/>
  <c r="K16" i="47" s="1"/>
  <c r="G14" i="47"/>
  <c r="G16" i="47" s="1"/>
  <c r="F14" i="47"/>
  <c r="F16" i="47" s="1"/>
  <c r="C16" i="47"/>
  <c r="M14" i="47"/>
  <c r="M16" i="47" s="1"/>
  <c r="I14" i="47"/>
  <c r="I16" i="47" s="1"/>
  <c r="E14" i="47"/>
  <c r="E16" i="47" s="1"/>
  <c r="C66" i="22"/>
  <c r="C33" i="22" l="1"/>
  <c r="C32" i="22"/>
  <c r="C41" i="22"/>
  <c r="C42" i="22"/>
  <c r="C24" i="22"/>
  <c r="C23" i="22"/>
  <c r="D11" i="19"/>
  <c r="M9" i="19"/>
  <c r="L9" i="19"/>
  <c r="K9" i="19"/>
  <c r="J9" i="19"/>
  <c r="C22" i="19"/>
  <c r="C24" i="19" s="1"/>
  <c r="L10" i="19"/>
  <c r="M10" i="19" s="1"/>
  <c r="C18" i="47" l="1"/>
  <c r="C17" i="47"/>
  <c r="K18" i="47" l="1"/>
  <c r="K17" i="47"/>
  <c r="L18" i="47"/>
  <c r="L17" i="47"/>
  <c r="D18" i="47"/>
  <c r="D17" i="47"/>
  <c r="M18" i="47"/>
  <c r="M17" i="47"/>
  <c r="H18" i="47"/>
  <c r="H17" i="47"/>
  <c r="I17" i="47"/>
  <c r="I18" i="47"/>
  <c r="C19" i="47"/>
  <c r="N67" i="28"/>
  <c r="M67" i="28"/>
  <c r="L67" i="28"/>
  <c r="K67" i="28"/>
  <c r="J67" i="28"/>
  <c r="I67" i="28"/>
  <c r="H67" i="28"/>
  <c r="G67" i="28"/>
  <c r="F67" i="28"/>
  <c r="E67" i="28"/>
  <c r="D67" i="28"/>
  <c r="D60" i="28"/>
  <c r="D59" i="28"/>
  <c r="D50" i="28"/>
  <c r="D58" i="28" s="1"/>
  <c r="G11" i="20"/>
  <c r="G11" i="46"/>
  <c r="D9" i="14"/>
  <c r="H63" i="28"/>
  <c r="I19" i="47" l="1"/>
  <c r="N63" i="28"/>
  <c r="N63" i="48"/>
  <c r="J65" i="28"/>
  <c r="J65" i="48"/>
  <c r="N65" i="28"/>
  <c r="N65" i="48"/>
  <c r="H63" i="48"/>
  <c r="G62" i="28"/>
  <c r="G62" i="48"/>
  <c r="L62" i="28"/>
  <c r="L62" i="48"/>
  <c r="J66" i="48"/>
  <c r="J55" i="48" s="1"/>
  <c r="K62" i="28"/>
  <c r="K62" i="48"/>
  <c r="E9" i="14"/>
  <c r="G65" i="28"/>
  <c r="G65" i="48"/>
  <c r="K65" i="28"/>
  <c r="K65" i="48"/>
  <c r="H62" i="28"/>
  <c r="H62" i="48"/>
  <c r="M62" i="28"/>
  <c r="M62" i="48"/>
  <c r="K66" i="48"/>
  <c r="K55" i="48" s="1"/>
  <c r="I65" i="28"/>
  <c r="I65" i="48"/>
  <c r="M65" i="28"/>
  <c r="M65" i="48"/>
  <c r="G63" i="28"/>
  <c r="G63" i="48"/>
  <c r="G66" i="48"/>
  <c r="G55" i="48" s="1"/>
  <c r="K64" i="28"/>
  <c r="K64" i="48"/>
  <c r="K63" i="28"/>
  <c r="K63" i="48"/>
  <c r="H65" i="28"/>
  <c r="H65" i="48"/>
  <c r="L65" i="28"/>
  <c r="L65" i="48"/>
  <c r="N64" i="28"/>
  <c r="N64" i="48"/>
  <c r="E63" i="28"/>
  <c r="E63" i="48"/>
  <c r="L63" i="28"/>
  <c r="L63" i="48"/>
  <c r="J62" i="28"/>
  <c r="J62" i="48"/>
  <c r="N62" i="28"/>
  <c r="N62" i="48"/>
  <c r="N66" i="48"/>
  <c r="N55" i="48" s="1"/>
  <c r="E54" i="48"/>
  <c r="D8" i="48"/>
  <c r="M19" i="47"/>
  <c r="C27" i="47"/>
  <c r="J18" i="47" s="1"/>
  <c r="D8" i="28"/>
  <c r="L19" i="47"/>
  <c r="H19" i="47"/>
  <c r="D19" i="47"/>
  <c r="K19" i="47"/>
  <c r="B57" i="18"/>
  <c r="B56" i="18"/>
  <c r="J8" i="48" l="1"/>
  <c r="J8" i="28"/>
  <c r="I27" i="47"/>
  <c r="C67" i="28"/>
  <c r="C67" i="48"/>
  <c r="L8" i="48"/>
  <c r="E8" i="48"/>
  <c r="M8" i="48"/>
  <c r="I8" i="48"/>
  <c r="N8" i="28"/>
  <c r="N8" i="48"/>
  <c r="M27" i="47"/>
  <c r="J17" i="47"/>
  <c r="J19" i="47" s="1"/>
  <c r="H27" i="47"/>
  <c r="I8" i="28"/>
  <c r="L27" i="47"/>
  <c r="M8" i="28"/>
  <c r="K27" i="47"/>
  <c r="L8" i="28"/>
  <c r="D27" i="47"/>
  <c r="E8" i="28"/>
  <c r="E33" i="37"/>
  <c r="D33" i="37"/>
  <c r="B33" i="37"/>
  <c r="K32" i="37"/>
  <c r="J32" i="37"/>
  <c r="I32" i="37"/>
  <c r="H32" i="37"/>
  <c r="G32" i="37"/>
  <c r="F32" i="37"/>
  <c r="E32" i="37"/>
  <c r="D32" i="37"/>
  <c r="B32" i="37"/>
  <c r="B31" i="37"/>
  <c r="F20" i="37"/>
  <c r="F33" i="37" s="1"/>
  <c r="C20" i="37"/>
  <c r="C33" i="37" s="1"/>
  <c r="D9" i="37"/>
  <c r="E9" i="37" s="1"/>
  <c r="F9" i="37" s="1"/>
  <c r="G9" i="37" s="1"/>
  <c r="H9" i="37" s="1"/>
  <c r="I9" i="37" s="1"/>
  <c r="J9" i="37" s="1"/>
  <c r="K9" i="37" s="1"/>
  <c r="L9" i="37" s="1"/>
  <c r="C7" i="37"/>
  <c r="D5" i="37"/>
  <c r="E5" i="37" s="1"/>
  <c r="F5" i="37" s="1"/>
  <c r="G5" i="37" s="1"/>
  <c r="H5" i="37" s="1"/>
  <c r="I5" i="37" s="1"/>
  <c r="J5" i="37" s="1"/>
  <c r="K5" i="37" s="1"/>
  <c r="L5" i="37" s="1"/>
  <c r="D4" i="37"/>
  <c r="E4" i="37" s="1"/>
  <c r="F4" i="37" s="1"/>
  <c r="G4" i="37" s="1"/>
  <c r="H4" i="37" s="1"/>
  <c r="I4" i="37" s="1"/>
  <c r="J4" i="37" s="1"/>
  <c r="K4" i="37" s="1"/>
  <c r="L4" i="37" s="1"/>
  <c r="C4" i="37"/>
  <c r="D29" i="31"/>
  <c r="C29" i="31"/>
  <c r="E29" i="31" s="1"/>
  <c r="D28" i="31"/>
  <c r="C28" i="31"/>
  <c r="E28" i="31" s="1"/>
  <c r="E27" i="31"/>
  <c r="D27" i="31"/>
  <c r="C27" i="31"/>
  <c r="D26" i="31"/>
  <c r="E26" i="31" s="1"/>
  <c r="C26" i="31"/>
  <c r="D25" i="31"/>
  <c r="C25" i="31"/>
  <c r="E25" i="31" s="1"/>
  <c r="D24" i="31"/>
  <c r="C24" i="31"/>
  <c r="E24" i="31" s="1"/>
  <c r="E23" i="31"/>
  <c r="D23" i="31"/>
  <c r="C23" i="31"/>
  <c r="D22" i="31"/>
  <c r="E22" i="31" s="1"/>
  <c r="C22" i="31"/>
  <c r="D21" i="31"/>
  <c r="C21" i="31"/>
  <c r="E21" i="31" s="1"/>
  <c r="D20" i="31"/>
  <c r="C20" i="31"/>
  <c r="E20" i="31" s="1"/>
  <c r="E19" i="31"/>
  <c r="D19" i="31"/>
  <c r="C19" i="31"/>
  <c r="D18" i="31"/>
  <c r="E18" i="31" s="1"/>
  <c r="C18" i="31"/>
  <c r="D17" i="31"/>
  <c r="C17" i="31"/>
  <c r="E17" i="31" s="1"/>
  <c r="D16" i="31"/>
  <c r="C16" i="31"/>
  <c r="E16" i="31" s="1"/>
  <c r="E15" i="31"/>
  <c r="D15" i="31"/>
  <c r="C15" i="31"/>
  <c r="D14" i="31"/>
  <c r="E14" i="31" s="1"/>
  <c r="C14" i="31"/>
  <c r="D13" i="31"/>
  <c r="C13" i="31"/>
  <c r="E13" i="31" s="1"/>
  <c r="D12" i="31"/>
  <c r="C12" i="31"/>
  <c r="E12" i="31" s="1"/>
  <c r="E11" i="31"/>
  <c r="D11" i="31"/>
  <c r="C11" i="31"/>
  <c r="D10" i="31"/>
  <c r="E10" i="31" s="1"/>
  <c r="C10" i="31"/>
  <c r="D9" i="31"/>
  <c r="C9" i="31"/>
  <c r="E9" i="31" s="1"/>
  <c r="D8" i="31"/>
  <c r="C8" i="31"/>
  <c r="E8" i="31" s="1"/>
  <c r="E7" i="31"/>
  <c r="D7" i="31"/>
  <c r="C7" i="31"/>
  <c r="D6" i="31"/>
  <c r="E6" i="31" s="1"/>
  <c r="C6" i="31"/>
  <c r="D5" i="31"/>
  <c r="C5" i="31"/>
  <c r="E5" i="31" s="1"/>
  <c r="E16" i="34"/>
  <c r="D16" i="34"/>
  <c r="F15" i="34"/>
  <c r="F16" i="34" s="1"/>
  <c r="E12" i="34"/>
  <c r="D12" i="34"/>
  <c r="G11" i="34"/>
  <c r="E8" i="34"/>
  <c r="D8" i="34"/>
  <c r="F7" i="34"/>
  <c r="F8" i="34" s="1"/>
  <c r="N104" i="29"/>
  <c r="I80" i="29"/>
  <c r="I79" i="29"/>
  <c r="I90" i="29" s="1"/>
  <c r="D48" i="20"/>
  <c r="H52" i="29"/>
  <c r="H90" i="29" s="1"/>
  <c r="E21" i="29"/>
  <c r="E92" i="29" s="1"/>
  <c r="E15" i="29"/>
  <c r="E90" i="29" s="1"/>
  <c r="F7" i="29"/>
  <c r="F99" i="29" s="1"/>
  <c r="G4" i="29"/>
  <c r="H4" i="29" s="1"/>
  <c r="I4" i="29" s="1"/>
  <c r="J4" i="29" s="1"/>
  <c r="K4" i="29" s="1"/>
  <c r="L4" i="29" s="1"/>
  <c r="M4" i="29" s="1"/>
  <c r="N4" i="29" s="1"/>
  <c r="C67" i="18"/>
  <c r="C66" i="18"/>
  <c r="D57" i="18"/>
  <c r="E57" i="18" s="1"/>
  <c r="F57" i="18" s="1"/>
  <c r="G57" i="18" s="1"/>
  <c r="H57" i="18" s="1"/>
  <c r="I57" i="18" s="1"/>
  <c r="J57" i="18" s="1"/>
  <c r="K57" i="18" s="1"/>
  <c r="L57" i="18" s="1"/>
  <c r="D56" i="18"/>
  <c r="E56" i="18" s="1"/>
  <c r="F56" i="18" s="1"/>
  <c r="G56" i="18" s="1"/>
  <c r="H56" i="18" s="1"/>
  <c r="I56" i="18" s="1"/>
  <c r="J56" i="18" s="1"/>
  <c r="K56" i="18" s="1"/>
  <c r="L56" i="18" s="1"/>
  <c r="C42" i="18"/>
  <c r="C32" i="18"/>
  <c r="C35" i="18" s="1"/>
  <c r="C29" i="18"/>
  <c r="D28" i="18"/>
  <c r="E28" i="18" s="1"/>
  <c r="C24" i="18"/>
  <c r="C22" i="18"/>
  <c r="C14" i="18"/>
  <c r="D10" i="18"/>
  <c r="D9" i="18"/>
  <c r="E5" i="18"/>
  <c r="F5" i="18" s="1"/>
  <c r="G5" i="18" s="1"/>
  <c r="H5" i="18" s="1"/>
  <c r="I5" i="18" s="1"/>
  <c r="J5" i="18" s="1"/>
  <c r="K5" i="18" s="1"/>
  <c r="L5" i="18" s="1"/>
  <c r="M5" i="18" s="1"/>
  <c r="D4" i="18"/>
  <c r="E4" i="18" s="1"/>
  <c r="B24" i="23"/>
  <c r="H25" i="23"/>
  <c r="I25" i="23" s="1"/>
  <c r="J25" i="23" s="1"/>
  <c r="K25" i="23" s="1"/>
  <c r="L25" i="23" s="1"/>
  <c r="D25" i="23"/>
  <c r="E25" i="23" s="1"/>
  <c r="F25" i="23" s="1"/>
  <c r="G25" i="23" s="1"/>
  <c r="B25" i="23"/>
  <c r="F24" i="23"/>
  <c r="G24" i="23" s="1"/>
  <c r="H24" i="23" s="1"/>
  <c r="I24" i="23" s="1"/>
  <c r="J24" i="23" s="1"/>
  <c r="K24" i="23" s="1"/>
  <c r="L24" i="23" s="1"/>
  <c r="E24" i="23"/>
  <c r="D24" i="23"/>
  <c r="E10" i="23"/>
  <c r="D10" i="23"/>
  <c r="G9" i="23"/>
  <c r="G10" i="23" s="1"/>
  <c r="D9" i="23"/>
  <c r="E5" i="23"/>
  <c r="F5" i="23" s="1"/>
  <c r="G5" i="23" s="1"/>
  <c r="H5" i="23" s="1"/>
  <c r="I5" i="23" s="1"/>
  <c r="J5" i="23" s="1"/>
  <c r="K5" i="23" s="1"/>
  <c r="L5" i="23" s="1"/>
  <c r="M5" i="23" s="1"/>
  <c r="I4" i="23"/>
  <c r="J4" i="23" s="1"/>
  <c r="K4" i="23" s="1"/>
  <c r="L4" i="23" s="1"/>
  <c r="M4" i="23" s="1"/>
  <c r="E4" i="23"/>
  <c r="F4" i="23" s="1"/>
  <c r="G4" i="23" s="1"/>
  <c r="H4" i="23" s="1"/>
  <c r="D4" i="23"/>
  <c r="B94" i="22"/>
  <c r="D95" i="22"/>
  <c r="E95" i="22" s="1"/>
  <c r="F95" i="22" s="1"/>
  <c r="G95" i="22" s="1"/>
  <c r="H95" i="22" s="1"/>
  <c r="I95" i="22" s="1"/>
  <c r="J95" i="22" s="1"/>
  <c r="K95" i="22" s="1"/>
  <c r="L95" i="22" s="1"/>
  <c r="B95" i="22"/>
  <c r="D94" i="22"/>
  <c r="E94" i="22" s="1"/>
  <c r="F94" i="22" s="1"/>
  <c r="G94" i="22" s="1"/>
  <c r="H94" i="22" s="1"/>
  <c r="I94" i="22" s="1"/>
  <c r="J94" i="22" s="1"/>
  <c r="K94" i="22" s="1"/>
  <c r="L94" i="22" s="1"/>
  <c r="D74" i="22"/>
  <c r="E74" i="22" s="1"/>
  <c r="F74" i="22" s="1"/>
  <c r="G74" i="22" s="1"/>
  <c r="C73" i="22"/>
  <c r="C78" i="22" s="1"/>
  <c r="D72" i="22"/>
  <c r="D73" i="22" s="1"/>
  <c r="K65" i="22"/>
  <c r="L65" i="22" s="1"/>
  <c r="M65" i="22" s="1"/>
  <c r="D65" i="22"/>
  <c r="E65" i="22" s="1"/>
  <c r="F65" i="22" s="1"/>
  <c r="C64" i="22"/>
  <c r="C69" i="22" s="1"/>
  <c r="D63" i="22"/>
  <c r="D64" i="22" s="1"/>
  <c r="J47" i="22"/>
  <c r="K47" i="22" s="1"/>
  <c r="L47" i="22" s="1"/>
  <c r="M47" i="22" s="1"/>
  <c r="D47" i="22"/>
  <c r="E47" i="22" s="1"/>
  <c r="F47" i="22" s="1"/>
  <c r="C46" i="22"/>
  <c r="C50" i="22" s="1"/>
  <c r="D45" i="22"/>
  <c r="G11" i="22"/>
  <c r="H11" i="22" s="1"/>
  <c r="I11" i="22" s="1"/>
  <c r="J11" i="22" s="1"/>
  <c r="K11" i="22" s="1"/>
  <c r="L11" i="22" s="1"/>
  <c r="M11" i="22" s="1"/>
  <c r="C10" i="22"/>
  <c r="C13" i="22" s="1"/>
  <c r="E5" i="22"/>
  <c r="F5" i="22" s="1"/>
  <c r="G5" i="22" s="1"/>
  <c r="H5" i="22" s="1"/>
  <c r="I5" i="22" s="1"/>
  <c r="J5" i="22" s="1"/>
  <c r="K5" i="22" s="1"/>
  <c r="L5" i="22" s="1"/>
  <c r="M5" i="22" s="1"/>
  <c r="D4" i="22"/>
  <c r="D30" i="46"/>
  <c r="E30" i="46" s="1"/>
  <c r="F30" i="46" s="1"/>
  <c r="G30" i="46" s="1"/>
  <c r="H30" i="46" s="1"/>
  <c r="I30" i="46" s="1"/>
  <c r="J30" i="46" s="1"/>
  <c r="K30" i="46" s="1"/>
  <c r="L30" i="46" s="1"/>
  <c r="B30" i="46"/>
  <c r="D29" i="46"/>
  <c r="E29" i="46" s="1"/>
  <c r="F29" i="46" s="1"/>
  <c r="G29" i="46" s="1"/>
  <c r="H29" i="46" s="1"/>
  <c r="I29" i="46" s="1"/>
  <c r="J29" i="46" s="1"/>
  <c r="K29" i="46" s="1"/>
  <c r="L29" i="46" s="1"/>
  <c r="B29" i="46"/>
  <c r="H11" i="46"/>
  <c r="I11" i="46" s="1"/>
  <c r="J11" i="46" s="1"/>
  <c r="K11" i="46" s="1"/>
  <c r="L11" i="46" s="1"/>
  <c r="M11" i="46" s="1"/>
  <c r="C10" i="46"/>
  <c r="C13" i="46" s="1"/>
  <c r="C17" i="46" s="1"/>
  <c r="D9" i="46"/>
  <c r="D10" i="46" s="1"/>
  <c r="E5" i="46"/>
  <c r="F5" i="46" s="1"/>
  <c r="G5" i="46" s="1"/>
  <c r="H5" i="46" s="1"/>
  <c r="I5" i="46" s="1"/>
  <c r="J5" i="46" s="1"/>
  <c r="K5" i="46" s="1"/>
  <c r="L5" i="46" s="1"/>
  <c r="M5" i="46" s="1"/>
  <c r="D4" i="46"/>
  <c r="E39" i="20"/>
  <c r="F39" i="20" s="1"/>
  <c r="G39" i="20" s="1"/>
  <c r="H39" i="20" s="1"/>
  <c r="I39" i="20" s="1"/>
  <c r="J39" i="20" s="1"/>
  <c r="K39" i="20" s="1"/>
  <c r="L39" i="20" s="1"/>
  <c r="D39" i="20"/>
  <c r="B39" i="20"/>
  <c r="E38" i="20"/>
  <c r="F38" i="20" s="1"/>
  <c r="G38" i="20" s="1"/>
  <c r="H38" i="20" s="1"/>
  <c r="I38" i="20" s="1"/>
  <c r="J38" i="20" s="1"/>
  <c r="K38" i="20" s="1"/>
  <c r="L38" i="20" s="1"/>
  <c r="D38" i="20"/>
  <c r="B38" i="20"/>
  <c r="C24" i="20"/>
  <c r="C23" i="20"/>
  <c r="C22" i="20"/>
  <c r="D20" i="20"/>
  <c r="D23" i="20"/>
  <c r="F18" i="20"/>
  <c r="C15" i="20"/>
  <c r="C14" i="20"/>
  <c r="C13" i="20"/>
  <c r="H11" i="20"/>
  <c r="I11" i="20" s="1"/>
  <c r="J11" i="20" s="1"/>
  <c r="K11" i="20" s="1"/>
  <c r="L11" i="20" s="1"/>
  <c r="M11" i="20" s="1"/>
  <c r="E5" i="20"/>
  <c r="F5" i="20" s="1"/>
  <c r="G5" i="20" s="1"/>
  <c r="H5" i="20" s="1"/>
  <c r="I5" i="20" s="1"/>
  <c r="J5" i="20" s="1"/>
  <c r="K5" i="20" s="1"/>
  <c r="L5" i="20" s="1"/>
  <c r="M5" i="20" s="1"/>
  <c r="D4" i="20"/>
  <c r="D21" i="20" s="1"/>
  <c r="D22" i="20" s="1"/>
  <c r="D38" i="26"/>
  <c r="E38" i="26" s="1"/>
  <c r="F38" i="26" s="1"/>
  <c r="G38" i="26" s="1"/>
  <c r="H38" i="26" s="1"/>
  <c r="I38" i="26" s="1"/>
  <c r="J38" i="26" s="1"/>
  <c r="K38" i="26" s="1"/>
  <c r="L38" i="26" s="1"/>
  <c r="B38" i="26"/>
  <c r="D37" i="26"/>
  <c r="E37" i="26" s="1"/>
  <c r="F37" i="26" s="1"/>
  <c r="G37" i="26" s="1"/>
  <c r="H37" i="26" s="1"/>
  <c r="I37" i="26" s="1"/>
  <c r="J37" i="26" s="1"/>
  <c r="K37" i="26" s="1"/>
  <c r="L37" i="26" s="1"/>
  <c r="B37" i="26"/>
  <c r="C27" i="26"/>
  <c r="C28" i="26" s="1"/>
  <c r="K24" i="26"/>
  <c r="L24" i="26" s="1"/>
  <c r="M24" i="26" s="1"/>
  <c r="E24" i="26"/>
  <c r="F24" i="26" s="1"/>
  <c r="C23" i="26"/>
  <c r="H15" i="26"/>
  <c r="I15" i="26" s="1"/>
  <c r="J15" i="26" s="1"/>
  <c r="K15" i="26" s="1"/>
  <c r="L15" i="26" s="1"/>
  <c r="M15" i="26" s="1"/>
  <c r="D14" i="26"/>
  <c r="D23" i="26" s="1"/>
  <c r="E5" i="26"/>
  <c r="F5" i="26" s="1"/>
  <c r="G5" i="26" s="1"/>
  <c r="H5" i="26" s="1"/>
  <c r="I5" i="26" s="1"/>
  <c r="J5" i="26" s="1"/>
  <c r="K5" i="26" s="1"/>
  <c r="L5" i="26" s="1"/>
  <c r="M5" i="26" s="1"/>
  <c r="D4" i="26"/>
  <c r="E4" i="26" s="1"/>
  <c r="B26" i="19"/>
  <c r="B25" i="19"/>
  <c r="C25" i="19" s="1"/>
  <c r="D19" i="19"/>
  <c r="L18" i="19"/>
  <c r="M18" i="19" s="1"/>
  <c r="E18" i="19"/>
  <c r="F18" i="19" s="1"/>
  <c r="F19" i="19" s="1"/>
  <c r="M17" i="19"/>
  <c r="N51" i="28" s="1"/>
  <c r="L17" i="19"/>
  <c r="M51" i="28" s="1"/>
  <c r="K17" i="19"/>
  <c r="L51" i="28" s="1"/>
  <c r="J17" i="19"/>
  <c r="K51" i="28" s="1"/>
  <c r="F17" i="19"/>
  <c r="G51" i="28" s="1"/>
  <c r="E17" i="19"/>
  <c r="F51" i="28" s="1"/>
  <c r="D17" i="19"/>
  <c r="E51" i="28" s="1"/>
  <c r="E5" i="19"/>
  <c r="F5" i="19" s="1"/>
  <c r="G5" i="19" s="1"/>
  <c r="H5" i="19" s="1"/>
  <c r="I5" i="19" s="1"/>
  <c r="J5" i="19" s="1"/>
  <c r="K5" i="19" s="1"/>
  <c r="L5" i="19" s="1"/>
  <c r="M5" i="19" s="1"/>
  <c r="D4" i="19"/>
  <c r="C81" i="14"/>
  <c r="C78" i="14"/>
  <c r="D70" i="14"/>
  <c r="E70" i="14" s="1"/>
  <c r="F70" i="14" s="1"/>
  <c r="G70" i="14" s="1"/>
  <c r="H70" i="14" s="1"/>
  <c r="I70" i="14" s="1"/>
  <c r="J70" i="14" s="1"/>
  <c r="K70" i="14" s="1"/>
  <c r="L70" i="14" s="1"/>
  <c r="B70" i="14"/>
  <c r="D69" i="14"/>
  <c r="E69" i="14" s="1"/>
  <c r="F69" i="14" s="1"/>
  <c r="G69" i="14" s="1"/>
  <c r="H69" i="14" s="1"/>
  <c r="I69" i="14" s="1"/>
  <c r="J69" i="14" s="1"/>
  <c r="K69" i="14" s="1"/>
  <c r="L69" i="14" s="1"/>
  <c r="B69" i="14"/>
  <c r="C59" i="14"/>
  <c r="C60" i="14" s="1"/>
  <c r="D5" i="28" s="1"/>
  <c r="M55" i="14"/>
  <c r="E55" i="14"/>
  <c r="F55" i="14" s="1"/>
  <c r="E45" i="14"/>
  <c r="F45" i="14" s="1"/>
  <c r="G45" i="14" s="1"/>
  <c r="G39" i="14"/>
  <c r="F39" i="14"/>
  <c r="E39" i="14"/>
  <c r="D39" i="14"/>
  <c r="K35" i="14"/>
  <c r="L35" i="14" s="1"/>
  <c r="M35" i="14" s="1"/>
  <c r="E35" i="14"/>
  <c r="F35" i="14" s="1"/>
  <c r="E29" i="14"/>
  <c r="D33" i="14"/>
  <c r="J25" i="14"/>
  <c r="K25" i="14" s="1"/>
  <c r="L25" i="14" s="1"/>
  <c r="M25" i="14" s="1"/>
  <c r="F50" i="48"/>
  <c r="F58" i="48" s="1"/>
  <c r="H15" i="14"/>
  <c r="C14" i="14"/>
  <c r="G11" i="14"/>
  <c r="F11" i="14"/>
  <c r="M9" i="14"/>
  <c r="L9" i="14"/>
  <c r="K9" i="14"/>
  <c r="J9" i="14"/>
  <c r="I9" i="14"/>
  <c r="H9" i="14"/>
  <c r="G9" i="14"/>
  <c r="F9" i="14"/>
  <c r="E13" i="14"/>
  <c r="E5" i="14"/>
  <c r="F5" i="14" s="1"/>
  <c r="G5" i="14" s="1"/>
  <c r="H5" i="14" s="1"/>
  <c r="I5" i="14" s="1"/>
  <c r="J5" i="14" s="1"/>
  <c r="K5" i="14" s="1"/>
  <c r="L5" i="14" s="1"/>
  <c r="M5" i="14" s="1"/>
  <c r="D4" i="14"/>
  <c r="E4" i="14" s="1"/>
  <c r="F4" i="14" s="1"/>
  <c r="G4" i="14" s="1"/>
  <c r="H4" i="14" s="1"/>
  <c r="I4" i="14" s="1"/>
  <c r="J4" i="14" s="1"/>
  <c r="K4" i="14" s="1"/>
  <c r="L4" i="14" s="1"/>
  <c r="M4" i="14" s="1"/>
  <c r="D10" i="15"/>
  <c r="F6" i="15"/>
  <c r="G6" i="15" s="1"/>
  <c r="H6" i="15" s="1"/>
  <c r="I6" i="15" s="1"/>
  <c r="J6" i="15" s="1"/>
  <c r="K6" i="15" s="1"/>
  <c r="L6" i="15" s="1"/>
  <c r="M6" i="15" s="1"/>
  <c r="N6" i="15" s="1"/>
  <c r="E5" i="15"/>
  <c r="N56" i="28"/>
  <c r="M56" i="28"/>
  <c r="L56" i="28"/>
  <c r="K56" i="28"/>
  <c r="J56" i="28"/>
  <c r="I56" i="28"/>
  <c r="H56" i="28"/>
  <c r="G56" i="28"/>
  <c r="F56" i="28"/>
  <c r="E56" i="28"/>
  <c r="D56" i="28"/>
  <c r="N55" i="28"/>
  <c r="K55" i="28"/>
  <c r="J55" i="28"/>
  <c r="G55" i="28"/>
  <c r="F48" i="28"/>
  <c r="G48" i="28" s="1"/>
  <c r="H48" i="28" s="1"/>
  <c r="I48" i="28" s="1"/>
  <c r="J48" i="28" s="1"/>
  <c r="K48" i="28" s="1"/>
  <c r="L48" i="28" s="1"/>
  <c r="M48" i="28" s="1"/>
  <c r="N48" i="28" s="1"/>
  <c r="F29" i="28"/>
  <c r="D6" i="37"/>
  <c r="F3" i="28"/>
  <c r="G3" i="28" s="1"/>
  <c r="H3" i="28" s="1"/>
  <c r="I3" i="28" s="1"/>
  <c r="J3" i="28" s="1"/>
  <c r="K3" i="28" s="1"/>
  <c r="L3" i="28" s="1"/>
  <c r="M3" i="28" s="1"/>
  <c r="N3" i="28" s="1"/>
  <c r="I95" i="29" l="1"/>
  <c r="D7" i="37"/>
  <c r="D59" i="22"/>
  <c r="D30" i="22"/>
  <c r="D31" i="22" s="1"/>
  <c r="D57" i="22"/>
  <c r="D58" i="22" s="1"/>
  <c r="D60" i="22"/>
  <c r="C26" i="20"/>
  <c r="D46" i="22"/>
  <c r="F45" i="22"/>
  <c r="D21" i="22"/>
  <c r="D22" i="22" s="1"/>
  <c r="D33" i="22"/>
  <c r="D32" i="22"/>
  <c r="D39" i="22"/>
  <c r="D40" i="22" s="1"/>
  <c r="D41" i="22"/>
  <c r="D42" i="22"/>
  <c r="D23" i="22"/>
  <c r="D24" i="22"/>
  <c r="E72" i="22"/>
  <c r="F72" i="22" s="1"/>
  <c r="G72" i="22" s="1"/>
  <c r="H9" i="23"/>
  <c r="F27" i="18"/>
  <c r="L27" i="18" s="1"/>
  <c r="E10" i="15"/>
  <c r="E13" i="15"/>
  <c r="E11" i="15"/>
  <c r="E12" i="15"/>
  <c r="E53" i="14"/>
  <c r="C28" i="20"/>
  <c r="G8" i="34"/>
  <c r="G7" i="34"/>
  <c r="G15" i="34"/>
  <c r="D5" i="48"/>
  <c r="C68" i="14"/>
  <c r="G18" i="20"/>
  <c r="F19" i="20"/>
  <c r="F4" i="26"/>
  <c r="E14" i="26"/>
  <c r="E23" i="26" s="1"/>
  <c r="D7" i="48"/>
  <c r="D7" i="28"/>
  <c r="C36" i="26"/>
  <c r="N59" i="28"/>
  <c r="N51" i="48"/>
  <c r="N59" i="48" s="1"/>
  <c r="E52" i="48"/>
  <c r="E60" i="48" s="1"/>
  <c r="E50" i="48"/>
  <c r="E58" i="48" s="1"/>
  <c r="K51" i="48"/>
  <c r="K59" i="48" s="1"/>
  <c r="H52" i="48"/>
  <c r="H60" i="48" s="1"/>
  <c r="E4" i="20"/>
  <c r="E23" i="20" s="1"/>
  <c r="C27" i="20"/>
  <c r="E24" i="20"/>
  <c r="C63" i="48"/>
  <c r="I54" i="48"/>
  <c r="M54" i="48"/>
  <c r="H10" i="23"/>
  <c r="I9" i="23"/>
  <c r="D12" i="20"/>
  <c r="H50" i="48"/>
  <c r="H58" i="48" s="1"/>
  <c r="E4" i="19"/>
  <c r="E14" i="19" s="1"/>
  <c r="D14" i="19"/>
  <c r="F59" i="28"/>
  <c r="F51" i="48"/>
  <c r="F59" i="48" s="1"/>
  <c r="L52" i="48"/>
  <c r="L60" i="48" s="1"/>
  <c r="D27" i="20"/>
  <c r="C62" i="48"/>
  <c r="F55" i="28"/>
  <c r="F66" i="48"/>
  <c r="F55" i="48" s="1"/>
  <c r="M55" i="28"/>
  <c r="M66" i="48"/>
  <c r="M55" i="48" s="1"/>
  <c r="D65" i="28"/>
  <c r="D65" i="48"/>
  <c r="D63" i="28"/>
  <c r="D63" i="48"/>
  <c r="J43" i="28"/>
  <c r="D27" i="48"/>
  <c r="D115" i="48"/>
  <c r="D116" i="48"/>
  <c r="F116" i="48" s="1"/>
  <c r="N50" i="48"/>
  <c r="N58" i="48" s="1"/>
  <c r="N68" i="48" s="1"/>
  <c r="H51" i="48"/>
  <c r="H59" i="48" s="1"/>
  <c r="D24" i="20"/>
  <c r="F5" i="15"/>
  <c r="I50" i="48"/>
  <c r="I58" i="48" s="1"/>
  <c r="M50" i="48"/>
  <c r="M58" i="48" s="1"/>
  <c r="M14" i="14"/>
  <c r="M24" i="14" s="1"/>
  <c r="M34" i="14" s="1"/>
  <c r="M44" i="14" s="1"/>
  <c r="M54" i="14" s="1"/>
  <c r="D11" i="14"/>
  <c r="G59" i="28"/>
  <c r="G51" i="48"/>
  <c r="G59" i="48" s="1"/>
  <c r="J52" i="48"/>
  <c r="J60" i="48" s="1"/>
  <c r="N52" i="48"/>
  <c r="N60" i="48" s="1"/>
  <c r="J54" i="48"/>
  <c r="N54" i="48"/>
  <c r="L11" i="23"/>
  <c r="C66" i="48"/>
  <c r="F63" i="28"/>
  <c r="F63" i="48"/>
  <c r="H64" i="28"/>
  <c r="H64" i="48"/>
  <c r="J51" i="48"/>
  <c r="J59" i="48" s="1"/>
  <c r="M64" i="28"/>
  <c r="M64" i="48"/>
  <c r="D62" i="28"/>
  <c r="D62" i="48"/>
  <c r="D114" i="48"/>
  <c r="C64" i="48"/>
  <c r="D54" i="48"/>
  <c r="K54" i="48"/>
  <c r="C56" i="48"/>
  <c r="E62" i="28"/>
  <c r="E62" i="48"/>
  <c r="H55" i="28"/>
  <c r="H66" i="48"/>
  <c r="H55" i="48" s="1"/>
  <c r="I63" i="28"/>
  <c r="I63" i="48"/>
  <c r="D64" i="28"/>
  <c r="D64" i="48"/>
  <c r="D66" i="48"/>
  <c r="D55" i="48" s="1"/>
  <c r="G16" i="34"/>
  <c r="E117" i="48"/>
  <c r="E119" i="48" s="1"/>
  <c r="F119" i="48" s="1"/>
  <c r="H54" i="48"/>
  <c r="L54" i="48"/>
  <c r="J63" i="28"/>
  <c r="J63" i="48"/>
  <c r="J64" i="28"/>
  <c r="J64" i="48"/>
  <c r="L55" i="28"/>
  <c r="L66" i="48"/>
  <c r="L55" i="48" s="1"/>
  <c r="M63" i="28"/>
  <c r="M63" i="48"/>
  <c r="K8" i="48"/>
  <c r="G20" i="37"/>
  <c r="C60" i="48"/>
  <c r="K59" i="28"/>
  <c r="H59" i="28"/>
  <c r="D51" i="22"/>
  <c r="D50" i="22"/>
  <c r="D68" i="22"/>
  <c r="D69" i="22"/>
  <c r="D77" i="22"/>
  <c r="D78" i="22"/>
  <c r="C14" i="22"/>
  <c r="D48" i="22"/>
  <c r="D49" i="22" s="1"/>
  <c r="C51" i="22"/>
  <c r="C67" i="22"/>
  <c r="C77" i="22"/>
  <c r="E4" i="22"/>
  <c r="D12" i="22"/>
  <c r="C15" i="22"/>
  <c r="C68" i="22"/>
  <c r="D75" i="22"/>
  <c r="D76" i="22" s="1"/>
  <c r="C49" i="22"/>
  <c r="E63" i="22"/>
  <c r="D66" i="22"/>
  <c r="D67" i="22" s="1"/>
  <c r="E45" i="22"/>
  <c r="C76" i="22"/>
  <c r="D12" i="46"/>
  <c r="D13" i="46" s="1"/>
  <c r="D17" i="46" s="1"/>
  <c r="E4" i="46"/>
  <c r="J27" i="47"/>
  <c r="K8" i="28"/>
  <c r="J80" i="29"/>
  <c r="J95" i="29" s="1"/>
  <c r="K20" i="26"/>
  <c r="M20" i="26"/>
  <c r="D104" i="29"/>
  <c r="M52" i="48"/>
  <c r="M60" i="48" s="1"/>
  <c r="D110" i="22"/>
  <c r="C80" i="14"/>
  <c r="I31" i="14" s="1"/>
  <c r="K22" i="26"/>
  <c r="G20" i="26"/>
  <c r="H20" i="26"/>
  <c r="N50" i="28"/>
  <c r="N58" i="28" s="1"/>
  <c r="E60" i="28"/>
  <c r="L20" i="26"/>
  <c r="H60" i="28"/>
  <c r="E50" i="28"/>
  <c r="E58" i="28" s="1"/>
  <c r="I60" i="28"/>
  <c r="D20" i="26"/>
  <c r="I20" i="26"/>
  <c r="D103" i="22"/>
  <c r="J60" i="28"/>
  <c r="N60" i="28"/>
  <c r="E20" i="26"/>
  <c r="H18" i="20"/>
  <c r="D41" i="14"/>
  <c r="M41" i="14"/>
  <c r="I41" i="14"/>
  <c r="H41" i="14"/>
  <c r="E33" i="14"/>
  <c r="L60" i="28"/>
  <c r="I50" i="28"/>
  <c r="I58" i="28" s="1"/>
  <c r="G21" i="19"/>
  <c r="D53" i="14"/>
  <c r="C65" i="18"/>
  <c r="F10" i="18"/>
  <c r="G10" i="18" s="1"/>
  <c r="H10" i="18" s="1"/>
  <c r="I10" i="18" s="1"/>
  <c r="H28" i="18"/>
  <c r="I28" i="18" s="1"/>
  <c r="J28" i="18" s="1"/>
  <c r="F9" i="20"/>
  <c r="D47" i="20"/>
  <c r="C62" i="28" s="1"/>
  <c r="E59" i="28"/>
  <c r="M50" i="28"/>
  <c r="M58" i="28" s="1"/>
  <c r="D14" i="46"/>
  <c r="D18" i="46" s="1"/>
  <c r="C15" i="46"/>
  <c r="C19" i="46" s="1"/>
  <c r="C14" i="46"/>
  <c r="C18" i="46" s="1"/>
  <c r="D15" i="46"/>
  <c r="D19" i="46" s="1"/>
  <c r="F101" i="28"/>
  <c r="C86" i="22" s="1"/>
  <c r="F102" i="28"/>
  <c r="C87" i="22" s="1"/>
  <c r="F100" i="28"/>
  <c r="F99" i="28"/>
  <c r="C31" i="20" s="1"/>
  <c r="F103" i="28"/>
  <c r="L17" i="23" s="1"/>
  <c r="L19" i="23" s="1"/>
  <c r="F98" i="28"/>
  <c r="F105" i="28"/>
  <c r="G29" i="28"/>
  <c r="D49" i="18"/>
  <c r="D51" i="18" s="1"/>
  <c r="D10" i="14"/>
  <c r="H11" i="14"/>
  <c r="I15" i="14"/>
  <c r="J15" i="14" s="1"/>
  <c r="J11" i="14" s="1"/>
  <c r="K13" i="14"/>
  <c r="J13" i="14"/>
  <c r="F4" i="19"/>
  <c r="G4" i="19" s="1"/>
  <c r="E22" i="19"/>
  <c r="E24" i="19" s="1"/>
  <c r="D22" i="19"/>
  <c r="F21" i="19"/>
  <c r="G18" i="19"/>
  <c r="G19" i="19" s="1"/>
  <c r="E19" i="19"/>
  <c r="C26" i="19"/>
  <c r="C27" i="19" s="1"/>
  <c r="F12" i="34"/>
  <c r="G12" i="34" s="1"/>
  <c r="F11" i="36"/>
  <c r="G27" i="28"/>
  <c r="E6" i="37" s="1"/>
  <c r="C79" i="14"/>
  <c r="F50" i="28"/>
  <c r="F58" i="28" s="1"/>
  <c r="F14" i="14"/>
  <c r="F24" i="14" s="1"/>
  <c r="F34" i="14" s="1"/>
  <c r="F44" i="14" s="1"/>
  <c r="F54" i="14" s="1"/>
  <c r="D14" i="15"/>
  <c r="D15" i="15" s="1"/>
  <c r="D22" i="26"/>
  <c r="F22" i="26"/>
  <c r="E22" i="26"/>
  <c r="D43" i="14"/>
  <c r="G43" i="14"/>
  <c r="F43" i="14"/>
  <c r="G22" i="26"/>
  <c r="L13" i="14"/>
  <c r="H13" i="14"/>
  <c r="I13" i="14"/>
  <c r="D13" i="14"/>
  <c r="M13" i="14"/>
  <c r="G13" i="14"/>
  <c r="F13" i="14"/>
  <c r="E43" i="14"/>
  <c r="J41" i="14"/>
  <c r="F41" i="14"/>
  <c r="D40" i="14"/>
  <c r="L41" i="14"/>
  <c r="G41" i="14"/>
  <c r="K41" i="14"/>
  <c r="E41" i="14"/>
  <c r="E21" i="19"/>
  <c r="D13" i="26"/>
  <c r="C68" i="18"/>
  <c r="C91" i="22"/>
  <c r="E11" i="14"/>
  <c r="J20" i="26"/>
  <c r="F20" i="26"/>
  <c r="D19" i="26"/>
  <c r="D109" i="22"/>
  <c r="D23" i="14"/>
  <c r="D106" i="22"/>
  <c r="F33" i="14"/>
  <c r="F53" i="14"/>
  <c r="D21" i="19"/>
  <c r="H14" i="14"/>
  <c r="H24" i="14" s="1"/>
  <c r="H34" i="14" s="1"/>
  <c r="H44" i="14" s="1"/>
  <c r="H54" i="14" s="1"/>
  <c r="E11" i="23"/>
  <c r="M11" i="23"/>
  <c r="J11" i="23"/>
  <c r="J14" i="14"/>
  <c r="J24" i="14" s="1"/>
  <c r="J34" i="14" s="1"/>
  <c r="J44" i="14" s="1"/>
  <c r="J54" i="14" s="1"/>
  <c r="C24" i="14"/>
  <c r="C34" i="14" s="1"/>
  <c r="C44" i="14" s="1"/>
  <c r="C54" i="14" s="1"/>
  <c r="F11" i="23"/>
  <c r="F13" i="23" s="1"/>
  <c r="C13" i="23"/>
  <c r="D14" i="14"/>
  <c r="L14" i="14"/>
  <c r="L24" i="14" s="1"/>
  <c r="L34" i="14" s="1"/>
  <c r="L44" i="14" s="1"/>
  <c r="L54" i="14" s="1"/>
  <c r="I11" i="23"/>
  <c r="G14" i="14"/>
  <c r="K14" i="14"/>
  <c r="E14" i="14"/>
  <c r="I14" i="14"/>
  <c r="G11" i="23"/>
  <c r="K11" i="23"/>
  <c r="D11" i="23"/>
  <c r="D13" i="23" s="1"/>
  <c r="H11" i="23"/>
  <c r="C56" i="28"/>
  <c r="D39" i="18"/>
  <c r="D42" i="18" s="1"/>
  <c r="D38" i="18"/>
  <c r="D41" i="18" s="1"/>
  <c r="D20" i="18"/>
  <c r="D11" i="18"/>
  <c r="E11" i="18"/>
  <c r="C17" i="18"/>
  <c r="C23" i="18" s="1"/>
  <c r="D21" i="18"/>
  <c r="D24" i="18" s="1"/>
  <c r="E38" i="18"/>
  <c r="E20" i="18"/>
  <c r="E21" i="18"/>
  <c r="E39" i="18"/>
  <c r="E42" i="18" s="1"/>
  <c r="F4" i="18"/>
  <c r="C29" i="20" l="1"/>
  <c r="D9" i="28" s="1"/>
  <c r="N68" i="28"/>
  <c r="D20" i="14"/>
  <c r="E9" i="18"/>
  <c r="F9" i="18" s="1"/>
  <c r="G9" i="18" s="1"/>
  <c r="H9" i="18" s="1"/>
  <c r="I9" i="18" s="1"/>
  <c r="J9" i="18" s="1"/>
  <c r="K9" i="18" s="1"/>
  <c r="L9" i="18" s="1"/>
  <c r="M9" i="18" s="1"/>
  <c r="C55" i="28"/>
  <c r="D44" i="19"/>
  <c r="C22" i="46"/>
  <c r="E22" i="46" s="1"/>
  <c r="E26" i="46" s="1"/>
  <c r="D68" i="28"/>
  <c r="H29" i="28"/>
  <c r="H68" i="48"/>
  <c r="E30" i="22"/>
  <c r="E31" i="22" s="1"/>
  <c r="E60" i="22"/>
  <c r="E59" i="22"/>
  <c r="E57" i="22"/>
  <c r="E58" i="22" s="1"/>
  <c r="C62" i="14"/>
  <c r="F62" i="14" s="1"/>
  <c r="F64" i="14" s="1"/>
  <c r="F66" i="14" s="1"/>
  <c r="C21" i="47"/>
  <c r="D24" i="19"/>
  <c r="D26" i="19" s="1"/>
  <c r="C80" i="22"/>
  <c r="D13" i="20"/>
  <c r="D26" i="20" s="1"/>
  <c r="C37" i="20"/>
  <c r="J27" i="18"/>
  <c r="K27" i="18"/>
  <c r="C85" i="22"/>
  <c r="D85" i="22" s="1"/>
  <c r="E89" i="22" s="1"/>
  <c r="E91" i="22" s="1"/>
  <c r="C81" i="22"/>
  <c r="C82" i="22"/>
  <c r="E21" i="22"/>
  <c r="E22" i="22" s="1"/>
  <c r="E32" i="22"/>
  <c r="E33" i="22"/>
  <c r="F73" i="22"/>
  <c r="E39" i="22"/>
  <c r="E40" i="22" s="1"/>
  <c r="E41" i="22"/>
  <c r="E42" i="22"/>
  <c r="E24" i="22"/>
  <c r="E23" i="22"/>
  <c r="E73" i="22"/>
  <c r="E77" i="22" s="1"/>
  <c r="C40" i="18"/>
  <c r="C41" i="18"/>
  <c r="G27" i="18"/>
  <c r="I27" i="18"/>
  <c r="M27" i="18"/>
  <c r="H27" i="18"/>
  <c r="F13" i="15"/>
  <c r="F12" i="15"/>
  <c r="F11" i="15"/>
  <c r="E40" i="14"/>
  <c r="F40" i="14" s="1"/>
  <c r="G40" i="14" s="1"/>
  <c r="D28" i="20"/>
  <c r="D23" i="34"/>
  <c r="F27" i="34"/>
  <c r="F28" i="34" s="1"/>
  <c r="G28" i="34" s="1"/>
  <c r="D28" i="34"/>
  <c r="F23" i="34"/>
  <c r="F24" i="34" s="1"/>
  <c r="G24" i="34" s="1"/>
  <c r="D24" i="34"/>
  <c r="F19" i="34"/>
  <c r="F20" i="34" s="1"/>
  <c r="G20" i="34" s="1"/>
  <c r="D20" i="34"/>
  <c r="F60" i="28"/>
  <c r="F52" i="48"/>
  <c r="F60" i="48" s="1"/>
  <c r="F62" i="28"/>
  <c r="F62" i="48"/>
  <c r="M74" i="48"/>
  <c r="F14" i="26"/>
  <c r="F23" i="26" s="1"/>
  <c r="G4" i="26"/>
  <c r="M60" i="28"/>
  <c r="L64" i="28"/>
  <c r="L64" i="48"/>
  <c r="I62" i="28"/>
  <c r="I62" i="48"/>
  <c r="F54" i="48"/>
  <c r="C65" i="48"/>
  <c r="I64" i="28"/>
  <c r="I64" i="48"/>
  <c r="D68" i="48"/>
  <c r="F115" i="48"/>
  <c r="E34" i="48"/>
  <c r="E35" i="48" s="1"/>
  <c r="I52" i="48"/>
  <c r="I60" i="48" s="1"/>
  <c r="D9" i="48"/>
  <c r="E51" i="48"/>
  <c r="E59" i="48" s="1"/>
  <c r="E68" i="48" s="1"/>
  <c r="F10" i="15"/>
  <c r="G5" i="15"/>
  <c r="D23" i="18"/>
  <c r="D23" i="48"/>
  <c r="E14" i="15"/>
  <c r="E15" i="15" s="1"/>
  <c r="F31" i="20"/>
  <c r="F33" i="20" s="1"/>
  <c r="F35" i="20" s="1"/>
  <c r="C55" i="48"/>
  <c r="C59" i="48"/>
  <c r="G64" i="28"/>
  <c r="G64" i="48"/>
  <c r="E65" i="28"/>
  <c r="E65" i="48"/>
  <c r="C52" i="48"/>
  <c r="F64" i="28"/>
  <c r="F64" i="48"/>
  <c r="M51" i="48"/>
  <c r="M59" i="48" s="1"/>
  <c r="M68" i="48" s="1"/>
  <c r="J43" i="48"/>
  <c r="E27" i="20"/>
  <c r="E28" i="20"/>
  <c r="G50" i="48"/>
  <c r="G58" i="48" s="1"/>
  <c r="G68" i="48" s="1"/>
  <c r="G19" i="20"/>
  <c r="F23" i="20"/>
  <c r="E26" i="48"/>
  <c r="E55" i="28"/>
  <c r="E66" i="48"/>
  <c r="E55" i="48" s="1"/>
  <c r="E10" i="14"/>
  <c r="D26" i="48"/>
  <c r="G60" i="28"/>
  <c r="G52" i="48"/>
  <c r="G60" i="48" s="1"/>
  <c r="D6" i="48"/>
  <c r="C53" i="48"/>
  <c r="E64" i="28"/>
  <c r="E64" i="48"/>
  <c r="I51" i="48"/>
  <c r="I59" i="48" s="1"/>
  <c r="I68" i="48" s="1"/>
  <c r="F65" i="28"/>
  <c r="F65" i="48"/>
  <c r="F18" i="36"/>
  <c r="F22" i="36" s="1"/>
  <c r="F124" i="48"/>
  <c r="F126" i="48" s="1"/>
  <c r="F128" i="48" s="1"/>
  <c r="I55" i="28"/>
  <c r="I66" i="48"/>
  <c r="I55" i="48" s="1"/>
  <c r="F114" i="48"/>
  <c r="L51" i="48"/>
  <c r="L59" i="48" s="1"/>
  <c r="J9" i="23"/>
  <c r="I10" i="23"/>
  <c r="F4" i="20"/>
  <c r="E21" i="20"/>
  <c r="E22" i="20" s="1"/>
  <c r="E12" i="20"/>
  <c r="G33" i="37"/>
  <c r="H20" i="37"/>
  <c r="C82" i="14"/>
  <c r="K51" i="14" s="1"/>
  <c r="C58" i="48"/>
  <c r="L50" i="28"/>
  <c r="L58" i="28" s="1"/>
  <c r="L50" i="48"/>
  <c r="L58" i="48" s="1"/>
  <c r="K52" i="48"/>
  <c r="K60" i="48" s="1"/>
  <c r="F11" i="26"/>
  <c r="E46" i="22"/>
  <c r="G73" i="22"/>
  <c r="F63" i="22"/>
  <c r="E64" i="22"/>
  <c r="E66" i="22"/>
  <c r="E75" i="22"/>
  <c r="E12" i="22"/>
  <c r="F4" i="22"/>
  <c r="E48" i="22"/>
  <c r="E85" i="22"/>
  <c r="F89" i="22" s="1"/>
  <c r="F91" i="22" s="1"/>
  <c r="F4" i="46"/>
  <c r="E12" i="46"/>
  <c r="E13" i="46" s="1"/>
  <c r="E17" i="46" s="1"/>
  <c r="E14" i="46"/>
  <c r="E18" i="46" s="1"/>
  <c r="E15" i="46"/>
  <c r="E19" i="46" s="1"/>
  <c r="L104" i="29"/>
  <c r="K60" i="28"/>
  <c r="M59" i="28"/>
  <c r="M68" i="28" s="1"/>
  <c r="L59" i="28"/>
  <c r="E24" i="18"/>
  <c r="E46" i="18" s="1"/>
  <c r="C43" i="19"/>
  <c r="C33" i="23"/>
  <c r="C54" i="28" s="1"/>
  <c r="C47" i="18"/>
  <c r="L21" i="14"/>
  <c r="J22" i="26"/>
  <c r="I22" i="26"/>
  <c r="M22" i="26"/>
  <c r="L22" i="26"/>
  <c r="H22" i="26"/>
  <c r="G50" i="28"/>
  <c r="G58" i="28" s="1"/>
  <c r="H104" i="29"/>
  <c r="F104" i="29"/>
  <c r="F31" i="14"/>
  <c r="F21" i="14"/>
  <c r="H50" i="28"/>
  <c r="H58" i="28" s="1"/>
  <c r="H68" i="28" s="1"/>
  <c r="E13" i="23"/>
  <c r="E14" i="23" s="1"/>
  <c r="E15" i="23" s="1"/>
  <c r="D31" i="14"/>
  <c r="M31" i="14"/>
  <c r="J31" i="14"/>
  <c r="M104" i="29"/>
  <c r="H31" i="14"/>
  <c r="E31" i="14"/>
  <c r="G31" i="14"/>
  <c r="D53" i="18"/>
  <c r="L31" i="14"/>
  <c r="G104" i="29"/>
  <c r="K31" i="14"/>
  <c r="D30" i="14"/>
  <c r="J21" i="14"/>
  <c r="H21" i="14"/>
  <c r="M21" i="14"/>
  <c r="K11" i="26"/>
  <c r="G21" i="14"/>
  <c r="H11" i="26"/>
  <c r="D10" i="26"/>
  <c r="I104" i="29"/>
  <c r="J104" i="29"/>
  <c r="D10" i="22"/>
  <c r="I18" i="20"/>
  <c r="J18" i="20" s="1"/>
  <c r="K18" i="20" s="1"/>
  <c r="L18" i="20" s="1"/>
  <c r="M18" i="20" s="1"/>
  <c r="H19" i="20"/>
  <c r="D26" i="28"/>
  <c r="L21" i="23"/>
  <c r="E104" i="29"/>
  <c r="F10" i="46"/>
  <c r="G9" i="46"/>
  <c r="E26" i="28"/>
  <c r="F10" i="20"/>
  <c r="G9" i="20"/>
  <c r="H9" i="20" s="1"/>
  <c r="I9" i="20" s="1"/>
  <c r="J9" i="20" s="1"/>
  <c r="K9" i="20" s="1"/>
  <c r="L9" i="20" s="1"/>
  <c r="M9" i="20" s="1"/>
  <c r="J13" i="19"/>
  <c r="F13" i="19"/>
  <c r="M13" i="19"/>
  <c r="I13" i="19"/>
  <c r="E13" i="19"/>
  <c r="L13" i="19"/>
  <c r="H13" i="19"/>
  <c r="D13" i="19"/>
  <c r="K13" i="19"/>
  <c r="G13" i="19"/>
  <c r="D22" i="46"/>
  <c r="D24" i="46" s="1"/>
  <c r="D26" i="46" s="1"/>
  <c r="H17" i="23"/>
  <c r="H19" i="23" s="1"/>
  <c r="H21" i="23" s="1"/>
  <c r="I17" i="23"/>
  <c r="I19" i="23" s="1"/>
  <c r="I21" i="23" s="1"/>
  <c r="D17" i="23"/>
  <c r="D19" i="23" s="1"/>
  <c r="D21" i="23" s="1"/>
  <c r="M17" i="23"/>
  <c r="M19" i="23" s="1"/>
  <c r="M21" i="23" s="1"/>
  <c r="K17" i="23"/>
  <c r="K19" i="23" s="1"/>
  <c r="K21" i="23" s="1"/>
  <c r="E17" i="23"/>
  <c r="E19" i="23" s="1"/>
  <c r="E21" i="23" s="1"/>
  <c r="C33" i="20"/>
  <c r="C35" i="20" s="1"/>
  <c r="J17" i="23"/>
  <c r="J19" i="23" s="1"/>
  <c r="J21" i="23" s="1"/>
  <c r="C19" i="23"/>
  <c r="C21" i="23" s="1"/>
  <c r="D86" i="22"/>
  <c r="E86" i="22"/>
  <c r="E49" i="18"/>
  <c r="E87" i="22"/>
  <c r="D87" i="22"/>
  <c r="E31" i="20"/>
  <c r="E33" i="20" s="1"/>
  <c r="E35" i="20" s="1"/>
  <c r="D31" i="20"/>
  <c r="D33" i="20" s="1"/>
  <c r="D35" i="20" s="1"/>
  <c r="E7" i="37"/>
  <c r="C30" i="26"/>
  <c r="F7" i="37"/>
  <c r="C29" i="19"/>
  <c r="C31" i="19" s="1"/>
  <c r="C33" i="19" s="1"/>
  <c r="G17" i="23"/>
  <c r="G19" i="23" s="1"/>
  <c r="H27" i="28"/>
  <c r="I27" i="28" s="1"/>
  <c r="G6" i="37" s="1"/>
  <c r="C53" i="18"/>
  <c r="F17" i="23"/>
  <c r="F19" i="23" s="1"/>
  <c r="F21" i="23" s="1"/>
  <c r="K15" i="14"/>
  <c r="L15" i="14" s="1"/>
  <c r="I11" i="14"/>
  <c r="G14" i="19"/>
  <c r="F22" i="19"/>
  <c r="F24" i="19" s="1"/>
  <c r="F14" i="19"/>
  <c r="D6" i="28"/>
  <c r="C35" i="19"/>
  <c r="G22" i="19"/>
  <c r="G24" i="19" s="1"/>
  <c r="H4" i="19"/>
  <c r="H14" i="19" s="1"/>
  <c r="K104" i="29"/>
  <c r="D11" i="26"/>
  <c r="J11" i="26"/>
  <c r="L11" i="26"/>
  <c r="E11" i="26"/>
  <c r="E26" i="26" s="1"/>
  <c r="E13" i="26"/>
  <c r="I11" i="26"/>
  <c r="D21" i="14"/>
  <c r="K21" i="14"/>
  <c r="I21" i="14"/>
  <c r="E21" i="14"/>
  <c r="M11" i="26"/>
  <c r="G11" i="26"/>
  <c r="E19" i="26"/>
  <c r="F19" i="26" s="1"/>
  <c r="F10" i="14"/>
  <c r="H46" i="22"/>
  <c r="I45" i="22"/>
  <c r="D23" i="28"/>
  <c r="C96" i="22"/>
  <c r="D24" i="14"/>
  <c r="D34" i="14" s="1"/>
  <c r="D44" i="14" s="1"/>
  <c r="D54" i="14" s="1"/>
  <c r="C14" i="23"/>
  <c r="C15" i="23" s="1"/>
  <c r="D14" i="23"/>
  <c r="D15" i="23" s="1"/>
  <c r="E24" i="14"/>
  <c r="E34" i="14" s="1"/>
  <c r="E44" i="14" s="1"/>
  <c r="E54" i="14" s="1"/>
  <c r="K24" i="14"/>
  <c r="K34" i="14" s="1"/>
  <c r="K44" i="14" s="1"/>
  <c r="K54" i="14" s="1"/>
  <c r="I24" i="14"/>
  <c r="I34" i="14" s="1"/>
  <c r="I44" i="14" s="1"/>
  <c r="I54" i="14" s="1"/>
  <c r="G24" i="14"/>
  <c r="G34" i="14" s="1"/>
  <c r="G44" i="14" s="1"/>
  <c r="G54" i="14" s="1"/>
  <c r="E41" i="18"/>
  <c r="F38" i="18"/>
  <c r="F39" i="18"/>
  <c r="F42" i="18" s="1"/>
  <c r="F21" i="18"/>
  <c r="F24" i="18" s="1"/>
  <c r="G4" i="18"/>
  <c r="F20" i="18"/>
  <c r="F11" i="18"/>
  <c r="J10" i="18"/>
  <c r="D29" i="18"/>
  <c r="D22" i="18"/>
  <c r="G28" i="18"/>
  <c r="F49" i="18"/>
  <c r="F51" i="18" s="1"/>
  <c r="K28" i="18"/>
  <c r="E29" i="18"/>
  <c r="F68" i="28" l="1"/>
  <c r="C24" i="46"/>
  <c r="C26" i="46" s="1"/>
  <c r="I17" i="19"/>
  <c r="J51" i="28" s="1"/>
  <c r="J59" i="28" s="1"/>
  <c r="H17" i="19"/>
  <c r="C59" i="28"/>
  <c r="C68" i="28" s="1"/>
  <c r="C44" i="19"/>
  <c r="E20" i="14"/>
  <c r="F46" i="18"/>
  <c r="C50" i="28"/>
  <c r="G68" i="28"/>
  <c r="I20" i="52"/>
  <c r="I22" i="52" s="1"/>
  <c r="L20" i="52"/>
  <c r="L22" i="52" s="1"/>
  <c r="J20" i="52"/>
  <c r="J22" i="52" s="1"/>
  <c r="G20" i="52"/>
  <c r="G22" i="52" s="1"/>
  <c r="D20" i="52"/>
  <c r="D22" i="52" s="1"/>
  <c r="M20" i="52"/>
  <c r="M22" i="52" s="1"/>
  <c r="H20" i="52"/>
  <c r="H22" i="52" s="1"/>
  <c r="F20" i="52"/>
  <c r="F22" i="52" s="1"/>
  <c r="K20" i="52"/>
  <c r="K22" i="52" s="1"/>
  <c r="E20" i="52"/>
  <c r="E22" i="52" s="1"/>
  <c r="E24" i="52" s="1"/>
  <c r="E68" i="28"/>
  <c r="L68" i="28"/>
  <c r="I29" i="28"/>
  <c r="F57" i="22"/>
  <c r="F58" i="22" s="1"/>
  <c r="F30" i="22"/>
  <c r="F31" i="22" s="1"/>
  <c r="F60" i="22"/>
  <c r="F59" i="22"/>
  <c r="C51" i="28"/>
  <c r="I10" i="19"/>
  <c r="J10" i="19"/>
  <c r="M21" i="47"/>
  <c r="M23" i="47" s="1"/>
  <c r="M25" i="47" s="1"/>
  <c r="C23" i="47"/>
  <c r="C25" i="47" s="1"/>
  <c r="H21" i="47"/>
  <c r="H23" i="47" s="1"/>
  <c r="H25" i="47" s="1"/>
  <c r="K21" i="47"/>
  <c r="K23" i="47" s="1"/>
  <c r="K25" i="47" s="1"/>
  <c r="D21" i="47"/>
  <c r="D23" i="47" s="1"/>
  <c r="D25" i="47" s="1"/>
  <c r="G21" i="47"/>
  <c r="G23" i="47" s="1"/>
  <c r="G25" i="47" s="1"/>
  <c r="L21" i="47"/>
  <c r="L23" i="47" s="1"/>
  <c r="L25" i="47" s="1"/>
  <c r="F21" i="47"/>
  <c r="F23" i="47" s="1"/>
  <c r="F25" i="47" s="1"/>
  <c r="E21" i="47"/>
  <c r="E23" i="47" s="1"/>
  <c r="E25" i="47" s="1"/>
  <c r="J21" i="47"/>
  <c r="J23" i="47" s="1"/>
  <c r="J25" i="47" s="1"/>
  <c r="I21" i="47"/>
  <c r="I23" i="47" s="1"/>
  <c r="I25" i="47" s="1"/>
  <c r="D29" i="20"/>
  <c r="E9" i="48" s="1"/>
  <c r="E13" i="20"/>
  <c r="E26" i="20" s="1"/>
  <c r="E29" i="20" s="1"/>
  <c r="E37" i="20" s="1"/>
  <c r="D26" i="26"/>
  <c r="D27" i="26" s="1"/>
  <c r="D28" i="26" s="1"/>
  <c r="F26" i="26"/>
  <c r="F27" i="26" s="1"/>
  <c r="F28" i="26" s="1"/>
  <c r="D89" i="22"/>
  <c r="D91" i="22" s="1"/>
  <c r="E23" i="48" s="1"/>
  <c r="F21" i="22"/>
  <c r="F22" i="22" s="1"/>
  <c r="F33" i="22"/>
  <c r="F32" i="22"/>
  <c r="E51" i="18"/>
  <c r="E53" i="18" s="1"/>
  <c r="E76" i="22"/>
  <c r="E78" i="22"/>
  <c r="F39" i="22"/>
  <c r="F40" i="22" s="1"/>
  <c r="F41" i="22"/>
  <c r="F42" i="22"/>
  <c r="F23" i="22"/>
  <c r="F24" i="22"/>
  <c r="F78" i="22"/>
  <c r="E67" i="22"/>
  <c r="E49" i="22"/>
  <c r="G12" i="15"/>
  <c r="G13" i="15"/>
  <c r="G11" i="15"/>
  <c r="L51" i="14"/>
  <c r="D51" i="14"/>
  <c r="J51" i="14"/>
  <c r="J58" i="14" s="1"/>
  <c r="J59" i="14" s="1"/>
  <c r="J60" i="14" s="1"/>
  <c r="F51" i="14"/>
  <c r="F58" i="14" s="1"/>
  <c r="F59" i="14" s="1"/>
  <c r="F60" i="14" s="1"/>
  <c r="H51" i="14"/>
  <c r="H58" i="14" s="1"/>
  <c r="H59" i="14" s="1"/>
  <c r="H60" i="14" s="1"/>
  <c r="F68" i="48"/>
  <c r="F35" i="34"/>
  <c r="F36" i="34" s="1"/>
  <c r="G36" i="34" s="1"/>
  <c r="D36" i="34"/>
  <c r="F31" i="34"/>
  <c r="F32" i="34" s="1"/>
  <c r="G32" i="34" s="1"/>
  <c r="D32" i="34"/>
  <c r="G42" i="34"/>
  <c r="D24" i="48"/>
  <c r="I24" i="48"/>
  <c r="F77" i="22"/>
  <c r="D31" i="37"/>
  <c r="E35" i="28"/>
  <c r="C32" i="37" s="1"/>
  <c r="D14" i="48"/>
  <c r="K50" i="48"/>
  <c r="K58" i="48" s="1"/>
  <c r="K68" i="48" s="1"/>
  <c r="E21" i="48"/>
  <c r="D18" i="48"/>
  <c r="L24" i="48"/>
  <c r="D12" i="48"/>
  <c r="D25" i="48"/>
  <c r="F86" i="22"/>
  <c r="K24" i="48"/>
  <c r="N24" i="48"/>
  <c r="F22" i="48"/>
  <c r="D28" i="28"/>
  <c r="D28" i="48"/>
  <c r="M51" i="14"/>
  <c r="D50" i="14"/>
  <c r="C51" i="48"/>
  <c r="G23" i="48"/>
  <c r="D29" i="48"/>
  <c r="F82" i="48" s="1"/>
  <c r="L68" i="48"/>
  <c r="G4" i="20"/>
  <c r="F12" i="20"/>
  <c r="F13" i="20" s="1"/>
  <c r="F21" i="20"/>
  <c r="F22" i="20" s="1"/>
  <c r="G23" i="20"/>
  <c r="B7" i="37"/>
  <c r="F24" i="20"/>
  <c r="G10" i="15"/>
  <c r="H5" i="15"/>
  <c r="E24" i="48"/>
  <c r="G54" i="48"/>
  <c r="F87" i="22"/>
  <c r="F85" i="22"/>
  <c r="G89" i="22" s="1"/>
  <c r="G91" i="22" s="1"/>
  <c r="G96" i="22" s="1"/>
  <c r="E25" i="48"/>
  <c r="J50" i="48"/>
  <c r="J58" i="48" s="1"/>
  <c r="J68" i="48" s="1"/>
  <c r="I51" i="14"/>
  <c r="G51" i="14"/>
  <c r="C54" i="48"/>
  <c r="K9" i="23"/>
  <c r="J10" i="23"/>
  <c r="J13" i="23" s="1"/>
  <c r="J14" i="23" s="1"/>
  <c r="J15" i="23" s="1"/>
  <c r="D117" i="48"/>
  <c r="F14" i="15"/>
  <c r="F15" i="15" s="1"/>
  <c r="G14" i="26"/>
  <c r="G23" i="26" s="1"/>
  <c r="H4" i="26"/>
  <c r="H30" i="26" s="1"/>
  <c r="H32" i="26" s="1"/>
  <c r="H34" i="26" s="1"/>
  <c r="H33" i="37"/>
  <c r="E28" i="28"/>
  <c r="E28" i="48"/>
  <c r="M81" i="48"/>
  <c r="E51" i="14"/>
  <c r="E58" i="14" s="1"/>
  <c r="E59" i="14" s="1"/>
  <c r="E60" i="14" s="1"/>
  <c r="C50" i="48"/>
  <c r="F12" i="28"/>
  <c r="F12" i="48"/>
  <c r="F71" i="14"/>
  <c r="G17" i="48"/>
  <c r="E22" i="28"/>
  <c r="E22" i="48"/>
  <c r="G21" i="28"/>
  <c r="G21" i="48"/>
  <c r="E26" i="23"/>
  <c r="F24" i="48"/>
  <c r="I26" i="23"/>
  <c r="J24" i="48"/>
  <c r="L26" i="23"/>
  <c r="M24" i="48"/>
  <c r="E96" i="22"/>
  <c r="F23" i="48"/>
  <c r="C40" i="20"/>
  <c r="C41" i="20" s="1"/>
  <c r="D21" i="48"/>
  <c r="E12" i="28"/>
  <c r="E12" i="48"/>
  <c r="G24" i="28"/>
  <c r="G24" i="48"/>
  <c r="E40" i="20"/>
  <c r="F21" i="48"/>
  <c r="C55" i="18"/>
  <c r="D13" i="48"/>
  <c r="E11" i="47"/>
  <c r="F11" i="47"/>
  <c r="C83" i="22"/>
  <c r="L62" i="14"/>
  <c r="L64" i="14" s="1"/>
  <c r="L66" i="14" s="1"/>
  <c r="E68" i="22"/>
  <c r="E69" i="22"/>
  <c r="E51" i="22"/>
  <c r="E50" i="22"/>
  <c r="F75" i="22"/>
  <c r="F76" i="22" s="1"/>
  <c r="F12" i="22"/>
  <c r="G4" i="22"/>
  <c r="F48" i="22"/>
  <c r="F66" i="22"/>
  <c r="F64" i="22"/>
  <c r="I72" i="22"/>
  <c r="H73" i="22"/>
  <c r="F46" i="22"/>
  <c r="G46" i="22"/>
  <c r="G4" i="46"/>
  <c r="F12" i="46"/>
  <c r="F13" i="46" s="1"/>
  <c r="F17" i="46" s="1"/>
  <c r="F22" i="46"/>
  <c r="D20" i="46"/>
  <c r="F23" i="18"/>
  <c r="G13" i="23"/>
  <c r="G14" i="23" s="1"/>
  <c r="G15" i="23" s="1"/>
  <c r="I13" i="23"/>
  <c r="I14" i="23" s="1"/>
  <c r="I15" i="23" s="1"/>
  <c r="H13" i="23"/>
  <c r="H14" i="23" s="1"/>
  <c r="H15" i="23" s="1"/>
  <c r="F14" i="23"/>
  <c r="I62" i="14"/>
  <c r="I64" i="14" s="1"/>
  <c r="I66" i="14" s="1"/>
  <c r="C20" i="46"/>
  <c r="D21" i="28"/>
  <c r="E23" i="23"/>
  <c r="H62" i="14"/>
  <c r="H64" i="14" s="1"/>
  <c r="H66" i="14" s="1"/>
  <c r="C64" i="14"/>
  <c r="C66" i="14" s="1"/>
  <c r="D62" i="14"/>
  <c r="D64" i="14" s="1"/>
  <c r="D66" i="14" s="1"/>
  <c r="G62" i="14"/>
  <c r="G64" i="14" s="1"/>
  <c r="G66" i="14" s="1"/>
  <c r="M62" i="14"/>
  <c r="M64" i="14" s="1"/>
  <c r="M66" i="14" s="1"/>
  <c r="E62" i="14"/>
  <c r="E64" i="14" s="1"/>
  <c r="E66" i="14" s="1"/>
  <c r="K62" i="14"/>
  <c r="K64" i="14" s="1"/>
  <c r="K66" i="14" s="1"/>
  <c r="J62" i="14"/>
  <c r="J64" i="14" s="1"/>
  <c r="J66" i="14" s="1"/>
  <c r="E10" i="26"/>
  <c r="F10" i="26" s="1"/>
  <c r="E30" i="14"/>
  <c r="F30" i="14" s="1"/>
  <c r="G58" i="14"/>
  <c r="G59" i="14" s="1"/>
  <c r="G60" i="14" s="1"/>
  <c r="F26" i="23"/>
  <c r="D58" i="14"/>
  <c r="D59" i="14" s="1"/>
  <c r="D60" i="14" s="1"/>
  <c r="M24" i="28"/>
  <c r="J50" i="28"/>
  <c r="J58" i="28" s="1"/>
  <c r="D58" i="18"/>
  <c r="E25" i="28"/>
  <c r="E22" i="18"/>
  <c r="E44" i="18" s="1"/>
  <c r="E18" i="47"/>
  <c r="E17" i="47"/>
  <c r="M11" i="47"/>
  <c r="E10" i="22"/>
  <c r="D14" i="22"/>
  <c r="D81" i="22" s="1"/>
  <c r="D15" i="22"/>
  <c r="D82" i="22" s="1"/>
  <c r="D13" i="22"/>
  <c r="D80" i="22" s="1"/>
  <c r="I19" i="20"/>
  <c r="F15" i="46"/>
  <c r="F19" i="46" s="1"/>
  <c r="F14" i="46"/>
  <c r="F18" i="46" s="1"/>
  <c r="H9" i="46"/>
  <c r="G10" i="46"/>
  <c r="E23" i="18"/>
  <c r="E45" i="18" s="1"/>
  <c r="F21" i="28"/>
  <c r="F15" i="20"/>
  <c r="G10" i="20"/>
  <c r="F14" i="20"/>
  <c r="F27" i="20" s="1"/>
  <c r="I58" i="14"/>
  <c r="I59" i="14" s="1"/>
  <c r="I60" i="14" s="1"/>
  <c r="D13" i="28"/>
  <c r="E40" i="18"/>
  <c r="M18" i="23"/>
  <c r="D24" i="28"/>
  <c r="C26" i="23"/>
  <c r="F24" i="28"/>
  <c r="G29" i="19"/>
  <c r="G31" i="19" s="1"/>
  <c r="G33" i="19" s="1"/>
  <c r="F23" i="28"/>
  <c r="I18" i="23"/>
  <c r="E29" i="19"/>
  <c r="E31" i="19" s="1"/>
  <c r="E33" i="19" s="1"/>
  <c r="G18" i="23"/>
  <c r="C18" i="23"/>
  <c r="D31" i="46"/>
  <c r="D29" i="19"/>
  <c r="D31" i="19" s="1"/>
  <c r="D33" i="19" s="1"/>
  <c r="F18" i="23"/>
  <c r="G21" i="23"/>
  <c r="E30" i="26"/>
  <c r="E32" i="26" s="1"/>
  <c r="E34" i="26" s="1"/>
  <c r="J18" i="23"/>
  <c r="E18" i="23"/>
  <c r="L18" i="23"/>
  <c r="F29" i="19"/>
  <c r="F31" i="19" s="1"/>
  <c r="F33" i="19" s="1"/>
  <c r="K11" i="14"/>
  <c r="K58" i="14" s="1"/>
  <c r="K59" i="14" s="1"/>
  <c r="K60" i="14" s="1"/>
  <c r="C58" i="18"/>
  <c r="D25" i="28"/>
  <c r="D18" i="23"/>
  <c r="K18" i="23"/>
  <c r="H18" i="23"/>
  <c r="F40" i="20"/>
  <c r="C32" i="26"/>
  <c r="F30" i="26"/>
  <c r="F32" i="26" s="1"/>
  <c r="F34" i="26" s="1"/>
  <c r="G30" i="26"/>
  <c r="G32" i="26" s="1"/>
  <c r="D30" i="26"/>
  <c r="D32" i="26" s="1"/>
  <c r="D34" i="26" s="1"/>
  <c r="J27" i="28"/>
  <c r="F6" i="37"/>
  <c r="J24" i="28"/>
  <c r="G17" i="28"/>
  <c r="L11" i="14"/>
  <c r="L58" i="14" s="1"/>
  <c r="L59" i="14" s="1"/>
  <c r="L60" i="14" s="1"/>
  <c r="M15" i="14"/>
  <c r="M11" i="14" s="1"/>
  <c r="M58" i="14" s="1"/>
  <c r="M59" i="14" s="1"/>
  <c r="M60" i="14" s="1"/>
  <c r="D25" i="19"/>
  <c r="D27" i="19" s="1"/>
  <c r="I4" i="19"/>
  <c r="I14" i="19" s="1"/>
  <c r="H22" i="19"/>
  <c r="H29" i="19"/>
  <c r="H31" i="19" s="1"/>
  <c r="K50" i="28"/>
  <c r="K58" i="28" s="1"/>
  <c r="K68" i="28" s="1"/>
  <c r="F20" i="14"/>
  <c r="G20" i="14" s="1"/>
  <c r="E31" i="46"/>
  <c r="F22" i="28"/>
  <c r="D26" i="23"/>
  <c r="E24" i="28"/>
  <c r="D40" i="20"/>
  <c r="E21" i="28"/>
  <c r="F96" i="22"/>
  <c r="G23" i="28"/>
  <c r="K26" i="23"/>
  <c r="L24" i="28"/>
  <c r="M26" i="23"/>
  <c r="N24" i="28"/>
  <c r="J45" i="22"/>
  <c r="I46" i="22"/>
  <c r="G19" i="26"/>
  <c r="J26" i="23"/>
  <c r="K24" i="28"/>
  <c r="E27" i="26"/>
  <c r="E28" i="26" s="1"/>
  <c r="H40" i="14"/>
  <c r="I40" i="14" s="1"/>
  <c r="H26" i="23"/>
  <c r="I24" i="28"/>
  <c r="G10" i="14"/>
  <c r="C23" i="23"/>
  <c r="D12" i="28"/>
  <c r="C36" i="19"/>
  <c r="C37" i="19" s="1"/>
  <c r="D18" i="28"/>
  <c r="D23" i="23"/>
  <c r="G39" i="18"/>
  <c r="G42" i="18" s="1"/>
  <c r="G21" i="18"/>
  <c r="G24" i="18" s="1"/>
  <c r="G11" i="18"/>
  <c r="G38" i="18"/>
  <c r="G20" i="18"/>
  <c r="G23" i="18" s="1"/>
  <c r="H4" i="18"/>
  <c r="G49" i="18"/>
  <c r="G51" i="18" s="1"/>
  <c r="F41" i="18"/>
  <c r="K10" i="18"/>
  <c r="L28" i="18"/>
  <c r="D40" i="18"/>
  <c r="F29" i="18"/>
  <c r="F22" i="18"/>
  <c r="F53" i="18"/>
  <c r="D96" i="22" l="1"/>
  <c r="E9" i="28"/>
  <c r="E23" i="28"/>
  <c r="J68" i="28"/>
  <c r="D37" i="20"/>
  <c r="E28" i="52"/>
  <c r="E29" i="52" s="1"/>
  <c r="I51" i="28"/>
  <c r="I59" i="28" s="1"/>
  <c r="I68" i="28" s="1"/>
  <c r="M21" i="19"/>
  <c r="J21" i="19"/>
  <c r="I21" i="19"/>
  <c r="K21" i="19"/>
  <c r="L21" i="19"/>
  <c r="H21" i="19"/>
  <c r="G46" i="18"/>
  <c r="H24" i="19"/>
  <c r="H18" i="19"/>
  <c r="I18" i="19"/>
  <c r="D21" i="52"/>
  <c r="D24" i="52"/>
  <c r="D28" i="52" s="1"/>
  <c r="D29" i="52" s="1"/>
  <c r="F24" i="52"/>
  <c r="F28" i="52" s="1"/>
  <c r="F29" i="52" s="1"/>
  <c r="F21" i="52"/>
  <c r="G24" i="52"/>
  <c r="G28" i="52" s="1"/>
  <c r="G29" i="52" s="1"/>
  <c r="G21" i="52"/>
  <c r="I24" i="52"/>
  <c r="I28" i="52" s="1"/>
  <c r="I29" i="52" s="1"/>
  <c r="I21" i="52"/>
  <c r="M24" i="52"/>
  <c r="M28" i="52" s="1"/>
  <c r="M29" i="52" s="1"/>
  <c r="M21" i="52"/>
  <c r="L24" i="52"/>
  <c r="L28" i="52" s="1"/>
  <c r="L29" i="52" s="1"/>
  <c r="L21" i="52"/>
  <c r="K21" i="52"/>
  <c r="K24" i="52"/>
  <c r="K28" i="52" s="1"/>
  <c r="K29" i="52" s="1"/>
  <c r="E21" i="52"/>
  <c r="C21" i="52"/>
  <c r="C24" i="52"/>
  <c r="C28" i="52" s="1"/>
  <c r="C29" i="52" s="1"/>
  <c r="H24" i="52"/>
  <c r="H28" i="52" s="1"/>
  <c r="H29" i="52" s="1"/>
  <c r="H21" i="52"/>
  <c r="J21" i="52"/>
  <c r="J24" i="52"/>
  <c r="J28" i="52" s="1"/>
  <c r="J29" i="52" s="1"/>
  <c r="F26" i="20"/>
  <c r="G7" i="37"/>
  <c r="J29" i="28"/>
  <c r="G57" i="22"/>
  <c r="G58" i="22" s="1"/>
  <c r="G30" i="22"/>
  <c r="G31" i="22" s="1"/>
  <c r="G60" i="22"/>
  <c r="G59" i="22"/>
  <c r="G26" i="26"/>
  <c r="G27" i="26" s="1"/>
  <c r="G28" i="26" s="1"/>
  <c r="E7" i="28"/>
  <c r="E7" i="48"/>
  <c r="D36" i="26"/>
  <c r="G10" i="26"/>
  <c r="F9" i="28"/>
  <c r="F24" i="46"/>
  <c r="I73" i="22"/>
  <c r="J72" i="22"/>
  <c r="F9" i="48"/>
  <c r="G21" i="22"/>
  <c r="G22" i="22" s="1"/>
  <c r="G32" i="22"/>
  <c r="G33" i="22"/>
  <c r="F25" i="48"/>
  <c r="F25" i="28"/>
  <c r="E58" i="18"/>
  <c r="G39" i="22"/>
  <c r="G40" i="22" s="1"/>
  <c r="G41" i="22"/>
  <c r="G42" i="22"/>
  <c r="G78" i="22"/>
  <c r="G24" i="22"/>
  <c r="G23" i="22"/>
  <c r="G77" i="22"/>
  <c r="F45" i="18"/>
  <c r="E14" i="48"/>
  <c r="C93" i="22"/>
  <c r="C97" i="22" s="1"/>
  <c r="H13" i="15"/>
  <c r="H11" i="15"/>
  <c r="H12" i="15"/>
  <c r="E50" i="14"/>
  <c r="F50" i="14" s="1"/>
  <c r="G50" i="14" s="1"/>
  <c r="H50" i="14" s="1"/>
  <c r="E27" i="23"/>
  <c r="H23" i="28"/>
  <c r="M17" i="28"/>
  <c r="E20" i="48"/>
  <c r="G19" i="48"/>
  <c r="F28" i="20"/>
  <c r="E5" i="48"/>
  <c r="M20" i="48"/>
  <c r="I20" i="48"/>
  <c r="G20" i="48"/>
  <c r="H10" i="15"/>
  <c r="I5" i="15"/>
  <c r="G12" i="20"/>
  <c r="G13" i="20" s="1"/>
  <c r="H4" i="20"/>
  <c r="G21" i="20"/>
  <c r="G22" i="20" s="1"/>
  <c r="G31" i="20"/>
  <c r="G33" i="20" s="1"/>
  <c r="J20" i="48"/>
  <c r="D41" i="20"/>
  <c r="C6" i="37"/>
  <c r="E27" i="48"/>
  <c r="F81" i="48" s="1"/>
  <c r="E81" i="48" s="1"/>
  <c r="E6" i="48"/>
  <c r="G25" i="48"/>
  <c r="E19" i="48"/>
  <c r="I5" i="48"/>
  <c r="L17" i="48"/>
  <c r="L20" i="48"/>
  <c r="F20" i="48"/>
  <c r="I4" i="26"/>
  <c r="H14" i="26"/>
  <c r="H26" i="26" s="1"/>
  <c r="F117" i="48"/>
  <c r="D119" i="48"/>
  <c r="G24" i="20"/>
  <c r="N20" i="48"/>
  <c r="K10" i="23"/>
  <c r="K13" i="23" s="1"/>
  <c r="K14" i="23" s="1"/>
  <c r="K15" i="23" s="1"/>
  <c r="L9" i="23"/>
  <c r="G7" i="48"/>
  <c r="F7" i="48"/>
  <c r="D20" i="48"/>
  <c r="K20" i="48"/>
  <c r="H20" i="48"/>
  <c r="E41" i="20"/>
  <c r="H23" i="48"/>
  <c r="G14" i="15"/>
  <c r="G15" i="15" s="1"/>
  <c r="F26" i="48"/>
  <c r="F26" i="28"/>
  <c r="I33" i="37"/>
  <c r="C59" i="18"/>
  <c r="G18" i="28"/>
  <c r="G18" i="48"/>
  <c r="E36" i="19"/>
  <c r="F18" i="48"/>
  <c r="F5" i="28"/>
  <c r="F5" i="48"/>
  <c r="M71" i="14"/>
  <c r="N17" i="48"/>
  <c r="I17" i="28"/>
  <c r="I17" i="48"/>
  <c r="D10" i="28"/>
  <c r="D15" i="28" s="1"/>
  <c r="D10" i="48"/>
  <c r="J12" i="28"/>
  <c r="J12" i="48"/>
  <c r="E10" i="28"/>
  <c r="E10" i="48"/>
  <c r="L71" i="14"/>
  <c r="M17" i="48"/>
  <c r="N5" i="28"/>
  <c r="N5" i="48"/>
  <c r="E39" i="26"/>
  <c r="F19" i="48"/>
  <c r="D22" i="28"/>
  <c r="D22" i="48"/>
  <c r="G36" i="19"/>
  <c r="H18" i="48"/>
  <c r="G5" i="28"/>
  <c r="G5" i="48"/>
  <c r="G71" i="14"/>
  <c r="H17" i="48"/>
  <c r="J17" i="28"/>
  <c r="J17" i="48"/>
  <c r="K12" i="28"/>
  <c r="K12" i="48"/>
  <c r="H12" i="28"/>
  <c r="H12" i="48"/>
  <c r="D11" i="28"/>
  <c r="D11" i="48"/>
  <c r="M5" i="28"/>
  <c r="M5" i="48"/>
  <c r="G26" i="23"/>
  <c r="H24" i="48"/>
  <c r="F79" i="48" s="1"/>
  <c r="E79" i="48" s="1"/>
  <c r="J5" i="28"/>
  <c r="J5" i="48"/>
  <c r="H5" i="28"/>
  <c r="H5" i="48"/>
  <c r="K17" i="28"/>
  <c r="K17" i="48"/>
  <c r="D71" i="14"/>
  <c r="E17" i="48"/>
  <c r="I12" i="28"/>
  <c r="I12" i="48"/>
  <c r="L5" i="28"/>
  <c r="L5" i="48"/>
  <c r="H39" i="26"/>
  <c r="I19" i="48"/>
  <c r="E18" i="28"/>
  <c r="E18" i="48"/>
  <c r="K5" i="28"/>
  <c r="K5" i="48"/>
  <c r="E71" i="14"/>
  <c r="F17" i="48"/>
  <c r="C71" i="14"/>
  <c r="C72" i="14" s="1"/>
  <c r="D17" i="48"/>
  <c r="G30" i="14"/>
  <c r="H30" i="14" s="1"/>
  <c r="G23" i="23"/>
  <c r="F15" i="23"/>
  <c r="I23" i="23"/>
  <c r="I27" i="23" s="1"/>
  <c r="J23" i="23"/>
  <c r="J27" i="23" s="1"/>
  <c r="F69" i="22"/>
  <c r="F68" i="22"/>
  <c r="F49" i="22"/>
  <c r="G50" i="22"/>
  <c r="G51" i="22"/>
  <c r="F67" i="22"/>
  <c r="F51" i="22"/>
  <c r="F50" i="22"/>
  <c r="G48" i="22"/>
  <c r="G49" i="22" s="1"/>
  <c r="G66" i="22"/>
  <c r="G75" i="22"/>
  <c r="G76" i="22" s="1"/>
  <c r="G12" i="22"/>
  <c r="H4" i="22"/>
  <c r="G87" i="22"/>
  <c r="G85" i="22"/>
  <c r="H89" i="22" s="1"/>
  <c r="G86" i="22"/>
  <c r="G64" i="22"/>
  <c r="H63" i="22"/>
  <c r="I71" i="14"/>
  <c r="E20" i="46"/>
  <c r="G12" i="46"/>
  <c r="G13" i="46" s="1"/>
  <c r="G17" i="46" s="1"/>
  <c r="H4" i="46"/>
  <c r="G22" i="46"/>
  <c r="G24" i="46" s="1"/>
  <c r="C28" i="46"/>
  <c r="D28" i="46"/>
  <c r="D32" i="46" s="1"/>
  <c r="F10" i="19"/>
  <c r="E11" i="19"/>
  <c r="H23" i="23"/>
  <c r="H27" i="23" s="1"/>
  <c r="F17" i="28"/>
  <c r="H71" i="14"/>
  <c r="K28" i="47"/>
  <c r="K29" i="47" s="1"/>
  <c r="L20" i="28"/>
  <c r="D28" i="47"/>
  <c r="D29" i="47" s="1"/>
  <c r="E20" i="28"/>
  <c r="C28" i="47"/>
  <c r="C29" i="47" s="1"/>
  <c r="D20" i="28"/>
  <c r="J28" i="47"/>
  <c r="J29" i="47" s="1"/>
  <c r="K20" i="28"/>
  <c r="G28" i="47"/>
  <c r="H20" i="28"/>
  <c r="E28" i="47"/>
  <c r="F20" i="28"/>
  <c r="M28" i="47"/>
  <c r="M29" i="47" s="1"/>
  <c r="N20" i="28"/>
  <c r="I28" i="47"/>
  <c r="I29" i="47" s="1"/>
  <c r="J20" i="28"/>
  <c r="L28" i="47"/>
  <c r="L29" i="47" s="1"/>
  <c r="M20" i="28"/>
  <c r="H28" i="47"/>
  <c r="H29" i="47" s="1"/>
  <c r="I20" i="28"/>
  <c r="F28" i="47"/>
  <c r="G20" i="28"/>
  <c r="F68" i="14"/>
  <c r="F72" i="14" s="1"/>
  <c r="H63" i="14"/>
  <c r="J71" i="14"/>
  <c r="N17" i="28"/>
  <c r="C63" i="14"/>
  <c r="E17" i="28"/>
  <c r="D63" i="14"/>
  <c r="D22" i="47"/>
  <c r="H17" i="28"/>
  <c r="C22" i="47"/>
  <c r="K22" i="47"/>
  <c r="K63" i="14"/>
  <c r="E63" i="14"/>
  <c r="F22" i="47"/>
  <c r="G63" i="14"/>
  <c r="M22" i="47"/>
  <c r="L22" i="47"/>
  <c r="J63" i="14"/>
  <c r="L63" i="14"/>
  <c r="J22" i="47"/>
  <c r="G22" i="47"/>
  <c r="I22" i="47"/>
  <c r="J68" i="14"/>
  <c r="F63" i="14"/>
  <c r="M63" i="14"/>
  <c r="I63" i="14"/>
  <c r="E22" i="47"/>
  <c r="H22" i="47"/>
  <c r="D17" i="28"/>
  <c r="K71" i="14"/>
  <c r="L17" i="28"/>
  <c r="H18" i="28"/>
  <c r="J11" i="47"/>
  <c r="C27" i="23"/>
  <c r="E19" i="47"/>
  <c r="F17" i="47"/>
  <c r="F18" i="47"/>
  <c r="J40" i="14"/>
  <c r="K40" i="14" s="1"/>
  <c r="H11" i="47"/>
  <c r="G11" i="47"/>
  <c r="K11" i="47"/>
  <c r="L11" i="47"/>
  <c r="I11" i="47"/>
  <c r="F10" i="22"/>
  <c r="J19" i="20"/>
  <c r="D83" i="22"/>
  <c r="E15" i="22"/>
  <c r="E82" i="22" s="1"/>
  <c r="E13" i="22"/>
  <c r="E80" i="22" s="1"/>
  <c r="E14" i="22"/>
  <c r="E81" i="22" s="1"/>
  <c r="D36" i="19"/>
  <c r="F36" i="19"/>
  <c r="G15" i="46"/>
  <c r="G19" i="46" s="1"/>
  <c r="G14" i="46"/>
  <c r="G18" i="46" s="1"/>
  <c r="H10" i="46"/>
  <c r="I9" i="46"/>
  <c r="G15" i="20"/>
  <c r="H10" i="20"/>
  <c r="G14" i="20"/>
  <c r="G27" i="20" s="1"/>
  <c r="E47" i="18"/>
  <c r="C31" i="46"/>
  <c r="F19" i="28"/>
  <c r="F18" i="28"/>
  <c r="H24" i="28"/>
  <c r="F79" i="28" s="1"/>
  <c r="E79" i="28" s="1"/>
  <c r="I19" i="28"/>
  <c r="D27" i="23"/>
  <c r="G34" i="26"/>
  <c r="F39" i="26"/>
  <c r="G19" i="28"/>
  <c r="D39" i="26"/>
  <c r="E19" i="28"/>
  <c r="C34" i="26"/>
  <c r="H6" i="37"/>
  <c r="K27" i="28"/>
  <c r="M68" i="14"/>
  <c r="M69" i="14" s="1"/>
  <c r="L68" i="14"/>
  <c r="E6" i="28"/>
  <c r="D35" i="19"/>
  <c r="I22" i="19"/>
  <c r="I24" i="19" s="1"/>
  <c r="J4" i="19"/>
  <c r="J14" i="19" s="1"/>
  <c r="I29" i="19"/>
  <c r="I31" i="19" s="1"/>
  <c r="H33" i="19"/>
  <c r="F13" i="36"/>
  <c r="H20" i="14"/>
  <c r="I20" i="14" s="1"/>
  <c r="G7" i="28"/>
  <c r="F36" i="26"/>
  <c r="F7" i="28"/>
  <c r="E36" i="26"/>
  <c r="I5" i="28"/>
  <c r="H68" i="14"/>
  <c r="H19" i="26"/>
  <c r="I19" i="26" s="1"/>
  <c r="H10" i="14"/>
  <c r="I10" i="14" s="1"/>
  <c r="F58" i="18"/>
  <c r="G25" i="28"/>
  <c r="H10" i="26"/>
  <c r="I10" i="26" s="1"/>
  <c r="E5" i="28"/>
  <c r="D68" i="14"/>
  <c r="K45" i="22"/>
  <c r="J46" i="22"/>
  <c r="G68" i="14"/>
  <c r="I68" i="14"/>
  <c r="E68" i="14"/>
  <c r="K68" i="14"/>
  <c r="G53" i="18"/>
  <c r="M28" i="18"/>
  <c r="F40" i="18"/>
  <c r="F44" i="18" s="1"/>
  <c r="H39" i="18"/>
  <c r="H42" i="18" s="1"/>
  <c r="H49" i="18"/>
  <c r="H51" i="18" s="1"/>
  <c r="H38" i="18"/>
  <c r="H41" i="18" s="1"/>
  <c r="H20" i="18"/>
  <c r="H23" i="18" s="1"/>
  <c r="H11" i="18"/>
  <c r="I4" i="18"/>
  <c r="H21" i="18"/>
  <c r="H24" i="18" s="1"/>
  <c r="G41" i="18"/>
  <c r="G45" i="18" s="1"/>
  <c r="L10" i="18"/>
  <c r="G29" i="18"/>
  <c r="G22" i="18"/>
  <c r="F29" i="20" l="1"/>
  <c r="H46" i="18"/>
  <c r="H19" i="19"/>
  <c r="I19" i="19"/>
  <c r="J18" i="19"/>
  <c r="C21" i="38"/>
  <c r="M84" i="28" s="1"/>
  <c r="E31" i="28"/>
  <c r="E36" i="28" s="1"/>
  <c r="C8" i="37"/>
  <c r="C10" i="37" s="1"/>
  <c r="D8" i="37"/>
  <c r="D10" i="37" s="1"/>
  <c r="C31" i="52"/>
  <c r="C30" i="52"/>
  <c r="H7" i="37"/>
  <c r="K29" i="28"/>
  <c r="B24" i="37"/>
  <c r="H57" i="22"/>
  <c r="H58" i="22" s="1"/>
  <c r="H30" i="22"/>
  <c r="H59" i="22"/>
  <c r="H60" i="22"/>
  <c r="D40" i="26"/>
  <c r="G28" i="20"/>
  <c r="G26" i="20"/>
  <c r="K72" i="22"/>
  <c r="J73" i="22"/>
  <c r="H64" i="22"/>
  <c r="H68" i="22" s="1"/>
  <c r="I63" i="22"/>
  <c r="F26" i="46"/>
  <c r="H21" i="22"/>
  <c r="H22" i="22" s="1"/>
  <c r="H31" i="22"/>
  <c r="H33" i="22"/>
  <c r="H32" i="22"/>
  <c r="H39" i="22"/>
  <c r="H40" i="22" s="1"/>
  <c r="H42" i="22"/>
  <c r="H41" i="22"/>
  <c r="H24" i="22"/>
  <c r="H23" i="22"/>
  <c r="H45" i="18"/>
  <c r="I13" i="15"/>
  <c r="I12" i="15"/>
  <c r="I11" i="15"/>
  <c r="I50" i="14"/>
  <c r="J50" i="14" s="1"/>
  <c r="F75" i="48"/>
  <c r="E75" i="48" s="1"/>
  <c r="L12" i="48"/>
  <c r="K23" i="23"/>
  <c r="K27" i="23" s="1"/>
  <c r="L12" i="28"/>
  <c r="G9" i="48"/>
  <c r="H25" i="48"/>
  <c r="G35" i="20"/>
  <c r="L72" i="14"/>
  <c r="D19" i="48"/>
  <c r="D31" i="48" s="1"/>
  <c r="D36" i="48" s="1"/>
  <c r="H19" i="48"/>
  <c r="F28" i="28"/>
  <c r="F31" i="28" s="1"/>
  <c r="F36" i="28" s="1"/>
  <c r="F28" i="48"/>
  <c r="F31" i="48" s="1"/>
  <c r="F36" i="48" s="1"/>
  <c r="H23" i="26"/>
  <c r="H27" i="26"/>
  <c r="H28" i="26" s="1"/>
  <c r="H21" i="20"/>
  <c r="H22" i="20" s="1"/>
  <c r="H12" i="20"/>
  <c r="H13" i="20" s="1"/>
  <c r="I4" i="20"/>
  <c r="H31" i="20"/>
  <c r="H33" i="20" s="1"/>
  <c r="H24" i="20"/>
  <c r="H23" i="20"/>
  <c r="J5" i="15"/>
  <c r="I10" i="15"/>
  <c r="G26" i="48"/>
  <c r="G26" i="28"/>
  <c r="L10" i="23"/>
  <c r="L13" i="23" s="1"/>
  <c r="L14" i="23" s="1"/>
  <c r="L15" i="23" s="1"/>
  <c r="M9" i="23"/>
  <c r="M10" i="23" s="1"/>
  <c r="M13" i="23" s="1"/>
  <c r="M14" i="23" s="1"/>
  <c r="M15" i="23" s="1"/>
  <c r="G28" i="28"/>
  <c r="G28" i="48"/>
  <c r="I18" i="48"/>
  <c r="E11" i="48"/>
  <c r="F8" i="48"/>
  <c r="J4" i="26"/>
  <c r="I14" i="26"/>
  <c r="I26" i="26" s="1"/>
  <c r="I30" i="26"/>
  <c r="I32" i="26" s="1"/>
  <c r="H7" i="48"/>
  <c r="H7" i="28"/>
  <c r="G36" i="26"/>
  <c r="H14" i="15"/>
  <c r="H15" i="15" s="1"/>
  <c r="J33" i="37"/>
  <c r="K33" i="37"/>
  <c r="E72" i="14"/>
  <c r="G72" i="14"/>
  <c r="G27" i="23"/>
  <c r="D72" i="14"/>
  <c r="E55" i="18"/>
  <c r="E59" i="18" s="1"/>
  <c r="F13" i="48"/>
  <c r="E40" i="26"/>
  <c r="E31" i="48"/>
  <c r="E36" i="48" s="1"/>
  <c r="F10" i="28"/>
  <c r="F10" i="48"/>
  <c r="F72" i="48"/>
  <c r="G12" i="28"/>
  <c r="G12" i="48"/>
  <c r="D15" i="48"/>
  <c r="D33" i="48" s="1"/>
  <c r="I72" i="14"/>
  <c r="I30" i="14"/>
  <c r="F23" i="23"/>
  <c r="F27" i="23" s="1"/>
  <c r="G69" i="22"/>
  <c r="G68" i="22"/>
  <c r="H91" i="22"/>
  <c r="H66" i="22"/>
  <c r="H75" i="22"/>
  <c r="H76" i="22" s="1"/>
  <c r="H12" i="22"/>
  <c r="I4" i="22"/>
  <c r="H48" i="22"/>
  <c r="H49" i="22" s="1"/>
  <c r="H85" i="22"/>
  <c r="I89" i="22" s="1"/>
  <c r="H87" i="22"/>
  <c r="H86" i="22"/>
  <c r="H50" i="22"/>
  <c r="H51" i="22"/>
  <c r="G67" i="22"/>
  <c r="H78" i="22"/>
  <c r="H77" i="22"/>
  <c r="E28" i="46"/>
  <c r="E32" i="46" s="1"/>
  <c r="C32" i="46"/>
  <c r="F20" i="46"/>
  <c r="G26" i="46"/>
  <c r="I4" i="46"/>
  <c r="H12" i="46"/>
  <c r="H13" i="46" s="1"/>
  <c r="H17" i="46" s="1"/>
  <c r="H22" i="46"/>
  <c r="H24" i="46" s="1"/>
  <c r="E26" i="19"/>
  <c r="E25" i="19"/>
  <c r="G10" i="19"/>
  <c r="G11" i="19" s="1"/>
  <c r="F11" i="19"/>
  <c r="H72" i="14"/>
  <c r="J72" i="14"/>
  <c r="F75" i="28"/>
  <c r="E75" i="28" s="1"/>
  <c r="F47" i="18"/>
  <c r="E27" i="47"/>
  <c r="E29" i="47" s="1"/>
  <c r="F8" i="28"/>
  <c r="K72" i="14"/>
  <c r="F72" i="28"/>
  <c r="L40" i="14"/>
  <c r="M40" i="14" s="1"/>
  <c r="D37" i="19"/>
  <c r="G18" i="47"/>
  <c r="G17" i="47"/>
  <c r="F19" i="47"/>
  <c r="E83" i="22"/>
  <c r="D93" i="22"/>
  <c r="D97" i="22" s="1"/>
  <c r="E11" i="28"/>
  <c r="K19" i="20"/>
  <c r="G10" i="22"/>
  <c r="F14" i="22"/>
  <c r="F81" i="22" s="1"/>
  <c r="F15" i="22"/>
  <c r="F82" i="22" s="1"/>
  <c r="F13" i="22"/>
  <c r="F80" i="22" s="1"/>
  <c r="I10" i="46"/>
  <c r="J9" i="46"/>
  <c r="F13" i="28"/>
  <c r="H14" i="46"/>
  <c r="H18" i="46" s="1"/>
  <c r="H15" i="46"/>
  <c r="H19" i="46" s="1"/>
  <c r="H14" i="20"/>
  <c r="H15" i="20"/>
  <c r="I10" i="20"/>
  <c r="G9" i="28"/>
  <c r="F37" i="20"/>
  <c r="F41" i="20" s="1"/>
  <c r="D47" i="18"/>
  <c r="G40" i="18"/>
  <c r="G44" i="18" s="1"/>
  <c r="F40" i="26"/>
  <c r="H19" i="28"/>
  <c r="G39" i="26"/>
  <c r="C39" i="26"/>
  <c r="C40" i="26" s="1"/>
  <c r="D19" i="28"/>
  <c r="I6" i="37"/>
  <c r="L27" i="28"/>
  <c r="J10" i="14"/>
  <c r="H36" i="19"/>
  <c r="I18" i="28"/>
  <c r="I33" i="19"/>
  <c r="K4" i="19"/>
  <c r="K14" i="19" s="1"/>
  <c r="J22" i="19"/>
  <c r="J24" i="19" s="1"/>
  <c r="J29" i="19"/>
  <c r="J31" i="19" s="1"/>
  <c r="H26" i="19"/>
  <c r="H25" i="19"/>
  <c r="F14" i="36"/>
  <c r="J20" i="14"/>
  <c r="K20" i="14" s="1"/>
  <c r="M70" i="14"/>
  <c r="M72" i="14" s="1"/>
  <c r="G58" i="18"/>
  <c r="H25" i="28"/>
  <c r="K46" i="22"/>
  <c r="L45" i="22"/>
  <c r="J10" i="26"/>
  <c r="J19" i="26"/>
  <c r="K19" i="26" s="1"/>
  <c r="L19" i="26" s="1"/>
  <c r="M19" i="26" s="1"/>
  <c r="M10" i="18"/>
  <c r="I49" i="18"/>
  <c r="I51" i="18" s="1"/>
  <c r="I38" i="18"/>
  <c r="I41" i="18" s="1"/>
  <c r="J4" i="18"/>
  <c r="I21" i="18"/>
  <c r="I24" i="18" s="1"/>
  <c r="I46" i="18" s="1"/>
  <c r="I20" i="18"/>
  <c r="I23" i="18" s="1"/>
  <c r="I39" i="18"/>
  <c r="I42" i="18" s="1"/>
  <c r="I11" i="18"/>
  <c r="H29" i="18"/>
  <c r="H22" i="18"/>
  <c r="H53" i="18"/>
  <c r="H28" i="20" l="1"/>
  <c r="J30" i="14"/>
  <c r="L30" i="14" s="1"/>
  <c r="M30" i="14" s="1"/>
  <c r="K30" i="14"/>
  <c r="H67" i="22"/>
  <c r="H69" i="22"/>
  <c r="K19" i="19"/>
  <c r="J19" i="19"/>
  <c r="L19" i="19"/>
  <c r="M19" i="19"/>
  <c r="B8" i="37"/>
  <c r="G29" i="20"/>
  <c r="H9" i="28" s="1"/>
  <c r="L29" i="28"/>
  <c r="I7" i="37"/>
  <c r="I57" i="22"/>
  <c r="I58" i="22" s="1"/>
  <c r="I30" i="22"/>
  <c r="I31" i="22" s="1"/>
  <c r="I59" i="22"/>
  <c r="I60" i="22"/>
  <c r="H26" i="20"/>
  <c r="J63" i="22"/>
  <c r="I64" i="22"/>
  <c r="I69" i="22" s="1"/>
  <c r="F31" i="46"/>
  <c r="G22" i="48"/>
  <c r="G31" i="48" s="1"/>
  <c r="G36" i="48" s="1"/>
  <c r="G22" i="28"/>
  <c r="E8" i="37" s="1"/>
  <c r="L72" i="22"/>
  <c r="K73" i="22"/>
  <c r="I21" i="22"/>
  <c r="I22" i="22" s="1"/>
  <c r="I32" i="22"/>
  <c r="I33" i="22"/>
  <c r="I45" i="18"/>
  <c r="I39" i="22"/>
  <c r="I40" i="22" s="1"/>
  <c r="I41" i="22"/>
  <c r="I42" i="22"/>
  <c r="I24" i="22"/>
  <c r="I23" i="22"/>
  <c r="F14" i="48"/>
  <c r="J11" i="15"/>
  <c r="J13" i="15"/>
  <c r="J12" i="15"/>
  <c r="G40" i="26"/>
  <c r="K50" i="14"/>
  <c r="L50" i="14" s="1"/>
  <c r="M50" i="14" s="1"/>
  <c r="H27" i="20"/>
  <c r="H29" i="20" s="1"/>
  <c r="I14" i="15"/>
  <c r="I15" i="15" s="1"/>
  <c r="D33" i="28"/>
  <c r="H28" i="28"/>
  <c r="H28" i="48"/>
  <c r="I7" i="48"/>
  <c r="H36" i="26"/>
  <c r="H40" i="26" s="1"/>
  <c r="I7" i="28"/>
  <c r="G8" i="48"/>
  <c r="H22" i="48"/>
  <c r="J14" i="26"/>
  <c r="J26" i="26" s="1"/>
  <c r="K4" i="26"/>
  <c r="J30" i="26"/>
  <c r="J32" i="26" s="1"/>
  <c r="I23" i="26"/>
  <c r="I27" i="26"/>
  <c r="I28" i="26" s="1"/>
  <c r="I21" i="20"/>
  <c r="I22" i="20" s="1"/>
  <c r="J4" i="20"/>
  <c r="I12" i="20"/>
  <c r="I13" i="20" s="1"/>
  <c r="I31" i="20"/>
  <c r="I33" i="20" s="1"/>
  <c r="I24" i="20"/>
  <c r="I23" i="20"/>
  <c r="I25" i="48"/>
  <c r="J18" i="48"/>
  <c r="I23" i="48"/>
  <c r="H26" i="48"/>
  <c r="H26" i="28"/>
  <c r="N12" i="48"/>
  <c r="N12" i="28"/>
  <c r="M23" i="23"/>
  <c r="I34" i="26"/>
  <c r="L23" i="23"/>
  <c r="L27" i="23" s="1"/>
  <c r="M12" i="28"/>
  <c r="M12" i="48"/>
  <c r="J10" i="15"/>
  <c r="K5" i="15"/>
  <c r="H35" i="20"/>
  <c r="H21" i="48"/>
  <c r="G40" i="20"/>
  <c r="H21" i="28"/>
  <c r="D37" i="48"/>
  <c r="E93" i="22"/>
  <c r="E97" i="22" s="1"/>
  <c r="F11" i="48"/>
  <c r="G10" i="28"/>
  <c r="G10" i="48"/>
  <c r="E72" i="48"/>
  <c r="D55" i="18"/>
  <c r="D59" i="18" s="1"/>
  <c r="E13" i="48"/>
  <c r="E15" i="48" s="1"/>
  <c r="E33" i="48" s="1"/>
  <c r="E37" i="48" s="1"/>
  <c r="F55" i="18"/>
  <c r="F59" i="18" s="1"/>
  <c r="G13" i="48"/>
  <c r="F28" i="46"/>
  <c r="I66" i="22"/>
  <c r="I75" i="22"/>
  <c r="I76" i="22" s="1"/>
  <c r="I12" i="22"/>
  <c r="J4" i="22"/>
  <c r="I48" i="22"/>
  <c r="I49" i="22" s="1"/>
  <c r="I86" i="22"/>
  <c r="I85" i="22"/>
  <c r="J89" i="22" s="1"/>
  <c r="I87" i="22"/>
  <c r="I68" i="22"/>
  <c r="I77" i="22"/>
  <c r="I78" i="22"/>
  <c r="I51" i="22"/>
  <c r="I50" i="22"/>
  <c r="I91" i="22"/>
  <c r="H96" i="22"/>
  <c r="I23" i="28"/>
  <c r="G20" i="46"/>
  <c r="H26" i="46"/>
  <c r="I12" i="46"/>
  <c r="I13" i="46" s="1"/>
  <c r="I17" i="46" s="1"/>
  <c r="J4" i="46"/>
  <c r="I22" i="46"/>
  <c r="I24" i="46" s="1"/>
  <c r="G31" i="46"/>
  <c r="H22" i="28"/>
  <c r="E27" i="19"/>
  <c r="G13" i="28"/>
  <c r="I11" i="19"/>
  <c r="H11" i="19"/>
  <c r="K11" i="19"/>
  <c r="M11" i="19"/>
  <c r="L11" i="19"/>
  <c r="J11" i="19"/>
  <c r="F25" i="19"/>
  <c r="F26" i="19"/>
  <c r="E72" i="28"/>
  <c r="F27" i="47"/>
  <c r="F29" i="47" s="1"/>
  <c r="G8" i="28"/>
  <c r="C73" i="14"/>
  <c r="G47" i="18"/>
  <c r="G19" i="47"/>
  <c r="F11" i="28"/>
  <c r="F83" i="22"/>
  <c r="H10" i="22"/>
  <c r="G13" i="22"/>
  <c r="G80" i="22" s="1"/>
  <c r="G14" i="22"/>
  <c r="G81" i="22" s="1"/>
  <c r="G15" i="22"/>
  <c r="G82" i="22" s="1"/>
  <c r="L19" i="20"/>
  <c r="K9" i="46"/>
  <c r="J10" i="46"/>
  <c r="I14" i="46"/>
  <c r="I18" i="46" s="1"/>
  <c r="I15" i="46"/>
  <c r="I19" i="46" s="1"/>
  <c r="J10" i="20"/>
  <c r="I14" i="20"/>
  <c r="I15" i="20"/>
  <c r="E13" i="28"/>
  <c r="J6" i="37"/>
  <c r="M27" i="28"/>
  <c r="K10" i="14"/>
  <c r="L10" i="14" s="1"/>
  <c r="I26" i="19"/>
  <c r="I25" i="19"/>
  <c r="J33" i="19"/>
  <c r="H27" i="19"/>
  <c r="K22" i="19"/>
  <c r="K24" i="19" s="1"/>
  <c r="L4" i="19"/>
  <c r="L14" i="19" s="1"/>
  <c r="K29" i="19"/>
  <c r="K31" i="19" s="1"/>
  <c r="I36" i="19"/>
  <c r="J18" i="28"/>
  <c r="L20" i="14"/>
  <c r="M20" i="14" s="1"/>
  <c r="H58" i="18"/>
  <c r="I25" i="28"/>
  <c r="K10" i="26"/>
  <c r="L10" i="26" s="1"/>
  <c r="M10" i="26" s="1"/>
  <c r="L46" i="22"/>
  <c r="M45" i="22"/>
  <c r="M46" i="22" s="1"/>
  <c r="C74" i="14"/>
  <c r="H40" i="18"/>
  <c r="H44" i="18" s="1"/>
  <c r="I53" i="18"/>
  <c r="I29" i="18"/>
  <c r="I22" i="18"/>
  <c r="J38" i="18"/>
  <c r="J41" i="18" s="1"/>
  <c r="J39" i="18"/>
  <c r="J42" i="18" s="1"/>
  <c r="J21" i="18"/>
  <c r="J24" i="18" s="1"/>
  <c r="J46" i="18" s="1"/>
  <c r="K4" i="18"/>
  <c r="J20" i="18"/>
  <c r="J23" i="18" s="1"/>
  <c r="J11" i="18"/>
  <c r="J49" i="18"/>
  <c r="J51" i="18" s="1"/>
  <c r="E15" i="28" l="1"/>
  <c r="C24" i="37" s="1"/>
  <c r="G31" i="28"/>
  <c r="F8" i="37"/>
  <c r="H9" i="48"/>
  <c r="G37" i="20"/>
  <c r="G41" i="20" s="1"/>
  <c r="F32" i="46"/>
  <c r="H31" i="28"/>
  <c r="M29" i="28"/>
  <c r="J7" i="37"/>
  <c r="J30" i="22"/>
  <c r="J31" i="22" s="1"/>
  <c r="J57" i="22"/>
  <c r="J58" i="22" s="1"/>
  <c r="J59" i="22"/>
  <c r="J60" i="22"/>
  <c r="I67" i="22"/>
  <c r="I26" i="20"/>
  <c r="J45" i="18"/>
  <c r="I28" i="20"/>
  <c r="M72" i="22"/>
  <c r="M73" i="22" s="1"/>
  <c r="L73" i="22"/>
  <c r="K63" i="22"/>
  <c r="J64" i="22"/>
  <c r="G36" i="28"/>
  <c r="E10" i="37"/>
  <c r="I27" i="20"/>
  <c r="J21" i="22"/>
  <c r="J22" i="22" s="1"/>
  <c r="J32" i="22"/>
  <c r="J33" i="22"/>
  <c r="J39" i="22"/>
  <c r="J40" i="22" s="1"/>
  <c r="J42" i="22"/>
  <c r="J41" i="22"/>
  <c r="J24" i="22"/>
  <c r="J23" i="22"/>
  <c r="K12" i="15"/>
  <c r="K11" i="15"/>
  <c r="K13" i="15"/>
  <c r="G14" i="48"/>
  <c r="H31" i="48"/>
  <c r="H36" i="48" s="1"/>
  <c r="K18" i="48"/>
  <c r="I9" i="48"/>
  <c r="J23" i="48"/>
  <c r="K10" i="15"/>
  <c r="L5" i="15"/>
  <c r="I28" i="28"/>
  <c r="I28" i="48"/>
  <c r="K14" i="26"/>
  <c r="K26" i="26" s="1"/>
  <c r="L4" i="26"/>
  <c r="K30" i="26"/>
  <c r="K32" i="26" s="1"/>
  <c r="I26" i="48"/>
  <c r="I26" i="28"/>
  <c r="I21" i="48"/>
  <c r="H40" i="20"/>
  <c r="I21" i="28"/>
  <c r="M24" i="23"/>
  <c r="M25" i="23" s="1"/>
  <c r="I35" i="20"/>
  <c r="J23" i="26"/>
  <c r="J27" i="26"/>
  <c r="J28" i="26" s="1"/>
  <c r="J25" i="48"/>
  <c r="I6" i="48"/>
  <c r="H8" i="48"/>
  <c r="H14" i="48"/>
  <c r="H13" i="48"/>
  <c r="F10" i="37"/>
  <c r="I22" i="48"/>
  <c r="J14" i="15"/>
  <c r="J15" i="15" s="1"/>
  <c r="J19" i="48"/>
  <c r="I39" i="26"/>
  <c r="J19" i="28"/>
  <c r="K4" i="20"/>
  <c r="J12" i="20"/>
  <c r="J13" i="20" s="1"/>
  <c r="J21" i="20"/>
  <c r="J22" i="20" s="1"/>
  <c r="J31" i="20"/>
  <c r="J33" i="20" s="1"/>
  <c r="J24" i="20"/>
  <c r="J23" i="20"/>
  <c r="J7" i="48"/>
  <c r="J7" i="28"/>
  <c r="I36" i="26"/>
  <c r="J34" i="26"/>
  <c r="G11" i="28"/>
  <c r="G11" i="48"/>
  <c r="G28" i="46"/>
  <c r="G32" i="46" s="1"/>
  <c r="H10" i="48"/>
  <c r="E35" i="19"/>
  <c r="E37" i="19" s="1"/>
  <c r="F6" i="48"/>
  <c r="F15" i="48" s="1"/>
  <c r="F33" i="48" s="1"/>
  <c r="F37" i="48" s="1"/>
  <c r="H10" i="28"/>
  <c r="H20" i="46"/>
  <c r="H36" i="28"/>
  <c r="J75" i="22"/>
  <c r="J76" i="22" s="1"/>
  <c r="J12" i="22"/>
  <c r="K4" i="22"/>
  <c r="J48" i="22"/>
  <c r="J49" i="22" s="1"/>
  <c r="J66" i="22"/>
  <c r="J67" i="22" s="1"/>
  <c r="J87" i="22"/>
  <c r="J86" i="22"/>
  <c r="J85" i="22"/>
  <c r="K89" i="22" s="1"/>
  <c r="J78" i="22"/>
  <c r="J68" i="22"/>
  <c r="J77" i="22"/>
  <c r="J69" i="22"/>
  <c r="J51" i="22"/>
  <c r="J50" i="22"/>
  <c r="I96" i="22"/>
  <c r="J23" i="28"/>
  <c r="J91" i="22"/>
  <c r="F6" i="28"/>
  <c r="K4" i="46"/>
  <c r="J12" i="46"/>
  <c r="J13" i="46" s="1"/>
  <c r="J17" i="46" s="1"/>
  <c r="J22" i="46"/>
  <c r="J24" i="46" s="1"/>
  <c r="I26" i="46"/>
  <c r="I22" i="28"/>
  <c r="H31" i="46"/>
  <c r="F27" i="19"/>
  <c r="G26" i="19"/>
  <c r="G25" i="19"/>
  <c r="F93" i="22"/>
  <c r="F97" i="22" s="1"/>
  <c r="G27" i="47"/>
  <c r="G29" i="47" s="1"/>
  <c r="H8" i="28"/>
  <c r="G55" i="18"/>
  <c r="G59" i="18" s="1"/>
  <c r="H13" i="28"/>
  <c r="G83" i="22"/>
  <c r="H14" i="22"/>
  <c r="H81" i="22" s="1"/>
  <c r="H13" i="22"/>
  <c r="H80" i="22" s="1"/>
  <c r="H15" i="22"/>
  <c r="H82" i="22" s="1"/>
  <c r="M19" i="20"/>
  <c r="I10" i="22"/>
  <c r="J15" i="46"/>
  <c r="J19" i="46" s="1"/>
  <c r="J14" i="46"/>
  <c r="J18" i="46" s="1"/>
  <c r="L9" i="46"/>
  <c r="K10" i="46"/>
  <c r="I9" i="28"/>
  <c r="H37" i="20"/>
  <c r="J15" i="20"/>
  <c r="K10" i="20"/>
  <c r="J14" i="20"/>
  <c r="E33" i="28"/>
  <c r="E38" i="28" s="1"/>
  <c r="N27" i="28"/>
  <c r="F81" i="28" s="1"/>
  <c r="C4" i="38" s="1"/>
  <c r="K6" i="37"/>
  <c r="M10" i="14"/>
  <c r="I27" i="19"/>
  <c r="K33" i="19"/>
  <c r="J26" i="19"/>
  <c r="J25" i="19"/>
  <c r="L22" i="19"/>
  <c r="L24" i="19" s="1"/>
  <c r="M4" i="19"/>
  <c r="M14" i="19" s="1"/>
  <c r="L29" i="19"/>
  <c r="L31" i="19" s="1"/>
  <c r="I6" i="28"/>
  <c r="H35" i="19"/>
  <c r="H37" i="19" s="1"/>
  <c r="K18" i="28"/>
  <c r="J36" i="19"/>
  <c r="I58" i="18"/>
  <c r="J25" i="28"/>
  <c r="J53" i="18"/>
  <c r="J29" i="18"/>
  <c r="J22" i="18"/>
  <c r="I40" i="18"/>
  <c r="I44" i="18" s="1"/>
  <c r="K20" i="18"/>
  <c r="K23" i="18" s="1"/>
  <c r="L4" i="18"/>
  <c r="K21" i="18"/>
  <c r="K24" i="18" s="1"/>
  <c r="K46" i="18" s="1"/>
  <c r="K11" i="18"/>
  <c r="K39" i="18"/>
  <c r="K42" i="18" s="1"/>
  <c r="K38" i="18"/>
  <c r="K41" i="18" s="1"/>
  <c r="K49" i="18"/>
  <c r="K51" i="18" s="1"/>
  <c r="F15" i="28" l="1"/>
  <c r="F33" i="28" s="1"/>
  <c r="F38" i="28" s="1"/>
  <c r="H41" i="20"/>
  <c r="G8" i="37"/>
  <c r="N29" i="28"/>
  <c r="K7" i="37"/>
  <c r="I31" i="28"/>
  <c r="I36" i="28" s="1"/>
  <c r="K30" i="22"/>
  <c r="K31" i="22" s="1"/>
  <c r="K57" i="22"/>
  <c r="K58" i="22" s="1"/>
  <c r="K59" i="22"/>
  <c r="K60" i="22"/>
  <c r="I29" i="20"/>
  <c r="J9" i="48" s="1"/>
  <c r="J28" i="20"/>
  <c r="L63" i="22"/>
  <c r="K64" i="22"/>
  <c r="K68" i="22" s="1"/>
  <c r="J26" i="20"/>
  <c r="K21" i="22"/>
  <c r="K22" i="22" s="1"/>
  <c r="K33" i="22"/>
  <c r="K32" i="22"/>
  <c r="K39" i="22"/>
  <c r="K40" i="22" s="1"/>
  <c r="K42" i="22"/>
  <c r="K41" i="22"/>
  <c r="K24" i="22"/>
  <c r="K23" i="22"/>
  <c r="K45" i="18"/>
  <c r="L13" i="15"/>
  <c r="L12" i="15"/>
  <c r="L11" i="15"/>
  <c r="I40" i="26"/>
  <c r="J22" i="48"/>
  <c r="J26" i="48"/>
  <c r="J26" i="28"/>
  <c r="K7" i="48"/>
  <c r="K7" i="28"/>
  <c r="J36" i="26"/>
  <c r="J21" i="48"/>
  <c r="J21" i="28"/>
  <c r="I40" i="20"/>
  <c r="J27" i="20"/>
  <c r="K23" i="48"/>
  <c r="H28" i="46"/>
  <c r="H32" i="46" s="1"/>
  <c r="K19" i="48"/>
  <c r="J39" i="26"/>
  <c r="K19" i="28"/>
  <c r="I14" i="48"/>
  <c r="K12" i="20"/>
  <c r="K13" i="20" s="1"/>
  <c r="K21" i="20"/>
  <c r="K22" i="20" s="1"/>
  <c r="L4" i="20"/>
  <c r="K31" i="20"/>
  <c r="K33" i="20" s="1"/>
  <c r="K23" i="20"/>
  <c r="K24" i="20"/>
  <c r="J28" i="28"/>
  <c r="J28" i="48"/>
  <c r="K23" i="26"/>
  <c r="K27" i="26"/>
  <c r="K28" i="26" s="1"/>
  <c r="K14" i="15"/>
  <c r="K15" i="15" s="1"/>
  <c r="L18" i="48"/>
  <c r="J35" i="20"/>
  <c r="M27" i="23"/>
  <c r="K34" i="26"/>
  <c r="M5" i="15"/>
  <c r="L10" i="15"/>
  <c r="K25" i="48"/>
  <c r="I31" i="48"/>
  <c r="I36" i="48" s="1"/>
  <c r="L14" i="26"/>
  <c r="L26" i="26" s="1"/>
  <c r="M4" i="26"/>
  <c r="L30" i="26"/>
  <c r="L32" i="26" s="1"/>
  <c r="J6" i="28"/>
  <c r="J6" i="48"/>
  <c r="F35" i="19"/>
  <c r="F37" i="19" s="1"/>
  <c r="G6" i="48"/>
  <c r="G15" i="48" s="1"/>
  <c r="G33" i="48" s="1"/>
  <c r="G37" i="48" s="1"/>
  <c r="G93" i="22"/>
  <c r="G97" i="22" s="1"/>
  <c r="H11" i="48"/>
  <c r="I10" i="28"/>
  <c r="I10" i="48"/>
  <c r="J96" i="22"/>
  <c r="K23" i="28"/>
  <c r="K91" i="22"/>
  <c r="K48" i="22"/>
  <c r="K49" i="22" s="1"/>
  <c r="K66" i="22"/>
  <c r="K75" i="22"/>
  <c r="K76" i="22" s="1"/>
  <c r="K12" i="22"/>
  <c r="L4" i="22"/>
  <c r="K85" i="22"/>
  <c r="L89" i="22" s="1"/>
  <c r="K87" i="22"/>
  <c r="K86" i="22"/>
  <c r="K77" i="22"/>
  <c r="K78" i="22"/>
  <c r="K50" i="22"/>
  <c r="K51" i="22"/>
  <c r="I20" i="46"/>
  <c r="G6" i="28"/>
  <c r="G10" i="37"/>
  <c r="J22" i="28"/>
  <c r="H8" i="37" s="1"/>
  <c r="I31" i="46"/>
  <c r="K12" i="46"/>
  <c r="K13" i="46" s="1"/>
  <c r="K17" i="46" s="1"/>
  <c r="L4" i="46"/>
  <c r="K22" i="46"/>
  <c r="K24" i="46" s="1"/>
  <c r="J26" i="46"/>
  <c r="G27" i="19"/>
  <c r="D24" i="37"/>
  <c r="C31" i="47"/>
  <c r="C30" i="47"/>
  <c r="H47" i="18"/>
  <c r="H11" i="28"/>
  <c r="H83" i="22"/>
  <c r="I14" i="22"/>
  <c r="I81" i="22" s="1"/>
  <c r="I13" i="22"/>
  <c r="I80" i="22" s="1"/>
  <c r="I15" i="22"/>
  <c r="I82" i="22" s="1"/>
  <c r="J10" i="22"/>
  <c r="K15" i="46"/>
  <c r="K19" i="46" s="1"/>
  <c r="K14" i="46"/>
  <c r="K18" i="46" s="1"/>
  <c r="M9" i="46"/>
  <c r="M10" i="46" s="1"/>
  <c r="L10" i="46"/>
  <c r="K14" i="20"/>
  <c r="K15" i="20"/>
  <c r="L10" i="20"/>
  <c r="L6" i="37"/>
  <c r="M6" i="37" s="1"/>
  <c r="I35" i="19"/>
  <c r="I37" i="19" s="1"/>
  <c r="J27" i="19"/>
  <c r="K26" i="19"/>
  <c r="K25" i="19"/>
  <c r="L33" i="19"/>
  <c r="K36" i="19"/>
  <c r="L18" i="28"/>
  <c r="M22" i="19"/>
  <c r="M24" i="19" s="1"/>
  <c r="M29" i="19"/>
  <c r="M31" i="19" s="1"/>
  <c r="L30" i="19" s="1"/>
  <c r="J58" i="18"/>
  <c r="K25" i="28"/>
  <c r="K53" i="18"/>
  <c r="L49" i="18"/>
  <c r="L51" i="18" s="1"/>
  <c r="L39" i="18"/>
  <c r="L42" i="18" s="1"/>
  <c r="L38" i="18"/>
  <c r="L41" i="18" s="1"/>
  <c r="L20" i="18"/>
  <c r="L23" i="18" s="1"/>
  <c r="L11" i="18"/>
  <c r="L21" i="18"/>
  <c r="L24" i="18" s="1"/>
  <c r="L46" i="18" s="1"/>
  <c r="M4" i="18"/>
  <c r="K29" i="18"/>
  <c r="K22" i="18"/>
  <c r="J40" i="18"/>
  <c r="J44" i="18" s="1"/>
  <c r="G15" i="28" l="1"/>
  <c r="G33" i="28" s="1"/>
  <c r="G38" i="28" s="1"/>
  <c r="I37" i="20"/>
  <c r="J9" i="28"/>
  <c r="F82" i="28"/>
  <c r="C5" i="38" s="1"/>
  <c r="L7" i="37"/>
  <c r="M7" i="37" s="1"/>
  <c r="J31" i="28"/>
  <c r="J36" i="28" s="1"/>
  <c r="K69" i="22"/>
  <c r="K67" i="22"/>
  <c r="L30" i="22"/>
  <c r="L31" i="22" s="1"/>
  <c r="L57" i="22"/>
  <c r="L58" i="22" s="1"/>
  <c r="L59" i="22"/>
  <c r="L60" i="22"/>
  <c r="J29" i="20"/>
  <c r="K9" i="48" s="1"/>
  <c r="M63" i="22"/>
  <c r="M64" i="22" s="1"/>
  <c r="L64" i="22"/>
  <c r="L21" i="22"/>
  <c r="L22" i="22" s="1"/>
  <c r="L33" i="22"/>
  <c r="L32" i="22"/>
  <c r="L39" i="22"/>
  <c r="L40" i="22" s="1"/>
  <c r="L42" i="22"/>
  <c r="L41" i="22"/>
  <c r="L24" i="22"/>
  <c r="L23" i="22"/>
  <c r="L45" i="18"/>
  <c r="M13" i="15"/>
  <c r="F89" i="28" s="1"/>
  <c r="M12" i="15"/>
  <c r="F88" i="28" s="1"/>
  <c r="M11" i="15"/>
  <c r="F87" i="28" s="1"/>
  <c r="J14" i="48"/>
  <c r="L14" i="15"/>
  <c r="L15" i="15" s="1"/>
  <c r="I41" i="20"/>
  <c r="N5" i="15"/>
  <c r="M10" i="15"/>
  <c r="F86" i="28" s="1"/>
  <c r="L19" i="48"/>
  <c r="K39" i="26"/>
  <c r="L19" i="28"/>
  <c r="L25" i="48"/>
  <c r="L23" i="48"/>
  <c r="C29" i="23"/>
  <c r="C28" i="23"/>
  <c r="L7" i="48"/>
  <c r="K36" i="26"/>
  <c r="L7" i="28"/>
  <c r="K28" i="20"/>
  <c r="M14" i="26"/>
  <c r="M26" i="26" s="1"/>
  <c r="M30" i="26"/>
  <c r="M32" i="26" s="1"/>
  <c r="I31" i="26" s="1"/>
  <c r="K26" i="48"/>
  <c r="K26" i="28"/>
  <c r="K35" i="20"/>
  <c r="J31" i="48"/>
  <c r="J36" i="48" s="1"/>
  <c r="K28" i="28"/>
  <c r="K28" i="48"/>
  <c r="K26" i="20"/>
  <c r="L34" i="26"/>
  <c r="M18" i="48"/>
  <c r="K27" i="20"/>
  <c r="K22" i="48"/>
  <c r="L23" i="26"/>
  <c r="L27" i="26"/>
  <c r="L28" i="26" s="1"/>
  <c r="J40" i="20"/>
  <c r="K21" i="28"/>
  <c r="K21" i="48"/>
  <c r="L21" i="20"/>
  <c r="L22" i="20" s="1"/>
  <c r="L12" i="20"/>
  <c r="L13" i="20" s="1"/>
  <c r="M4" i="20"/>
  <c r="L31" i="20"/>
  <c r="L33" i="20" s="1"/>
  <c r="L24" i="20"/>
  <c r="L23" i="20"/>
  <c r="J40" i="26"/>
  <c r="I11" i="28"/>
  <c r="I11" i="48"/>
  <c r="H55" i="18"/>
  <c r="H59" i="18" s="1"/>
  <c r="I13" i="48"/>
  <c r="H6" i="28"/>
  <c r="H6" i="48"/>
  <c r="H15" i="48" s="1"/>
  <c r="H33" i="48" s="1"/>
  <c r="H37" i="48" s="1"/>
  <c r="J35" i="19"/>
  <c r="J37" i="19" s="1"/>
  <c r="K6" i="48"/>
  <c r="I28" i="46"/>
  <c r="I32" i="46" s="1"/>
  <c r="J10" i="48"/>
  <c r="H10" i="37"/>
  <c r="J10" i="28"/>
  <c r="K96" i="22"/>
  <c r="L23" i="28"/>
  <c r="L91" i="22"/>
  <c r="L66" i="22"/>
  <c r="L67" i="22" s="1"/>
  <c r="L75" i="22"/>
  <c r="L76" i="22" s="1"/>
  <c r="L12" i="22"/>
  <c r="M4" i="22"/>
  <c r="L48" i="22"/>
  <c r="L49" i="22" s="1"/>
  <c r="L86" i="22"/>
  <c r="L85" i="22"/>
  <c r="M89" i="22" s="1"/>
  <c r="E88" i="22" s="1"/>
  <c r="L87" i="22"/>
  <c r="L68" i="22"/>
  <c r="L69" i="22"/>
  <c r="L78" i="22"/>
  <c r="L77" i="22"/>
  <c r="L50" i="22"/>
  <c r="L51" i="22"/>
  <c r="E24" i="37"/>
  <c r="G35" i="19"/>
  <c r="G37" i="19" s="1"/>
  <c r="J20" i="46"/>
  <c r="K26" i="46"/>
  <c r="M4" i="46"/>
  <c r="L12" i="46"/>
  <c r="L13" i="46" s="1"/>
  <c r="L17" i="46" s="1"/>
  <c r="L22" i="46"/>
  <c r="L24" i="46" s="1"/>
  <c r="J31" i="46"/>
  <c r="K22" i="28"/>
  <c r="I13" i="28"/>
  <c r="H93" i="22"/>
  <c r="H97" i="22" s="1"/>
  <c r="I83" i="22"/>
  <c r="K10" i="22"/>
  <c r="J15" i="22"/>
  <c r="J82" i="22" s="1"/>
  <c r="J13" i="22"/>
  <c r="J80" i="22" s="1"/>
  <c r="J14" i="22"/>
  <c r="J81" i="22" s="1"/>
  <c r="M15" i="46"/>
  <c r="M19" i="46" s="1"/>
  <c r="L14" i="46"/>
  <c r="L18" i="46" s="1"/>
  <c r="L15" i="46"/>
  <c r="L19" i="46" s="1"/>
  <c r="L15" i="20"/>
  <c r="M10" i="20"/>
  <c r="L14" i="20"/>
  <c r="E81" i="28"/>
  <c r="K6" i="28"/>
  <c r="K27" i="19"/>
  <c r="H30" i="19"/>
  <c r="C30" i="19"/>
  <c r="D30" i="19"/>
  <c r="I30" i="19"/>
  <c r="E30" i="19"/>
  <c r="K30" i="19"/>
  <c r="G30" i="19"/>
  <c r="L26" i="19"/>
  <c r="L25" i="19"/>
  <c r="M33" i="19"/>
  <c r="M30" i="19"/>
  <c r="F30" i="19"/>
  <c r="J30" i="19"/>
  <c r="M18" i="28"/>
  <c r="L36" i="19"/>
  <c r="K58" i="18"/>
  <c r="L25" i="28"/>
  <c r="L29" i="18"/>
  <c r="L22" i="18"/>
  <c r="L53" i="18"/>
  <c r="K40" i="18"/>
  <c r="K44" i="18" s="1"/>
  <c r="M11" i="18"/>
  <c r="M39" i="18"/>
  <c r="M42" i="18" s="1"/>
  <c r="M49" i="18"/>
  <c r="M38" i="18"/>
  <c r="M41" i="18" s="1"/>
  <c r="M21" i="18"/>
  <c r="M24" i="18" s="1"/>
  <c r="M20" i="18"/>
  <c r="M23" i="18" s="1"/>
  <c r="I47" i="18"/>
  <c r="H15" i="28" l="1"/>
  <c r="F24" i="37" s="1"/>
  <c r="I15" i="28"/>
  <c r="G24" i="37" s="1"/>
  <c r="I8" i="37"/>
  <c r="J37" i="20"/>
  <c r="K9" i="28"/>
  <c r="K31" i="28"/>
  <c r="K36" i="28" s="1"/>
  <c r="M57" i="22"/>
  <c r="M58" i="22" s="1"/>
  <c r="M30" i="22"/>
  <c r="M59" i="22"/>
  <c r="M60" i="22"/>
  <c r="M46" i="18"/>
  <c r="M21" i="22"/>
  <c r="M31" i="22"/>
  <c r="M32" i="22"/>
  <c r="M33" i="22"/>
  <c r="M51" i="18"/>
  <c r="L50" i="18" s="1"/>
  <c r="M39" i="22"/>
  <c r="M40" i="22" s="1"/>
  <c r="M42" i="22"/>
  <c r="M41" i="22"/>
  <c r="M22" i="22"/>
  <c r="M23" i="22"/>
  <c r="M24" i="22"/>
  <c r="M45" i="18"/>
  <c r="N13" i="15"/>
  <c r="N12" i="15"/>
  <c r="N11" i="15"/>
  <c r="E31" i="26"/>
  <c r="I10" i="37"/>
  <c r="K31" i="26"/>
  <c r="K29" i="20"/>
  <c r="L9" i="48" s="1"/>
  <c r="J31" i="26"/>
  <c r="D31" i="26"/>
  <c r="L31" i="26"/>
  <c r="L27" i="20"/>
  <c r="M25" i="48"/>
  <c r="M23" i="26"/>
  <c r="M27" i="26"/>
  <c r="M28" i="26" s="1"/>
  <c r="N10" i="15"/>
  <c r="J13" i="48"/>
  <c r="N18" i="48"/>
  <c r="F73" i="48" s="1"/>
  <c r="J41" i="20"/>
  <c r="L35" i="20"/>
  <c r="L28" i="28"/>
  <c r="L28" i="48"/>
  <c r="K31" i="48"/>
  <c r="K36" i="48" s="1"/>
  <c r="K14" i="48"/>
  <c r="C31" i="26"/>
  <c r="L22" i="48"/>
  <c r="L28" i="20"/>
  <c r="M12" i="20"/>
  <c r="M13" i="20" s="1"/>
  <c r="M21" i="20"/>
  <c r="M22" i="20" s="1"/>
  <c r="M31" i="20"/>
  <c r="M33" i="20" s="1"/>
  <c r="K32" i="20" s="1"/>
  <c r="M24" i="20"/>
  <c r="M23" i="20"/>
  <c r="M7" i="48"/>
  <c r="M7" i="28"/>
  <c r="L36" i="26"/>
  <c r="K40" i="26"/>
  <c r="M14" i="15"/>
  <c r="M15" i="15" s="1"/>
  <c r="M23" i="48"/>
  <c r="L26" i="48"/>
  <c r="L26" i="28"/>
  <c r="L26" i="20"/>
  <c r="M19" i="48"/>
  <c r="L39" i="26"/>
  <c r="M19" i="28"/>
  <c r="L21" i="48"/>
  <c r="L21" i="28"/>
  <c r="K40" i="20"/>
  <c r="M34" i="26"/>
  <c r="M31" i="26"/>
  <c r="H31" i="26"/>
  <c r="F31" i="26"/>
  <c r="G31" i="26"/>
  <c r="I15" i="48"/>
  <c r="I33" i="48" s="1"/>
  <c r="I37" i="48" s="1"/>
  <c r="K10" i="28"/>
  <c r="K10" i="48"/>
  <c r="K35" i="19"/>
  <c r="K37" i="19" s="1"/>
  <c r="L6" i="48"/>
  <c r="J11" i="28"/>
  <c r="J11" i="48"/>
  <c r="J28" i="46"/>
  <c r="J32" i="46" s="1"/>
  <c r="J88" i="22"/>
  <c r="L88" i="22"/>
  <c r="D88" i="22"/>
  <c r="L96" i="22"/>
  <c r="M23" i="28"/>
  <c r="M91" i="22"/>
  <c r="M88" i="22"/>
  <c r="H88" i="22"/>
  <c r="I88" i="22"/>
  <c r="K88" i="22"/>
  <c r="F88" i="22"/>
  <c r="M66" i="22"/>
  <c r="M67" i="22" s="1"/>
  <c r="M75" i="22"/>
  <c r="M76" i="22" s="1"/>
  <c r="M12" i="22"/>
  <c r="M48" i="22"/>
  <c r="M49" i="22" s="1"/>
  <c r="M85" i="22"/>
  <c r="M87" i="22"/>
  <c r="M86" i="22"/>
  <c r="M68" i="22"/>
  <c r="M77" i="22"/>
  <c r="M78" i="22"/>
  <c r="M69" i="22"/>
  <c r="M51" i="22"/>
  <c r="M50" i="22"/>
  <c r="G88" i="22"/>
  <c r="C88" i="22"/>
  <c r="L6" i="28"/>
  <c r="K20" i="46"/>
  <c r="L22" i="28"/>
  <c r="K31" i="46"/>
  <c r="M12" i="46"/>
  <c r="M13" i="46" s="1"/>
  <c r="M17" i="46" s="1"/>
  <c r="M22" i="46"/>
  <c r="M24" i="46" s="1"/>
  <c r="I23" i="46" s="1"/>
  <c r="M14" i="46"/>
  <c r="M18" i="46" s="1"/>
  <c r="L26" i="46"/>
  <c r="H33" i="28"/>
  <c r="H38" i="28" s="1"/>
  <c r="I93" i="22"/>
  <c r="I97" i="22" s="1"/>
  <c r="J83" i="22"/>
  <c r="K15" i="22"/>
  <c r="K82" i="22" s="1"/>
  <c r="K13" i="22"/>
  <c r="K80" i="22" s="1"/>
  <c r="K14" i="22"/>
  <c r="K81" i="22" s="1"/>
  <c r="M10" i="22"/>
  <c r="L10" i="22"/>
  <c r="M15" i="20"/>
  <c r="M14" i="20"/>
  <c r="J47" i="18"/>
  <c r="L27" i="19"/>
  <c r="M25" i="19"/>
  <c r="M26" i="19"/>
  <c r="M36" i="19"/>
  <c r="N18" i="28"/>
  <c r="L58" i="18"/>
  <c r="M25" i="28"/>
  <c r="I55" i="18"/>
  <c r="I59" i="18" s="1"/>
  <c r="J13" i="28"/>
  <c r="J15" i="28" s="1"/>
  <c r="H50" i="18"/>
  <c r="M29" i="18"/>
  <c r="M22" i="18"/>
  <c r="L40" i="18"/>
  <c r="L44" i="18" s="1"/>
  <c r="M50" i="18"/>
  <c r="M53" i="18"/>
  <c r="C50" i="18"/>
  <c r="J8" i="37" l="1"/>
  <c r="F73" i="28"/>
  <c r="E73" i="28" s="1"/>
  <c r="D50" i="18"/>
  <c r="L31" i="28"/>
  <c r="L36" i="28" s="1"/>
  <c r="F50" i="18"/>
  <c r="K50" i="18"/>
  <c r="J50" i="18"/>
  <c r="E50" i="18"/>
  <c r="G50" i="18"/>
  <c r="I50" i="18"/>
  <c r="M26" i="20"/>
  <c r="M27" i="20"/>
  <c r="D23" i="46"/>
  <c r="M23" i="46"/>
  <c r="F23" i="46"/>
  <c r="H23" i="46"/>
  <c r="G23" i="46"/>
  <c r="E23" i="46"/>
  <c r="K23" i="46"/>
  <c r="J23" i="46"/>
  <c r="L23" i="46"/>
  <c r="L29" i="20"/>
  <c r="M9" i="48" s="1"/>
  <c r="L9" i="28"/>
  <c r="K37" i="20"/>
  <c r="K41" i="20" s="1"/>
  <c r="L40" i="26"/>
  <c r="E32" i="20"/>
  <c r="H32" i="20"/>
  <c r="K28" i="46"/>
  <c r="K32" i="46" s="1"/>
  <c r="J15" i="48"/>
  <c r="J33" i="48" s="1"/>
  <c r="J37" i="48" s="1"/>
  <c r="I33" i="28"/>
  <c r="I38" i="28" s="1"/>
  <c r="N19" i="48"/>
  <c r="F74" i="48" s="1"/>
  <c r="E74" i="48" s="1"/>
  <c r="M39" i="26"/>
  <c r="N19" i="28"/>
  <c r="F74" i="28" s="1"/>
  <c r="E74" i="28" s="1"/>
  <c r="L14" i="48"/>
  <c r="F90" i="48"/>
  <c r="F91" i="48" s="1"/>
  <c r="M28" i="20"/>
  <c r="M22" i="48"/>
  <c r="N23" i="48"/>
  <c r="F78" i="48" s="1"/>
  <c r="E78" i="48" s="1"/>
  <c r="M35" i="20"/>
  <c r="M32" i="20"/>
  <c r="G32" i="20"/>
  <c r="I32" i="20"/>
  <c r="C32" i="20"/>
  <c r="L32" i="20"/>
  <c r="E87" i="48"/>
  <c r="E88" i="48"/>
  <c r="N14" i="15"/>
  <c r="N15" i="15" s="1"/>
  <c r="E85" i="48"/>
  <c r="M26" i="48"/>
  <c r="M26" i="28"/>
  <c r="L31" i="48"/>
  <c r="L36" i="48" s="1"/>
  <c r="J32" i="20"/>
  <c r="M21" i="28"/>
  <c r="M21" i="48"/>
  <c r="L40" i="20"/>
  <c r="E86" i="48"/>
  <c r="N7" i="48"/>
  <c r="N7" i="28"/>
  <c r="M36" i="26"/>
  <c r="M37" i="26" s="1"/>
  <c r="N25" i="48"/>
  <c r="F80" i="48" s="1"/>
  <c r="E80" i="48" s="1"/>
  <c r="M28" i="28"/>
  <c r="M28" i="48"/>
  <c r="F32" i="20"/>
  <c r="D32" i="20"/>
  <c r="E89" i="48"/>
  <c r="H24" i="37"/>
  <c r="K11" i="28"/>
  <c r="K11" i="48"/>
  <c r="E73" i="48"/>
  <c r="L10" i="28"/>
  <c r="L10" i="48"/>
  <c r="M6" i="28"/>
  <c r="M6" i="48"/>
  <c r="K13" i="28"/>
  <c r="K13" i="48"/>
  <c r="M96" i="22"/>
  <c r="N23" i="28"/>
  <c r="F78" i="28" s="1"/>
  <c r="E78" i="28" s="1"/>
  <c r="J10" i="37"/>
  <c r="L20" i="46"/>
  <c r="M26" i="46"/>
  <c r="L31" i="46"/>
  <c r="M22" i="28"/>
  <c r="K8" i="37" s="1"/>
  <c r="C23" i="46"/>
  <c r="J93" i="22"/>
  <c r="J97" i="22" s="1"/>
  <c r="K83" i="22"/>
  <c r="L15" i="22"/>
  <c r="L82" i="22" s="1"/>
  <c r="L13" i="22"/>
  <c r="L80" i="22" s="1"/>
  <c r="L14" i="22"/>
  <c r="L81" i="22" s="1"/>
  <c r="M13" i="22"/>
  <c r="M80" i="22" s="1"/>
  <c r="M15" i="22"/>
  <c r="M82" i="22" s="1"/>
  <c r="M14" i="22"/>
  <c r="M81" i="22" s="1"/>
  <c r="J55" i="18"/>
  <c r="J59" i="18" s="1"/>
  <c r="K47" i="18"/>
  <c r="M27" i="19"/>
  <c r="L35" i="19"/>
  <c r="L37" i="19" s="1"/>
  <c r="M58" i="18"/>
  <c r="N25" i="28"/>
  <c r="F80" i="28" s="1"/>
  <c r="E80" i="28" s="1"/>
  <c r="M40" i="18"/>
  <c r="M44" i="18" s="1"/>
  <c r="K15" i="28" l="1"/>
  <c r="M31" i="28"/>
  <c r="M29" i="20"/>
  <c r="N9" i="48" s="1"/>
  <c r="M9" i="28"/>
  <c r="L37" i="20"/>
  <c r="L41" i="20" s="1"/>
  <c r="M36" i="28"/>
  <c r="E91" i="48"/>
  <c r="M14" i="48"/>
  <c r="N22" i="48"/>
  <c r="F77" i="48" s="1"/>
  <c r="M38" i="26"/>
  <c r="M40" i="26" s="1"/>
  <c r="M31" i="48"/>
  <c r="M36" i="48" s="1"/>
  <c r="F92" i="28"/>
  <c r="N21" i="48"/>
  <c r="F76" i="48" s="1"/>
  <c r="E76" i="48" s="1"/>
  <c r="M40" i="20"/>
  <c r="N21" i="28"/>
  <c r="F76" i="28" s="1"/>
  <c r="E76" i="28" s="1"/>
  <c r="N26" i="48"/>
  <c r="N26" i="28"/>
  <c r="J33" i="28"/>
  <c r="J38" i="28" s="1"/>
  <c r="K15" i="48"/>
  <c r="K33" i="48" s="1"/>
  <c r="K37" i="48" s="1"/>
  <c r="K33" i="28"/>
  <c r="K38" i="28" s="1"/>
  <c r="L13" i="28"/>
  <c r="L13" i="48"/>
  <c r="N6" i="28"/>
  <c r="N6" i="48"/>
  <c r="K93" i="22"/>
  <c r="K97" i="22" s="1"/>
  <c r="L11" i="48"/>
  <c r="M10" i="28"/>
  <c r="M10" i="48"/>
  <c r="K10" i="37"/>
  <c r="L28" i="46"/>
  <c r="L32" i="46" s="1"/>
  <c r="M31" i="46"/>
  <c r="N22" i="28"/>
  <c r="F77" i="28" s="1"/>
  <c r="M20" i="46"/>
  <c r="L11" i="28"/>
  <c r="M83" i="22"/>
  <c r="L83" i="22"/>
  <c r="K55" i="18"/>
  <c r="K59" i="18" s="1"/>
  <c r="L47" i="18"/>
  <c r="M35" i="19"/>
  <c r="M37" i="19" s="1"/>
  <c r="C38" i="19" s="1"/>
  <c r="M37" i="20" l="1"/>
  <c r="M38" i="20" s="1"/>
  <c r="N9" i="28"/>
  <c r="L15" i="28"/>
  <c r="C6" i="38"/>
  <c r="C7" i="38" s="1"/>
  <c r="F83" i="48" s="1"/>
  <c r="L8" i="37"/>
  <c r="M8" i="37" s="1"/>
  <c r="L15" i="48"/>
  <c r="L33" i="48" s="1"/>
  <c r="L37" i="48" s="1"/>
  <c r="N14" i="48"/>
  <c r="N28" i="28"/>
  <c r="N28" i="48"/>
  <c r="N31" i="48" s="1"/>
  <c r="N36" i="48" s="1"/>
  <c r="D16" i="15"/>
  <c r="N10" i="48"/>
  <c r="C41" i="26"/>
  <c r="C42" i="26"/>
  <c r="E77" i="28"/>
  <c r="I24" i="37"/>
  <c r="L55" i="18"/>
  <c r="L59" i="18" s="1"/>
  <c r="M13" i="48"/>
  <c r="M93" i="22"/>
  <c r="M94" i="22" s="1"/>
  <c r="N11" i="48"/>
  <c r="L93" i="22"/>
  <c r="L97" i="22" s="1"/>
  <c r="M11" i="48"/>
  <c r="M15" i="48" s="1"/>
  <c r="M33" i="48" s="1"/>
  <c r="M37" i="48" s="1"/>
  <c r="M39" i="20"/>
  <c r="M41" i="20" s="1"/>
  <c r="C42" i="20" s="1"/>
  <c r="L33" i="28"/>
  <c r="L38" i="28" s="1"/>
  <c r="E77" i="48"/>
  <c r="L10" i="37"/>
  <c r="N10" i="28"/>
  <c r="M28" i="46"/>
  <c r="N11" i="28"/>
  <c r="M11" i="28"/>
  <c r="M47" i="18"/>
  <c r="M13" i="28"/>
  <c r="M15" i="28" s="1"/>
  <c r="C39" i="19"/>
  <c r="C8" i="38" l="1"/>
  <c r="B9" i="37"/>
  <c r="F84" i="28"/>
  <c r="D30" i="28" s="1"/>
  <c r="D31" i="28" s="1"/>
  <c r="D36" i="28" s="1"/>
  <c r="D38" i="28" s="1"/>
  <c r="D30" i="48"/>
  <c r="F92" i="48"/>
  <c r="M9" i="37"/>
  <c r="M10" i="37" s="1"/>
  <c r="B10" i="37"/>
  <c r="N31" i="28"/>
  <c r="N36" i="28" s="1"/>
  <c r="J24" i="37"/>
  <c r="N13" i="28"/>
  <c r="N13" i="48"/>
  <c r="N15" i="48" s="1"/>
  <c r="N33" i="48" s="1"/>
  <c r="M29" i="46"/>
  <c r="N34" i="28" s="1"/>
  <c r="M33" i="28"/>
  <c r="M38" i="28" s="1"/>
  <c r="M55" i="18"/>
  <c r="M56" i="18" s="1"/>
  <c r="M57" i="18" s="1"/>
  <c r="M59" i="18" s="1"/>
  <c r="C60" i="18" s="1"/>
  <c r="C43" i="20"/>
  <c r="M95" i="22"/>
  <c r="M97" i="22" s="1"/>
  <c r="C99" i="22" s="1"/>
  <c r="N15" i="28" l="1"/>
  <c r="L24" i="37" s="1"/>
  <c r="F93" i="28"/>
  <c r="B13" i="37"/>
  <c r="B29" i="37" s="1"/>
  <c r="M30" i="46"/>
  <c r="M32" i="46" s="1"/>
  <c r="N34" i="48"/>
  <c r="N33" i="28"/>
  <c r="C34" i="28" s="1"/>
  <c r="K24" i="37"/>
  <c r="C61" i="18"/>
  <c r="C98" i="22"/>
  <c r="M24" i="37" l="1"/>
  <c r="B15" i="37"/>
  <c r="B16" i="37" s="1"/>
  <c r="B19" i="37" s="1"/>
  <c r="B21" i="37" s="1"/>
  <c r="M73" i="48"/>
  <c r="M83" i="48" s="1"/>
  <c r="N73" i="48" s="1"/>
  <c r="J44" i="48"/>
  <c r="N35" i="48"/>
  <c r="N37" i="48" s="1"/>
  <c r="C34" i="48"/>
  <c r="C33" i="46"/>
  <c r="C34" i="46"/>
  <c r="J44" i="28"/>
  <c r="C14" i="38" s="1"/>
  <c r="N35" i="28"/>
  <c r="L32" i="37" s="1"/>
  <c r="M32" i="37" s="1"/>
  <c r="L31" i="37"/>
  <c r="M31" i="37" s="1"/>
  <c r="M77" i="28" l="1"/>
  <c r="C42" i="28" s="1"/>
  <c r="C10" i="38"/>
  <c r="M80" i="48"/>
  <c r="N80" i="48" s="1"/>
  <c r="B25" i="37"/>
  <c r="B26" i="37" s="1"/>
  <c r="B30" i="37" s="1"/>
  <c r="B34" i="37" s="1"/>
  <c r="D39" i="48" s="1"/>
  <c r="D38" i="48"/>
  <c r="D37" i="28"/>
  <c r="C43" i="48"/>
  <c r="C41" i="48"/>
  <c r="N79" i="48"/>
  <c r="N74" i="48"/>
  <c r="N81" i="48"/>
  <c r="N38" i="28"/>
  <c r="M73" i="28" l="1"/>
  <c r="M86" i="28" s="1"/>
  <c r="N75" i="28" s="1"/>
  <c r="C13" i="37"/>
  <c r="D13" i="37" s="1"/>
  <c r="D15" i="37" s="1"/>
  <c r="M76" i="48"/>
  <c r="C23" i="38"/>
  <c r="D39" i="28"/>
  <c r="N73" i="28"/>
  <c r="N77" i="28"/>
  <c r="C43" i="28"/>
  <c r="C41" i="28"/>
  <c r="N83" i="48"/>
  <c r="N81" i="28" l="1"/>
  <c r="N82" i="28"/>
  <c r="N84" i="28"/>
  <c r="N83" i="28"/>
  <c r="N85" i="28"/>
  <c r="D29" i="37"/>
  <c r="C29" i="37"/>
  <c r="C15" i="37"/>
  <c r="C16" i="37" s="1"/>
  <c r="C19" i="37" s="1"/>
  <c r="E13" i="37"/>
  <c r="E15" i="37" s="1"/>
  <c r="N80" i="28"/>
  <c r="N79" i="28"/>
  <c r="N76" i="28"/>
  <c r="N78" i="28"/>
  <c r="C42" i="48"/>
  <c r="N76" i="48"/>
  <c r="F13" i="37" l="1"/>
  <c r="F15" i="37" s="1"/>
  <c r="E29" i="37"/>
  <c r="N86" i="28"/>
  <c r="G13" i="37"/>
  <c r="G29" i="37" s="1"/>
  <c r="F29" i="37"/>
  <c r="C25" i="37"/>
  <c r="C26" i="37" s="1"/>
  <c r="C30" i="37" s="1"/>
  <c r="C34" i="37" s="1"/>
  <c r="E37" i="28"/>
  <c r="C21" i="37"/>
  <c r="E38" i="48"/>
  <c r="H13" i="37" l="1"/>
  <c r="H15" i="37" s="1"/>
  <c r="G15" i="37"/>
  <c r="E39" i="28"/>
  <c r="E39" i="48"/>
  <c r="I13" i="37"/>
  <c r="D16" i="37"/>
  <c r="D19" i="37" s="1"/>
  <c r="E16" i="37"/>
  <c r="E19" i="37" s="1"/>
  <c r="F16" i="37"/>
  <c r="F19" i="37" s="1"/>
  <c r="G16" i="37"/>
  <c r="G19" i="37" s="1"/>
  <c r="H29" i="37" l="1"/>
  <c r="H16" i="37"/>
  <c r="H19" i="37" s="1"/>
  <c r="I29" i="37"/>
  <c r="I15" i="37"/>
  <c r="I16" i="37" s="1"/>
  <c r="I19" i="37" s="1"/>
  <c r="J13" i="37"/>
  <c r="K13" i="37" s="1"/>
  <c r="J38" i="48"/>
  <c r="F38" i="48"/>
  <c r="E21" i="37"/>
  <c r="G38" i="48"/>
  <c r="I37" i="28"/>
  <c r="I38" i="48"/>
  <c r="F21" i="37"/>
  <c r="H38" i="48"/>
  <c r="G37" i="28"/>
  <c r="F25" i="37"/>
  <c r="F26" i="37" s="1"/>
  <c r="F30" i="37" s="1"/>
  <c r="F34" i="37" s="1"/>
  <c r="H37" i="28"/>
  <c r="G21" i="37"/>
  <c r="E25" i="37"/>
  <c r="E26" i="37" s="1"/>
  <c r="E30" i="37" s="1"/>
  <c r="E34" i="37" s="1"/>
  <c r="D21" i="37"/>
  <c r="D25" i="37"/>
  <c r="F37" i="28"/>
  <c r="H21" i="37"/>
  <c r="H25" i="37"/>
  <c r="H26" i="37" s="1"/>
  <c r="H30" i="37" s="1"/>
  <c r="H34" i="37" s="1"/>
  <c r="J37" i="28"/>
  <c r="G25" i="37"/>
  <c r="G26" i="37" s="1"/>
  <c r="G30" i="37" s="1"/>
  <c r="G34" i="37" s="1"/>
  <c r="K29" i="37" l="1"/>
  <c r="K15" i="37"/>
  <c r="J15" i="37"/>
  <c r="J16" i="37" s="1"/>
  <c r="J19" i="37" s="1"/>
  <c r="J25" i="37" s="1"/>
  <c r="J26" i="37" s="1"/>
  <c r="J30" i="37" s="1"/>
  <c r="J34" i="37" s="1"/>
  <c r="L13" i="37"/>
  <c r="M13" i="37" s="1"/>
  <c r="J29" i="37"/>
  <c r="K37" i="28"/>
  <c r="I21" i="37"/>
  <c r="I25" i="37"/>
  <c r="I26" i="37" s="1"/>
  <c r="I30" i="37" s="1"/>
  <c r="I34" i="37" s="1"/>
  <c r="K38" i="48"/>
  <c r="I39" i="28"/>
  <c r="I39" i="48"/>
  <c r="J39" i="48"/>
  <c r="J39" i="28"/>
  <c r="G39" i="28"/>
  <c r="G39" i="48"/>
  <c r="H39" i="48"/>
  <c r="H39" i="28"/>
  <c r="D26" i="37"/>
  <c r="D30" i="37" s="1"/>
  <c r="K16" i="37" l="1"/>
  <c r="K19" i="37" s="1"/>
  <c r="K21" i="37" s="1"/>
  <c r="J21" i="37"/>
  <c r="L37" i="28"/>
  <c r="L38" i="48"/>
  <c r="L29" i="37"/>
  <c r="M29" i="37" s="1"/>
  <c r="L15" i="37"/>
  <c r="L16" i="37" s="1"/>
  <c r="K39" i="48"/>
  <c r="K39" i="28"/>
  <c r="L39" i="48"/>
  <c r="L39" i="28"/>
  <c r="M37" i="28"/>
  <c r="K25" i="37"/>
  <c r="K26" i="37" s="1"/>
  <c r="K30" i="37" s="1"/>
  <c r="K34" i="37" s="1"/>
  <c r="M38" i="48"/>
  <c r="D34" i="37"/>
  <c r="M15" i="37" l="1"/>
  <c r="L19" i="37"/>
  <c r="L20" i="37"/>
  <c r="M20" i="37" s="1"/>
  <c r="M39" i="28"/>
  <c r="M39" i="48"/>
  <c r="F39" i="28"/>
  <c r="F39" i="48"/>
  <c r="L21" i="37" l="1"/>
  <c r="L33" i="37"/>
  <c r="M33" i="37" s="1"/>
  <c r="N38" i="48"/>
  <c r="M19" i="37"/>
  <c r="M21" i="37" s="1"/>
  <c r="L25" i="37"/>
  <c r="N37" i="28"/>
  <c r="L26" i="37" l="1"/>
  <c r="L30" i="37" s="1"/>
  <c r="M25" i="37"/>
  <c r="M26" i="37" s="1"/>
  <c r="M30" i="37" l="1"/>
  <c r="M34" i="37" s="1"/>
  <c r="L34" i="37"/>
  <c r="B36" i="37" l="1"/>
  <c r="B35" i="37"/>
  <c r="N39" i="48"/>
  <c r="N39" i="28"/>
  <c r="C44" i="28" l="1"/>
  <c r="C44" i="4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Mason Rathe</author>
  </authors>
  <commentList>
    <comment ref="I8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Mason Rathe:</t>
        </r>
        <r>
          <rPr>
            <sz val="9"/>
            <color indexed="81"/>
            <rFont val="Tahoma"/>
            <family val="2"/>
          </rPr>
          <t xml:space="preserve">
Could also reinvest cash
</t>
        </r>
      </text>
    </comment>
  </commentList>
</comments>
</file>

<file path=xl/sharedStrings.xml><?xml version="1.0" encoding="utf-8"?>
<sst xmlns="http://schemas.openxmlformats.org/spreadsheetml/2006/main" count="1387" uniqueCount="501">
  <si>
    <t xml:space="preserve">Net Operating Income </t>
  </si>
  <si>
    <t>Total Net Operating Income</t>
  </si>
  <si>
    <t>Development Costs</t>
  </si>
  <si>
    <t>Total Development Costs</t>
  </si>
  <si>
    <t>Annual Cash Flow</t>
  </si>
  <si>
    <t>Net Operating Income</t>
  </si>
  <si>
    <t>Net Cash Flow</t>
  </si>
  <si>
    <t xml:space="preserve">Commercial Infrastructure </t>
  </si>
  <si>
    <t xml:space="preserve">Total Infrastructure Costs </t>
  </si>
  <si>
    <t>Revenue Assumptions</t>
  </si>
  <si>
    <t>Inflation Factor</t>
  </si>
  <si>
    <t>Gross Lease Revenues</t>
  </si>
  <si>
    <t>Percent Built by Year</t>
  </si>
  <si>
    <t>Infrastructure Costs</t>
  </si>
  <si>
    <t>Assumptions</t>
  </si>
  <si>
    <t>Sale Revenues</t>
  </si>
  <si>
    <t>Leasing Revenues</t>
  </si>
  <si>
    <t>Room Revenues</t>
  </si>
  <si>
    <t>Monthly Parking Fee</t>
  </si>
  <si>
    <t>Allocation to Monthly Use</t>
  </si>
  <si>
    <t>Percent Occupancy by Monthly Contracts</t>
  </si>
  <si>
    <t>Nonwork Days</t>
  </si>
  <si>
    <t>Daily Parking Hours</t>
  </si>
  <si>
    <t>Percent Utilization</t>
  </si>
  <si>
    <t>Work Days</t>
  </si>
  <si>
    <t>Hourly Parking Rate</t>
  </si>
  <si>
    <t>Net Present Value</t>
  </si>
  <si>
    <t>Structured Parking Spaces</t>
  </si>
  <si>
    <t>Total Costs of Sale</t>
  </si>
  <si>
    <t>Total Buildout</t>
  </si>
  <si>
    <t>Project Buildout by Area</t>
  </si>
  <si>
    <t>Total</t>
  </si>
  <si>
    <t>Subtotal</t>
  </si>
  <si>
    <t>Total Infrastructure Costs</t>
  </si>
  <si>
    <t>Total Costs</t>
  </si>
  <si>
    <t>Net Present Value of Costs</t>
  </si>
  <si>
    <t>Phase I</t>
  </si>
  <si>
    <t>Projected Unit Absorption</t>
  </si>
  <si>
    <t>Average Unit Size</t>
  </si>
  <si>
    <t>Net Rentable Area</t>
  </si>
  <si>
    <t>Occupancy Factor</t>
  </si>
  <si>
    <t>Net Usable Area</t>
  </si>
  <si>
    <t>Builder Profit</t>
  </si>
  <si>
    <t>Cost of Sales</t>
  </si>
  <si>
    <t>Vacancy Factor</t>
  </si>
  <si>
    <t>Rooms Completed</t>
  </si>
  <si>
    <t>Average Daily Room Rate</t>
  </si>
  <si>
    <t>Retail</t>
  </si>
  <si>
    <t>Hotel</t>
  </si>
  <si>
    <t>Structured Parking</t>
  </si>
  <si>
    <t>Surface Parking</t>
  </si>
  <si>
    <t>Amount</t>
  </si>
  <si>
    <t>Unit Cost</t>
  </si>
  <si>
    <t>Landscaping</t>
  </si>
  <si>
    <t>Public</t>
  </si>
  <si>
    <t>Private</t>
  </si>
  <si>
    <t>Roads</t>
  </si>
  <si>
    <t>Year 0</t>
  </si>
  <si>
    <t xml:space="preserve">Total Asset Value </t>
  </si>
  <si>
    <t>Asset Value</t>
  </si>
  <si>
    <t>Costs of Sale</t>
  </si>
  <si>
    <t>Unleveraged IRR Before Taxes</t>
  </si>
  <si>
    <t>1. Summary Proforma</t>
  </si>
  <si>
    <t>Market-Rate Rental Housing</t>
  </si>
  <si>
    <t>Market-Rate For-Sale Housing</t>
  </si>
  <si>
    <t>Affordable Rental Housing</t>
  </si>
  <si>
    <t>Office</t>
  </si>
  <si>
    <t>Market-Rate Retail</t>
  </si>
  <si>
    <t>Land Acquisition Costs</t>
  </si>
  <si>
    <t>Loan to Value (LTV)</t>
  </si>
  <si>
    <t>Unleveraged IRR (Before Taxes)</t>
  </si>
  <si>
    <t>Current Site Value (Start of Year 0)</t>
  </si>
  <si>
    <t>Projected Site Value (End of Year 10)</t>
  </si>
  <si>
    <t>2. Multi-Year Development Program</t>
  </si>
  <si>
    <t>% of Total</t>
  </si>
  <si>
    <t>Equity Sources (Total)</t>
  </si>
  <si>
    <t>Financing Sources (Total)</t>
  </si>
  <si>
    <t>Public Subsidies (Total, If Any)</t>
  </si>
  <si>
    <t>Phase II</t>
  </si>
  <si>
    <t>Phase III</t>
  </si>
  <si>
    <t>Development Schedule</t>
  </si>
  <si>
    <t>ULI Urban Design Competition</t>
  </si>
  <si>
    <t>Total SF</t>
  </si>
  <si>
    <t>Product Type</t>
  </si>
  <si>
    <t>Infrastructure</t>
  </si>
  <si>
    <t>Apartments (Market)</t>
  </si>
  <si>
    <t>Apartments (Affordable)</t>
  </si>
  <si>
    <t>Grocery Store</t>
  </si>
  <si>
    <t>Total (Hotel)</t>
  </si>
  <si>
    <t>Total (Retail)</t>
  </si>
  <si>
    <t>Total (Condos)</t>
  </si>
  <si>
    <t>Inflation Factor:</t>
  </si>
  <si>
    <t>Discount Rate</t>
  </si>
  <si>
    <t>Team:</t>
  </si>
  <si>
    <t>Units</t>
  </si>
  <si>
    <t>SF</t>
  </si>
  <si>
    <t>Development Assumptions</t>
  </si>
  <si>
    <t>Units Completed</t>
  </si>
  <si>
    <t>Cumulative Units Leased</t>
  </si>
  <si>
    <t>Monthly Rent PSF</t>
  </si>
  <si>
    <t>Annual Operating Expenses PSF</t>
  </si>
  <si>
    <t>Development Costs PSF</t>
  </si>
  <si>
    <t>(Less) Development Costs</t>
  </si>
  <si>
    <t>Other Assumptions</t>
  </si>
  <si>
    <t>Exit Cap Rate</t>
  </si>
  <si>
    <t>Cost of Sale</t>
  </si>
  <si>
    <t>Totals</t>
  </si>
  <si>
    <t>Projected Units Sold</t>
  </si>
  <si>
    <t>Cumulative Units Sold</t>
  </si>
  <si>
    <t>Sale Price PSF</t>
  </si>
  <si>
    <t>GLA Absorbed (SF)</t>
  </si>
  <si>
    <t>Net Lease Revenue PSF</t>
  </si>
  <si>
    <t>Gross SF</t>
  </si>
  <si>
    <t>Net SF</t>
  </si>
  <si>
    <t>Operating Expenses PSF</t>
  </si>
  <si>
    <t>Expenses Reimbursements</t>
  </si>
  <si>
    <t>(Less) Operating Expenses</t>
  </si>
  <si>
    <t>Development Costs PSF (Retail)</t>
  </si>
  <si>
    <t>Development Costs PSF (Restaurant)</t>
  </si>
  <si>
    <t>Development Costs PSF (Grocery Store)</t>
  </si>
  <si>
    <t>Market-Rate Retail (Gross)</t>
  </si>
  <si>
    <t>Landscaping Costs PSF</t>
  </si>
  <si>
    <t>Infrastructure Costs (All to Be Performed By Developer)</t>
  </si>
  <si>
    <t>3. Unit Development &amp; Infrastructure Costs</t>
  </si>
  <si>
    <t>Projected Construction Costs</t>
  </si>
  <si>
    <t>Hard</t>
  </si>
  <si>
    <t>Soft</t>
  </si>
  <si>
    <t>Hard Cost</t>
  </si>
  <si>
    <t>Property Type</t>
  </si>
  <si>
    <r>
      <t xml:space="preserve">Costs PSF </t>
    </r>
    <r>
      <rPr>
        <b/>
        <vertAlign val="superscript"/>
        <sz val="10"/>
        <rFont val="Arial"/>
        <family val="2"/>
      </rPr>
      <t>(1)</t>
    </r>
  </si>
  <si>
    <t>Costs PSF</t>
  </si>
  <si>
    <t>Contingency</t>
  </si>
  <si>
    <t>Apartments (1-3 Stories)</t>
  </si>
  <si>
    <t>Apartments (4-7 Stories)</t>
  </si>
  <si>
    <t>Apartments (8-24 Stories)</t>
  </si>
  <si>
    <t>Assisted Senior Living</t>
  </si>
  <si>
    <t>Bus Terminal (Train Station)</t>
  </si>
  <si>
    <t>Community Center</t>
  </si>
  <si>
    <t>Day Care Center</t>
  </si>
  <si>
    <t>Department Store (1 Story)</t>
  </si>
  <si>
    <t>Hotel (4-7 Stories)</t>
  </si>
  <si>
    <t>Hotel (8-24 Stories)</t>
  </si>
  <si>
    <t>Library</t>
  </si>
  <si>
    <t>Medical Office</t>
  </si>
  <si>
    <t>Movie Theater</t>
  </si>
  <si>
    <t>Office (2-4 Stories)</t>
  </si>
  <si>
    <t>Office (5-10 Stories)</t>
  </si>
  <si>
    <t>Office (11-20 Stories)</t>
  </si>
  <si>
    <t>Restaurant</t>
  </si>
  <si>
    <t>Restaurant (Fast Food)</t>
  </si>
  <si>
    <t>Retail Center</t>
  </si>
  <si>
    <t>Student Housing (2-3 Stories)</t>
  </si>
  <si>
    <t>Student Housing (4-8 Stories)</t>
  </si>
  <si>
    <t>Supermarket</t>
  </si>
  <si>
    <t>Warehouse</t>
  </si>
  <si>
    <t>(1) Source: RS Means Online Data (2013)</t>
  </si>
  <si>
    <t>Soft Costs (As a % of Hard Costs)</t>
  </si>
  <si>
    <t>Hard Cost Contingency</t>
  </si>
  <si>
    <t>Other Infrastructure Costs</t>
  </si>
  <si>
    <t>Item</t>
  </si>
  <si>
    <t>Hard Costs PSF</t>
  </si>
  <si>
    <t>Plaza/Landscaping/Parks</t>
  </si>
  <si>
    <t>Streetscape</t>
  </si>
  <si>
    <t>Pavillion</t>
  </si>
  <si>
    <t>Bank</t>
  </si>
  <si>
    <t>Department Store (3 Stories)</t>
  </si>
  <si>
    <t>Expense Reimbursements</t>
  </si>
  <si>
    <t>Operating Expenses</t>
  </si>
  <si>
    <t>Spaces</t>
  </si>
  <si>
    <t>SF Per Parking Space</t>
  </si>
  <si>
    <t>Operating Exenses PSF</t>
  </si>
  <si>
    <t>Parking Revenue (Monthly)</t>
  </si>
  <si>
    <t>Parking Revenue (Hourly)</t>
  </si>
  <si>
    <t>Structured Parking (Excludes City-Built Garage)</t>
  </si>
  <si>
    <t>Land Costs</t>
  </si>
  <si>
    <t>Assessed</t>
  </si>
  <si>
    <t>Value</t>
  </si>
  <si>
    <t>Parcel</t>
  </si>
  <si>
    <t>PSF</t>
  </si>
  <si>
    <t>Block A</t>
  </si>
  <si>
    <t>Block B</t>
  </si>
  <si>
    <t>Block C</t>
  </si>
  <si>
    <t>Total (All Parcels)</t>
  </si>
  <si>
    <t>Industrial</t>
  </si>
  <si>
    <t>Office Vacancy</t>
  </si>
  <si>
    <t>Retail Vacancy</t>
  </si>
  <si>
    <t>Industrial Vacancy</t>
  </si>
  <si>
    <t>Block</t>
  </si>
  <si>
    <t>Parcels</t>
  </si>
  <si>
    <t>Purchased</t>
  </si>
  <si>
    <t xml:space="preserve">Assessed </t>
  </si>
  <si>
    <t xml:space="preserve">Total </t>
  </si>
  <si>
    <t>A</t>
  </si>
  <si>
    <t>B</t>
  </si>
  <si>
    <t>C</t>
  </si>
  <si>
    <t>Total Demolition Costs</t>
  </si>
  <si>
    <t>Total SF Requiring Demolition</t>
  </si>
  <si>
    <t>*</t>
  </si>
  <si>
    <r>
      <t xml:space="preserve">Total Demolition Costs </t>
    </r>
    <r>
      <rPr>
        <b/>
        <vertAlign val="superscript"/>
        <sz val="10"/>
        <rFont val="Arial"/>
        <family val="2"/>
      </rPr>
      <t>(1)</t>
    </r>
  </si>
  <si>
    <t>Summary of Land Acquisition</t>
  </si>
  <si>
    <t>Demolition Costs</t>
  </si>
  <si>
    <t>(Less) Total Development Costs</t>
  </si>
  <si>
    <t>Net Present Value (9.00% Rate)</t>
  </si>
  <si>
    <t>Land Acquisition</t>
  </si>
  <si>
    <t>Equity Funding</t>
  </si>
  <si>
    <t>Debt Funding</t>
  </si>
  <si>
    <t>Cumulative Debt Funding</t>
  </si>
  <si>
    <t>Construction Costs</t>
  </si>
  <si>
    <t>Total Financing</t>
  </si>
  <si>
    <t>Syndicated Construction to Mini-Perm Facility (Led By U.S. Bank &amp; Wells Fargo)</t>
  </si>
  <si>
    <t>4. Equity &amp; Financing Sources</t>
  </si>
  <si>
    <t>Financing Analysis</t>
  </si>
  <si>
    <t>Loan Repayment</t>
  </si>
  <si>
    <t>Debt &amp; Equity Funding</t>
  </si>
  <si>
    <t>Debt Service Calculation</t>
  </si>
  <si>
    <t>Total Debt Service</t>
  </si>
  <si>
    <t>Interest Rate</t>
  </si>
  <si>
    <t>Financing Assumptions</t>
  </si>
  <si>
    <t>Leveraged IRR Calculation</t>
  </si>
  <si>
    <t>Equity Outlays</t>
  </si>
  <si>
    <t>CFADS</t>
  </si>
  <si>
    <t>Cash Flow After Debt Service</t>
  </si>
  <si>
    <t>Total CFADS</t>
  </si>
  <si>
    <t>(Less) Interest Expense</t>
  </si>
  <si>
    <t>Asset Sale</t>
  </si>
  <si>
    <t>(Less) Cost of Sale</t>
  </si>
  <si>
    <t>(Less) Debt Repayment</t>
  </si>
  <si>
    <t>Leveraged Cash Flows</t>
  </si>
  <si>
    <t>Leveraged IRR Before Taxes</t>
  </si>
  <si>
    <t>* Assumes all equity is contributed before the loan funds</t>
  </si>
  <si>
    <t>Leveraged IRR (Before Taxes) *</t>
  </si>
  <si>
    <t>Blended Cap Rate:</t>
  </si>
  <si>
    <t>Year 1 Construction Cost Assumptions</t>
  </si>
  <si>
    <r>
      <t xml:space="preserve">Costs PSF </t>
    </r>
    <r>
      <rPr>
        <b/>
        <vertAlign val="superscript"/>
        <sz val="12"/>
        <rFont val="Arial"/>
        <family val="2"/>
      </rPr>
      <t>(1)</t>
    </r>
  </si>
  <si>
    <r>
      <t xml:space="preserve">Costs PSF </t>
    </r>
    <r>
      <rPr>
        <b/>
        <vertAlign val="superscript"/>
        <sz val="12"/>
        <rFont val="Arial"/>
        <family val="2"/>
      </rPr>
      <t>(2)</t>
    </r>
  </si>
  <si>
    <r>
      <t xml:space="preserve">Contingency </t>
    </r>
    <r>
      <rPr>
        <b/>
        <vertAlign val="superscript"/>
        <sz val="12"/>
        <rFont val="Arial"/>
        <family val="2"/>
      </rPr>
      <t>(3)</t>
    </r>
  </si>
  <si>
    <t>Office Space</t>
  </si>
  <si>
    <t>Rental &amp; For-Sale Housing</t>
  </si>
  <si>
    <t>Retail Space</t>
  </si>
  <si>
    <t>Restaurant Space</t>
  </si>
  <si>
    <r>
      <t xml:space="preserve">Costs PSF </t>
    </r>
    <r>
      <rPr>
        <b/>
        <vertAlign val="superscript"/>
        <sz val="12"/>
        <rFont val="Arial"/>
        <family val="2"/>
      </rPr>
      <t>(4)</t>
    </r>
  </si>
  <si>
    <t>(3) Hard Cost Contingency has been estimated as 4.00% of Hard Costs.</t>
  </si>
  <si>
    <t>Market Assumptions</t>
  </si>
  <si>
    <t>Input</t>
  </si>
  <si>
    <t>Assumption</t>
  </si>
  <si>
    <r>
      <t xml:space="preserve">Used </t>
    </r>
    <r>
      <rPr>
        <b/>
        <vertAlign val="superscript"/>
        <sz val="12"/>
        <rFont val="Arial"/>
        <family val="2"/>
      </rPr>
      <t>(1)</t>
    </r>
  </si>
  <si>
    <t>Source</t>
  </si>
  <si>
    <t>Apartment Vacancy</t>
  </si>
  <si>
    <t>Condo Sales Prices PSF</t>
  </si>
  <si>
    <t>Office Rents PSF</t>
  </si>
  <si>
    <t>Retail Rents PSF</t>
  </si>
  <si>
    <t>Restaurant Rents PSF</t>
  </si>
  <si>
    <t>Grocery Store Rents PSF</t>
  </si>
  <si>
    <t>Hotel ADR</t>
  </si>
  <si>
    <t>Hotel Occupancy</t>
  </si>
  <si>
    <t>Hotel EBITDA Margin</t>
  </si>
  <si>
    <t>Apartment Cap Rates</t>
  </si>
  <si>
    <t>Office Cap Rates</t>
  </si>
  <si>
    <t>Retail Cap Rates</t>
  </si>
  <si>
    <t>Hotel Cap Rates</t>
  </si>
  <si>
    <t>Parking Cap Rates</t>
  </si>
  <si>
    <t>inflation of 3.00% was assumed.</t>
  </si>
  <si>
    <t xml:space="preserve">(4) Please note that these figures are current cost estimates, and that for purposes of estimating Development Costs, annual </t>
  </si>
  <si>
    <r>
      <t xml:space="preserve">Total Demolition Costs </t>
    </r>
    <r>
      <rPr>
        <b/>
        <vertAlign val="superscript"/>
        <sz val="12"/>
        <rFont val="Arial"/>
        <family val="2"/>
      </rPr>
      <t>(1)</t>
    </r>
  </si>
  <si>
    <t>(1) Source: EPA Website</t>
  </si>
  <si>
    <t>Debt Service (Interest Expense)</t>
  </si>
  <si>
    <t>(1) Please note that these rent/sales price figures are current estimates, and that for purposes of calculating Net Operating Income, annual inflation of 3.00% was assumed.</t>
  </si>
  <si>
    <t>2017-2018</t>
  </si>
  <si>
    <t xml:space="preserve">Current rents on available units at Walton on the Park, SoNo East, Cobble Square Loft, Xavier Apartments </t>
  </si>
  <si>
    <t>CBRE &amp; Real Capital Analytics Reports for the Chicago CBD</t>
  </si>
  <si>
    <t>Current sales prices on available units at various Chicago condo projects, including 860 W Blackhawk St and 1611 N Hermitage Avenue</t>
  </si>
  <si>
    <t>CBRE and Cushman Wakefield estimates for similar submarket spaces in Chicago, including River North and West Loop</t>
  </si>
  <si>
    <t>Cushman and Wakefield reports for Chicago CBD area</t>
  </si>
  <si>
    <t>(1) Source: RS Means Online Data, and conversations with Cohen Financial and Momark Development</t>
  </si>
  <si>
    <t>(Less) Any existing structures to remain</t>
  </si>
  <si>
    <t>Industrial Cap Rates</t>
  </si>
  <si>
    <t>Industrial Rents PSF</t>
  </si>
  <si>
    <t>Residential</t>
  </si>
  <si>
    <t>Boat Dock</t>
  </si>
  <si>
    <t>Train Platform</t>
  </si>
  <si>
    <t>Street Renovation</t>
  </si>
  <si>
    <t>Total (Industrial)</t>
  </si>
  <si>
    <t>Phase IA</t>
  </si>
  <si>
    <t>Phase I Parcel C Retail</t>
  </si>
  <si>
    <t xml:space="preserve">Structured Parking </t>
  </si>
  <si>
    <t xml:space="preserve">Office </t>
  </si>
  <si>
    <t>Phase I..Now Condos</t>
  </si>
  <si>
    <t>(1) Value PSF was derived through comparabe property sales, and discussions with Cohen Financial</t>
  </si>
  <si>
    <t>Majority of Home Depot Lot (2)</t>
  </si>
  <si>
    <t>(2) Property includes additional year of appreciation, as property is purchased in 2019</t>
  </si>
  <si>
    <t>Affordable Rents PSF</t>
  </si>
  <si>
    <t>Apartment Rents PSF (Monthly)</t>
  </si>
  <si>
    <t>Parking Structure Monthly Rate</t>
  </si>
  <si>
    <t>From comparable structures in River North</t>
  </si>
  <si>
    <t>Hourly Parking Rates</t>
  </si>
  <si>
    <t>(1) All demolition costs are to occur in Year 0 (2017-2018).</t>
  </si>
  <si>
    <t>From CoStar and JLL Industrial Reports</t>
  </si>
  <si>
    <t>From CBRE and Real Capital Analytics Retail Reports. Additionally, compared with comparables in City North.</t>
  </si>
  <si>
    <t>Project Buildout by Development Units</t>
  </si>
  <si>
    <t>Total (Condos-Affordable)</t>
  </si>
  <si>
    <t>Affordable Sales Price PSF</t>
  </si>
  <si>
    <t>Affordable For-Sale Housing</t>
  </si>
  <si>
    <r>
      <t xml:space="preserve">Total </t>
    </r>
    <r>
      <rPr>
        <b/>
        <vertAlign val="superscript"/>
        <sz val="12"/>
        <rFont val="Arial"/>
        <family val="2"/>
      </rPr>
      <t>(2)</t>
    </r>
  </si>
  <si>
    <t>TIFWorks (1)</t>
  </si>
  <si>
    <t>(2) Please note that in addition to the Total Development Costs, this figure also includes a Loan Fee of $6,570,000 (1.00%).</t>
  </si>
  <si>
    <t>(1) TIFWorks subsidies for the educational institution development</t>
  </si>
  <si>
    <t>Industrial and Institutional</t>
  </si>
  <si>
    <t>CTA Transit Grant</t>
  </si>
  <si>
    <t>Loan Fee</t>
  </si>
  <si>
    <t>(2) Soft Costs have been estimated as 20.00% of Hard Costs.</t>
  </si>
  <si>
    <t>Based on (1/3) of 80% AMI for a family of 2</t>
  </si>
  <si>
    <t>Based a mortgage on (1/3) of 80% AMI for a family of 2</t>
  </si>
  <si>
    <t>Developer Land Equity</t>
  </si>
  <si>
    <t>Windy City Opportunity Fund</t>
  </si>
  <si>
    <t>LIHTC</t>
  </si>
  <si>
    <t>LIHTC (2)</t>
  </si>
  <si>
    <t xml:space="preserve">(2) Based on the applicable federal rate of 7.56% on eligible construction, and adjusted based on review of comparable allocations </t>
  </si>
  <si>
    <t>Industrial, Greenhouse, and Educational Institution</t>
  </si>
  <si>
    <t>Industrial, Greenhouse, Educational Institution</t>
  </si>
  <si>
    <t>Industrial, Greenhouse, and Educational Insitution</t>
  </si>
  <si>
    <t>Industrial, Greenhouse, and Education Center</t>
  </si>
  <si>
    <t>Riverwalk and Waterfront</t>
  </si>
  <si>
    <t>2 Platform Pedestrian Bridges</t>
  </si>
  <si>
    <t>Comparison with and averages taken from CoStar, JLL reports, Real Capital Analytics, CBRE reports and discussions With Cohen Financial</t>
  </si>
  <si>
    <t>Estimated from discussions with Cohen Financial, and available rates for hotels in the area, taken from tripadvisor.com and hotels.com</t>
  </si>
  <si>
    <t>Leveragaged Cash Flows</t>
  </si>
  <si>
    <t>* $2.00 PSF in Demolition and Remediation Costs</t>
  </si>
  <si>
    <t>Demolition and Remediation Costs</t>
  </si>
  <si>
    <t>Own</t>
  </si>
  <si>
    <t>Own or</t>
  </si>
  <si>
    <t>Purchase</t>
  </si>
  <si>
    <t>HOME</t>
  </si>
  <si>
    <t>(1) All demolition costs are to occur in Year 0 (2019-2020).</t>
  </si>
  <si>
    <t>Block D</t>
  </si>
  <si>
    <t>Block E</t>
  </si>
  <si>
    <t>Block F</t>
  </si>
  <si>
    <t>Block G</t>
  </si>
  <si>
    <t>2019-2020</t>
  </si>
  <si>
    <t>Highway</t>
  </si>
  <si>
    <t>Vacant</t>
  </si>
  <si>
    <t>Yard House (Resturant)</t>
  </si>
  <si>
    <t>* $4.00 PSF in Demolition Costs</t>
  </si>
  <si>
    <t>D</t>
  </si>
  <si>
    <t>E</t>
  </si>
  <si>
    <t>F</t>
  </si>
  <si>
    <t>G</t>
  </si>
  <si>
    <t>Yard House</t>
  </si>
  <si>
    <t>ULI Urban Design Competition: Summary of Land Acquisition</t>
  </si>
  <si>
    <t>(2) Demolition Cost Estimate based on data from a Promatcher Demoltion Cost Report</t>
  </si>
  <si>
    <t>Current Land Use</t>
  </si>
  <si>
    <t>inflation of 2.00% was assumed.</t>
  </si>
  <si>
    <t>Based on trends from the United States Census</t>
  </si>
  <si>
    <t>Based on rents from City Club, The Reserve, Fourth &amp; Plum, One Lytle Place, Lytle Tower, and Newberry Lofts.</t>
  </si>
  <si>
    <t>Current sales prices on available units at nearby sites.</t>
  </si>
  <si>
    <t>Apartment Rents PSF</t>
  </si>
  <si>
    <t>Input (monthly)</t>
  </si>
  <si>
    <t>CBRE and Cushman Wakefield estimates for the Cincinnati Central Business District.</t>
  </si>
  <si>
    <t>Cushman and Wakefield reports for Cincinnati CBD, Colliers International Cincinnati Retail report, and comparable rents currently advertised in the CBD.</t>
  </si>
  <si>
    <t>Estimated from available rates for hotels in the area, taken from hotels.com, and Cincinnati Business Journal.</t>
  </si>
  <si>
    <t>From existing lots in The Banks.</t>
  </si>
  <si>
    <t>Used</t>
  </si>
  <si>
    <t>Yard House (H)</t>
  </si>
  <si>
    <t>Infromation from Situs RERC Real Estate Report, Red Capital Group, Cushman Cap Rate Survey, and CBRE.</t>
  </si>
  <si>
    <t>* $4 PSF in Demolition Costs</t>
  </si>
  <si>
    <t>SF of properties requiring demolition</t>
  </si>
  <si>
    <t>Block I</t>
  </si>
  <si>
    <t>South Stadium Parking Lot</t>
  </si>
  <si>
    <t>Tap House</t>
  </si>
  <si>
    <t>The Hop</t>
  </si>
  <si>
    <t>Highway Cap</t>
  </si>
  <si>
    <t>Phase II - Parcels A, B, D, E</t>
  </si>
  <si>
    <t>Brewery</t>
  </si>
  <si>
    <t>River Front Park Expansion</t>
  </si>
  <si>
    <t>Condos (Affordable)</t>
  </si>
  <si>
    <t>Condos (Market)</t>
  </si>
  <si>
    <t>Total (Apartments - Market)</t>
  </si>
  <si>
    <t>Total (Apartments - Affordable)</t>
  </si>
  <si>
    <t>Total (Office)</t>
  </si>
  <si>
    <t>Total (Infrastructure)</t>
  </si>
  <si>
    <t>Total (Streetscape)</t>
  </si>
  <si>
    <t>Green Business Incubator</t>
  </si>
  <si>
    <t>Landscape</t>
  </si>
  <si>
    <t>Phase I Parcel A, C, G</t>
  </si>
  <si>
    <t>Parcel C</t>
  </si>
  <si>
    <t xml:space="preserve">Co-Working Space </t>
  </si>
  <si>
    <t>Parcel G</t>
  </si>
  <si>
    <t>Green Roof</t>
  </si>
  <si>
    <t>Parcel D</t>
  </si>
  <si>
    <t>Parcel E</t>
  </si>
  <si>
    <t>Phase III - Parcels  F, H, Park</t>
  </si>
  <si>
    <t>Bar</t>
  </si>
  <si>
    <t>Green Roof Infrastructure</t>
  </si>
  <si>
    <t>Solar Infrastructure</t>
  </si>
  <si>
    <t xml:space="preserve">Retail </t>
  </si>
  <si>
    <t>Patio</t>
  </si>
  <si>
    <t>Green Incubator Retail</t>
  </si>
  <si>
    <t>Parcel B</t>
  </si>
  <si>
    <t>Hop Farm</t>
  </si>
  <si>
    <t xml:space="preserve">Retention Pool </t>
  </si>
  <si>
    <t>Solar Panels</t>
  </si>
  <si>
    <t xml:space="preserve">Green Roof </t>
  </si>
  <si>
    <t xml:space="preserve">Residential </t>
  </si>
  <si>
    <t xml:space="preserve">Solar Panels </t>
  </si>
  <si>
    <t xml:space="preserve">Patio </t>
  </si>
  <si>
    <t xml:space="preserve">Bar </t>
  </si>
  <si>
    <t xml:space="preserve">Green Incubator Retail </t>
  </si>
  <si>
    <t xml:space="preserve">Green Business Incubator </t>
  </si>
  <si>
    <t>Building C2</t>
  </si>
  <si>
    <t>Building C1</t>
  </si>
  <si>
    <t>Building E1</t>
  </si>
  <si>
    <t>Building E2</t>
  </si>
  <si>
    <t>Building E3</t>
  </si>
  <si>
    <t>Building E4</t>
  </si>
  <si>
    <t xml:space="preserve">Landscape </t>
  </si>
  <si>
    <t>Parcel A</t>
  </si>
  <si>
    <t>Total (Solar Infrastructure)</t>
  </si>
  <si>
    <t>Total (Green Roof Infrastructure)</t>
  </si>
  <si>
    <t>Pavilion (Parcel F)</t>
  </si>
  <si>
    <t>Market (Parcel H)</t>
  </si>
  <si>
    <t>Parcel Footprint</t>
  </si>
  <si>
    <t>Building Footprint</t>
  </si>
  <si>
    <t>Lot I (South Lot)</t>
  </si>
  <si>
    <t>Landscaping/Other</t>
  </si>
  <si>
    <t>Green Infrastructure</t>
  </si>
  <si>
    <r>
      <t>Green Infrastructure (Roofing) Costs PSF</t>
    </r>
    <r>
      <rPr>
        <vertAlign val="superscript"/>
        <sz val="10"/>
        <rFont val="Arial"/>
        <family val="2"/>
      </rPr>
      <t xml:space="preserve"> </t>
    </r>
    <r>
      <rPr>
        <vertAlign val="superscript"/>
        <sz val="9"/>
        <rFont val="Arial"/>
        <family val="2"/>
      </rPr>
      <t>(1)</t>
    </r>
  </si>
  <si>
    <t>Solar Infrastructure Costs PSF</t>
  </si>
  <si>
    <t>Streetscape Infrastructure Costs PSF</t>
  </si>
  <si>
    <t>(1) Soft Costs are estimated at 25% of Hard Costs.</t>
  </si>
  <si>
    <t>(2) Hard Cost Contingency is estimated at 7% of Hard Costs.</t>
  </si>
  <si>
    <t xml:space="preserve">(3) Please note that these figures are current cost estimates, and that for purposes of estimating Development Costs, annual </t>
  </si>
  <si>
    <t>Landscaping / Infrastructure</t>
  </si>
  <si>
    <t xml:space="preserve">Streetscape </t>
  </si>
  <si>
    <t>Lot C</t>
  </si>
  <si>
    <t>Lot D</t>
  </si>
  <si>
    <t>Lot E</t>
  </si>
  <si>
    <t>Parking</t>
  </si>
  <si>
    <t>Total (Structured Parking)</t>
  </si>
  <si>
    <t>Phase II Parcel D, E Garage</t>
  </si>
  <si>
    <t>Phase I Parcel C Garage</t>
  </si>
  <si>
    <r>
      <t xml:space="preserve">Contingency </t>
    </r>
    <r>
      <rPr>
        <b/>
        <vertAlign val="superscript"/>
        <sz val="12"/>
        <rFont val="Arial"/>
        <family val="2"/>
      </rPr>
      <t>(2)</t>
    </r>
  </si>
  <si>
    <r>
      <t xml:space="preserve">Costs PSF </t>
    </r>
    <r>
      <rPr>
        <b/>
        <vertAlign val="superscript"/>
        <sz val="12"/>
        <rFont val="Arial"/>
        <family val="2"/>
      </rPr>
      <t>(3)</t>
    </r>
  </si>
  <si>
    <t>Phase I Parcel G Retail</t>
  </si>
  <si>
    <t>Phase II Parcel A Retial</t>
  </si>
  <si>
    <t>Phase II Parcel D Retail</t>
  </si>
  <si>
    <t>Phase II Parcel E Retail</t>
  </si>
  <si>
    <t>Phase I Parcel C Grocery</t>
  </si>
  <si>
    <t>Phase I Parcel C Resturant</t>
  </si>
  <si>
    <t>Total (Resturant/Bar)</t>
  </si>
  <si>
    <t>Total (Grocery)</t>
  </si>
  <si>
    <t>Phase II Parcel A Resturant</t>
  </si>
  <si>
    <t>Phase II Parcel A Retail</t>
  </si>
  <si>
    <t>Industrial Brewery</t>
  </si>
  <si>
    <t>Phase I Industrial Brewery</t>
  </si>
  <si>
    <t>Phase I Parcel C Office</t>
  </si>
  <si>
    <t>Phase I Parcel G Office</t>
  </si>
  <si>
    <t>Phase I Building C1</t>
  </si>
  <si>
    <t>Phase II Building E1</t>
  </si>
  <si>
    <t>Phase II Buildidng E4</t>
  </si>
  <si>
    <t>Phase II Building E2</t>
  </si>
  <si>
    <t>Phase II Building E4</t>
  </si>
  <si>
    <t>Phase II The Hop</t>
  </si>
  <si>
    <t>Phase II Building E3</t>
  </si>
  <si>
    <t>From Cushman and Wakefield Cincinnati Industrial Market Beat</t>
  </si>
  <si>
    <t>and other market assumptions</t>
  </si>
  <si>
    <t xml:space="preserve"> All Parking Structures are already developed or have structure in place to accomidate their second floor</t>
  </si>
  <si>
    <t>(1) Value PSF was derived through comparabe property sales and assessed property values</t>
  </si>
  <si>
    <t xml:space="preserve">Infrastructure Costs </t>
  </si>
  <si>
    <t>Equity Sources</t>
  </si>
  <si>
    <t>Financing Sources</t>
  </si>
  <si>
    <t>Public Subsidies</t>
  </si>
  <si>
    <t>Loan Fee (0.75%)</t>
  </si>
  <si>
    <t>Interest Expense (5.00% All-In Rate)</t>
  </si>
  <si>
    <t>Solar</t>
  </si>
  <si>
    <t>Solar Power</t>
  </si>
  <si>
    <t>Total Energy Revenue</t>
  </si>
  <si>
    <t>SF Built</t>
  </si>
  <si>
    <t>Total SF of Solar</t>
  </si>
  <si>
    <t>Price of Electricity/kWh</t>
  </si>
  <si>
    <t>(4) Office Costs are above typical market rate costs to account for energy enhancements</t>
  </si>
  <si>
    <t>Wholesale Price of Electricity (kWh)</t>
  </si>
  <si>
    <t>Daily Energy Production (kWh)</t>
  </si>
  <si>
    <t>kWh produced/SF/Day</t>
  </si>
  <si>
    <t>Net Present Value (8.00% Rate)</t>
  </si>
  <si>
    <t>CDBG</t>
  </si>
  <si>
    <t>LISC Financing</t>
  </si>
  <si>
    <t>Property Tax Rate</t>
  </si>
  <si>
    <t xml:space="preserve">(1) State Energy Program is providing 75% of the total cost of implementing solar panels in the development. </t>
  </si>
  <si>
    <t>TIF Bond Financing</t>
  </si>
  <si>
    <r>
      <t xml:space="preserve">State Energy Program (SEP) </t>
    </r>
    <r>
      <rPr>
        <vertAlign val="superscript"/>
        <sz val="10"/>
        <rFont val="Arial"/>
        <family val="2"/>
      </rPr>
      <t>(1)</t>
    </r>
  </si>
  <si>
    <t>Yard House Lot / F2</t>
  </si>
  <si>
    <t>Alternative Stormwater Infrastructure Loan Program</t>
  </si>
  <si>
    <t>PACE Financing</t>
  </si>
  <si>
    <t>Oportunity END Zone at The Banks</t>
  </si>
  <si>
    <t>Mini-Perm Debt Financing</t>
  </si>
  <si>
    <t>State Energy Program (SEP) (1)</t>
  </si>
  <si>
    <t xml:space="preserve">Leveraged IRR (Before Taxes) </t>
  </si>
  <si>
    <t>Energy Efficiency &amp; Conservation Block Grant</t>
  </si>
  <si>
    <t>Energy Revenues</t>
  </si>
  <si>
    <t>TIF financing for the community improvements and infrastructure will be used for street improvements, public infrastructure, and park improvements</t>
  </si>
  <si>
    <t>Financing from HOME and CDBG is based on allocations available for Cincinnati and previous allocations given</t>
  </si>
  <si>
    <t xml:space="preserve">The Opportunity END Zone at the Banks is a funding source created through the new federal program for Opportunity Zones. The fund was created specifically for the development of this riverfront site.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</si>
</sst>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&quot;$&quot;#,##0"/>
    <numFmt numFmtId="167" formatCode="#,###\ &quot;Units&quot;"/>
    <numFmt numFmtId="168" formatCode="#,##0\ &quot;SF&quot;"/>
    <numFmt numFmtId="169" formatCode="#,###\ &quot;Rooms&quot;"/>
    <numFmt numFmtId="170" formatCode="_(* #,##0.0000_);_(* \(#,##0.0000\);_(* &quot;-&quot;??_);_(@_)"/>
    <numFmt numFmtId="171" formatCode="#,###\ &quot;Spaces&quot;"/>
    <numFmt numFmtId="172" formatCode="#,##0.0"/>
    <numFmt numFmtId="173" formatCode="&quot;$&quot;#,##0;[Red]\(&quot;$&quot;#,##0\)"/>
    <numFmt numFmtId="174" formatCode="&quot;$&quot;#,##0.0;\(&quot;$&quot;#,##0.00\)"/>
    <numFmt numFmtId="175" formatCode="&quot;$&quot;#,##0.00;\(&quot;$&quot;#,##0.00\)"/>
    <numFmt numFmtId="176" formatCode="_(* #,##0_);_(* \(#,##0\);_(* &quot;-&quot;??_);_(@_)"/>
    <numFmt numFmtId="177" formatCode="0.0000"/>
  </numFmts>
  <fonts count="4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u/>
      <sz val="10"/>
      <name val="Arial"/>
      <family val="2"/>
    </font>
    <font>
      <b/>
      <vertAlign val="superscript"/>
      <sz val="10"/>
      <name val="Arial"/>
      <family val="2"/>
    </font>
    <font>
      <sz val="12"/>
      <color rgb="FF0000FF"/>
      <name val="Arial"/>
      <family val="2"/>
    </font>
    <font>
      <b/>
      <sz val="10"/>
      <color theme="0"/>
      <name val="Arial"/>
      <family val="2"/>
    </font>
    <font>
      <sz val="10"/>
      <color rgb="FF0000FF"/>
      <name val="Arial"/>
      <family val="2"/>
    </font>
    <font>
      <sz val="10"/>
      <color theme="0"/>
      <name val="Arial"/>
      <family val="2"/>
    </font>
    <font>
      <b/>
      <sz val="10"/>
      <color rgb="FF0000FF"/>
      <name val="Arial"/>
      <family val="2"/>
    </font>
    <font>
      <sz val="10"/>
      <color rgb="FF008000"/>
      <name val="Arial"/>
      <family val="2"/>
    </font>
    <font>
      <sz val="12"/>
      <color rgb="FF008000"/>
      <name val="Arial"/>
      <family val="2"/>
    </font>
    <font>
      <sz val="10"/>
      <color rgb="FF0000FF"/>
      <name val="Arial Narrow"/>
      <family val="2"/>
    </font>
    <font>
      <sz val="10"/>
      <color rgb="FF008000"/>
      <name val="Arial Narrow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i/>
      <u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rgb="FF008000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sz val="11"/>
      <color theme="1"/>
      <name val="optima"/>
      <family val="2"/>
    </font>
    <font>
      <b/>
      <sz val="12"/>
      <color theme="0"/>
      <name val="Arial"/>
      <family val="2"/>
    </font>
    <font>
      <sz val="10"/>
      <color theme="5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u/>
      <sz val="10"/>
      <name val="Arial"/>
      <family val="2"/>
    </font>
    <font>
      <vertAlign val="superscript"/>
      <sz val="9"/>
      <name val="Arial"/>
      <family val="2"/>
    </font>
    <font>
      <b/>
      <sz val="10"/>
      <color rgb="FF008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4358"/>
        <bgColor indexed="64"/>
      </patternFill>
    </fill>
    <fill>
      <patternFill patternType="solid">
        <fgColor rgb="FF29D9C2"/>
        <bgColor indexed="64"/>
      </patternFill>
    </fill>
    <fill>
      <patternFill patternType="solid">
        <fgColor rgb="FF44AB1F"/>
        <bgColor indexed="64"/>
      </patternFill>
    </fill>
    <fill>
      <patternFill patternType="solid">
        <fgColor rgb="FFFD74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9" fillId="0" borderId="0">
      <alignment horizontal="left"/>
    </xf>
    <xf numFmtId="0" fontId="30" fillId="0" borderId="0">
      <alignment horizontal="left"/>
    </xf>
    <xf numFmtId="3" fontId="31" fillId="0" borderId="0">
      <alignment horizontal="right"/>
    </xf>
    <xf numFmtId="172" fontId="31" fillId="0" borderId="0">
      <alignment horizontal="right"/>
    </xf>
    <xf numFmtId="4" fontId="31" fillId="0" borderId="0">
      <alignment horizontal="right"/>
    </xf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>
      <alignment horizontal="right"/>
    </xf>
    <xf numFmtId="174" fontId="31" fillId="0" borderId="0">
      <alignment horizontal="right"/>
    </xf>
    <xf numFmtId="175" fontId="31" fillId="0" borderId="0">
      <alignment horizontal="right"/>
    </xf>
    <xf numFmtId="44" fontId="2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" fillId="0" borderId="0"/>
    <xf numFmtId="0" fontId="2" fillId="0" borderId="0"/>
    <xf numFmtId="0" fontId="32" fillId="0" borderId="0"/>
    <xf numFmtId="0" fontId="31" fillId="0" borderId="0"/>
    <xf numFmtId="1" fontId="31" fillId="0" borderId="0">
      <alignment horizontal="right"/>
    </xf>
    <xf numFmtId="9" fontId="31" fillId="0" borderId="0">
      <alignment horizontal="right"/>
    </xf>
    <xf numFmtId="164" fontId="31" fillId="0" borderId="0">
      <alignment horizontal="right"/>
    </xf>
    <xf numFmtId="10" fontId="31" fillId="0" borderId="0">
      <alignment horizontal="right"/>
    </xf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125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7" fillId="0" borderId="1" xfId="3" applyFont="1" applyBorder="1" applyAlignment="1">
      <alignment horizontal="center"/>
    </xf>
    <xf numFmtId="0" fontId="7" fillId="0" borderId="2" xfId="3" applyFont="1" applyBorder="1" applyAlignment="1">
      <alignment horizontal="center"/>
    </xf>
    <xf numFmtId="0" fontId="8" fillId="0" borderId="2" xfId="3" applyFont="1" applyBorder="1" applyAlignment="1">
      <alignment horizontal="center"/>
    </xf>
    <xf numFmtId="0" fontId="8" fillId="0" borderId="3" xfId="3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7" fillId="0" borderId="0" xfId="3" applyFont="1" applyBorder="1" applyAlignment="1"/>
    <xf numFmtId="0" fontId="7" fillId="0" borderId="0" xfId="3" applyFont="1" applyFill="1" applyBorder="1" applyAlignment="1"/>
    <xf numFmtId="0" fontId="7" fillId="0" borderId="0" xfId="3" applyFont="1" applyAlignment="1">
      <alignment horizontal="center"/>
    </xf>
    <xf numFmtId="0" fontId="7" fillId="0" borderId="0" xfId="3" applyFont="1" applyBorder="1" applyAlignment="1">
      <alignment wrapText="1"/>
    </xf>
    <xf numFmtId="0" fontId="7" fillId="0" borderId="0" xfId="3" applyFont="1" applyAlignment="1">
      <alignment wrapText="1"/>
    </xf>
    <xf numFmtId="0" fontId="7" fillId="0" borderId="0" xfId="3" applyFont="1" applyFill="1" applyAlignment="1">
      <alignment horizontal="center"/>
    </xf>
    <xf numFmtId="0" fontId="7" fillId="0" borderId="2" xfId="3" applyFont="1" applyBorder="1" applyAlignment="1"/>
    <xf numFmtId="0" fontId="8" fillId="2" borderId="2" xfId="3" applyFont="1" applyFill="1" applyBorder="1" applyAlignment="1">
      <alignment horizontal="center"/>
    </xf>
    <xf numFmtId="0" fontId="7" fillId="2" borderId="2" xfId="3" applyFont="1" applyFill="1" applyBorder="1" applyAlignment="1"/>
    <xf numFmtId="0" fontId="7" fillId="0" borderId="6" xfId="3" applyFont="1" applyBorder="1" applyAlignment="1">
      <alignment horizontal="center"/>
    </xf>
    <xf numFmtId="0" fontId="7" fillId="0" borderId="6" xfId="3" applyFont="1" applyFill="1" applyBorder="1" applyAlignment="1"/>
    <xf numFmtId="0" fontId="7" fillId="0" borderId="0" xfId="3" applyFont="1" applyAlignment="1"/>
    <xf numFmtId="0" fontId="8" fillId="2" borderId="1" xfId="3" applyFont="1" applyFill="1" applyBorder="1" applyAlignment="1"/>
    <xf numFmtId="0" fontId="8" fillId="2" borderId="2" xfId="3" applyFont="1" applyFill="1" applyBorder="1" applyAlignment="1"/>
    <xf numFmtId="0" fontId="7" fillId="2" borderId="3" xfId="3" applyFont="1" applyFill="1" applyBorder="1" applyAlignment="1"/>
    <xf numFmtId="0" fontId="8" fillId="0" borderId="0" xfId="3" applyFont="1" applyBorder="1" applyAlignment="1"/>
    <xf numFmtId="0" fontId="8" fillId="0" borderId="0" xfId="3" applyFont="1" applyFill="1" applyBorder="1" applyAlignment="1"/>
    <xf numFmtId="0" fontId="7" fillId="0" borderId="0" xfId="3" applyFont="1" applyFill="1" applyAlignment="1"/>
    <xf numFmtId="0" fontId="8" fillId="2" borderId="1" xfId="3" applyFont="1" applyFill="1" applyBorder="1" applyAlignment="1">
      <alignment horizontal="left"/>
    </xf>
    <xf numFmtId="0" fontId="8" fillId="2" borderId="2" xfId="3" applyFont="1" applyFill="1" applyBorder="1" applyAlignment="1">
      <alignment horizontal="left"/>
    </xf>
    <xf numFmtId="0" fontId="8" fillId="0" borderId="6" xfId="3" applyFont="1" applyBorder="1" applyAlignment="1"/>
    <xf numFmtId="0" fontId="8" fillId="0" borderId="8" xfId="3" applyFont="1" applyFill="1" applyBorder="1" applyAlignment="1"/>
    <xf numFmtId="0" fontId="7" fillId="0" borderId="4" xfId="3" applyFont="1" applyFill="1" applyBorder="1" applyAlignment="1"/>
    <xf numFmtId="0" fontId="7" fillId="0" borderId="1" xfId="3" applyFont="1" applyBorder="1" applyAlignment="1"/>
    <xf numFmtId="0" fontId="8" fillId="0" borderId="1" xfId="3" applyFont="1" applyBorder="1" applyAlignment="1">
      <alignment horizontal="center"/>
    </xf>
    <xf numFmtId="0" fontId="7" fillId="2" borderId="2" xfId="3" applyFont="1" applyFill="1" applyBorder="1" applyAlignment="1">
      <alignment horizontal="center"/>
    </xf>
    <xf numFmtId="0" fontId="7" fillId="0" borderId="10" xfId="3" applyFont="1" applyBorder="1" applyAlignment="1"/>
    <xf numFmtId="0" fontId="8" fillId="0" borderId="12" xfId="3" applyFont="1" applyBorder="1" applyAlignment="1"/>
    <xf numFmtId="0" fontId="0" fillId="3" borderId="0" xfId="0" applyFill="1"/>
    <xf numFmtId="0" fontId="2" fillId="3" borderId="0" xfId="0" applyFont="1" applyFill="1"/>
    <xf numFmtId="0" fontId="11" fillId="3" borderId="2" xfId="3" applyFont="1" applyFill="1" applyBorder="1" applyAlignment="1">
      <alignment horizontal="centerContinuous"/>
    </xf>
    <xf numFmtId="0" fontId="2" fillId="3" borderId="2" xfId="3" applyFont="1" applyFill="1" applyBorder="1" applyAlignment="1">
      <alignment horizontal="centerContinuous"/>
    </xf>
    <xf numFmtId="0" fontId="2" fillId="3" borderId="3" xfId="3" applyFont="1" applyFill="1" applyBorder="1" applyAlignment="1">
      <alignment horizontal="centerContinuous"/>
    </xf>
    <xf numFmtId="0" fontId="2" fillId="3" borderId="1" xfId="3" applyFont="1" applyFill="1" applyBorder="1" applyAlignment="1">
      <alignment horizontal="center"/>
    </xf>
    <xf numFmtId="0" fontId="11" fillId="3" borderId="2" xfId="3" applyFont="1" applyFill="1" applyBorder="1" applyAlignment="1">
      <alignment horizontal="center"/>
    </xf>
    <xf numFmtId="0" fontId="11" fillId="3" borderId="1" xfId="3" applyFont="1" applyFill="1" applyBorder="1" applyAlignment="1">
      <alignment horizontal="center"/>
    </xf>
    <xf numFmtId="0" fontId="11" fillId="3" borderId="3" xfId="3" applyFont="1" applyFill="1" applyBorder="1" applyAlignment="1">
      <alignment horizontal="center"/>
    </xf>
    <xf numFmtId="0" fontId="2" fillId="3" borderId="8" xfId="3" applyFont="1" applyFill="1" applyBorder="1" applyAlignment="1"/>
    <xf numFmtId="0" fontId="2" fillId="3" borderId="4" xfId="3" applyFont="1" applyFill="1" applyBorder="1" applyAlignment="1"/>
    <xf numFmtId="0" fontId="11" fillId="3" borderId="4" xfId="3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Continuous"/>
    </xf>
    <xf numFmtId="0" fontId="16" fillId="4" borderId="4" xfId="0" applyFont="1" applyFill="1" applyBorder="1" applyAlignment="1">
      <alignment horizontal="centerContinuous"/>
    </xf>
    <xf numFmtId="0" fontId="16" fillId="4" borderId="9" xfId="0" applyFont="1" applyFill="1" applyBorder="1" applyAlignment="1">
      <alignment horizontal="centerContinuous"/>
    </xf>
    <xf numFmtId="0" fontId="16" fillId="4" borderId="12" xfId="0" applyFont="1" applyFill="1" applyBorder="1" applyAlignment="1">
      <alignment horizontal="centerContinuous"/>
    </xf>
    <xf numFmtId="0" fontId="16" fillId="4" borderId="6" xfId="0" applyFont="1" applyFill="1" applyBorder="1" applyAlignment="1">
      <alignment horizontal="centerContinuous"/>
    </xf>
    <xf numFmtId="0" fontId="16" fillId="4" borderId="7" xfId="0" applyFont="1" applyFill="1" applyBorder="1" applyAlignment="1">
      <alignment horizontal="centerContinuous"/>
    </xf>
    <xf numFmtId="0" fontId="11" fillId="3" borderId="0" xfId="0" applyFont="1" applyFill="1"/>
    <xf numFmtId="0" fontId="2" fillId="3" borderId="0" xfId="0" applyFont="1" applyFill="1" applyAlignment="1">
      <alignment horizontal="center"/>
    </xf>
    <xf numFmtId="3" fontId="17" fillId="3" borderId="0" xfId="0" applyNumberFormat="1" applyFont="1" applyFill="1" applyBorder="1" applyAlignment="1">
      <alignment horizontal="center"/>
    </xf>
    <xf numFmtId="0" fontId="0" fillId="3" borderId="10" xfId="0" applyFill="1" applyBorder="1"/>
    <xf numFmtId="0" fontId="0" fillId="3" borderId="0" xfId="0" applyFill="1" applyBorder="1"/>
    <xf numFmtId="0" fontId="0" fillId="3" borderId="11" xfId="0" applyFill="1" applyBorder="1"/>
    <xf numFmtId="0" fontId="13" fillId="3" borderId="10" xfId="0" applyFont="1" applyFill="1" applyBorder="1"/>
    <xf numFmtId="0" fontId="2" fillId="3" borderId="10" xfId="0" applyFont="1" applyFill="1" applyBorder="1"/>
    <xf numFmtId="0" fontId="2" fillId="3" borderId="0" xfId="0" applyFont="1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0" fontId="2" fillId="3" borderId="12" xfId="0" applyFont="1" applyFill="1" applyBorder="1"/>
    <xf numFmtId="0" fontId="2" fillId="3" borderId="6" xfId="0" applyFont="1" applyFill="1" applyBorder="1" applyAlignment="1">
      <alignment horizontal="center"/>
    </xf>
    <xf numFmtId="3" fontId="0" fillId="3" borderId="6" xfId="0" applyNumberFormat="1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0" fontId="0" fillId="3" borderId="8" xfId="0" applyFill="1" applyBorder="1"/>
    <xf numFmtId="0" fontId="0" fillId="3" borderId="4" xfId="0" applyFill="1" applyBorder="1"/>
    <xf numFmtId="0" fontId="2" fillId="3" borderId="0" xfId="0" applyFont="1" applyFill="1" applyBorder="1"/>
    <xf numFmtId="0" fontId="0" fillId="3" borderId="0" xfId="0" applyFill="1" applyBorder="1" applyAlignment="1">
      <alignment horizontal="center"/>
    </xf>
    <xf numFmtId="3" fontId="0" fillId="3" borderId="11" xfId="0" applyNumberFormat="1" applyFill="1" applyBorder="1" applyAlignment="1">
      <alignment horizontal="center"/>
    </xf>
    <xf numFmtId="0" fontId="2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0" fontId="2" fillId="3" borderId="1" xfId="0" applyFont="1" applyFill="1" applyBorder="1"/>
    <xf numFmtId="0" fontId="0" fillId="3" borderId="2" xfId="0" applyFill="1" applyBorder="1"/>
    <xf numFmtId="0" fontId="11" fillId="3" borderId="1" xfId="0" applyFont="1" applyFill="1" applyBorder="1"/>
    <xf numFmtId="0" fontId="11" fillId="3" borderId="2" xfId="0" applyFont="1" applyFill="1" applyBorder="1"/>
    <xf numFmtId="3" fontId="11" fillId="3" borderId="2" xfId="0" applyNumberFormat="1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3" fontId="11" fillId="3" borderId="1" xfId="0" applyNumberFormat="1" applyFont="1" applyFill="1" applyBorder="1" applyAlignment="1">
      <alignment horizontal="center"/>
    </xf>
    <xf numFmtId="3" fontId="11" fillId="3" borderId="3" xfId="0" applyNumberFormat="1" applyFont="1" applyFill="1" applyBorder="1" applyAlignment="1">
      <alignment horizontal="center"/>
    </xf>
    <xf numFmtId="3" fontId="0" fillId="3" borderId="0" xfId="0" applyNumberFormat="1" applyFill="1" applyBorder="1"/>
    <xf numFmtId="3" fontId="0" fillId="3" borderId="10" xfId="0" applyNumberFormat="1" applyFill="1" applyBorder="1"/>
    <xf numFmtId="3" fontId="0" fillId="3" borderId="11" xfId="0" applyNumberFormat="1" applyFill="1" applyBorder="1"/>
    <xf numFmtId="3" fontId="0" fillId="3" borderId="6" xfId="0" applyNumberFormat="1" applyFill="1" applyBorder="1"/>
    <xf numFmtId="3" fontId="0" fillId="3" borderId="12" xfId="0" applyNumberFormat="1" applyFill="1" applyBorder="1"/>
    <xf numFmtId="3" fontId="0" fillId="3" borderId="7" xfId="0" applyNumberFormat="1" applyFill="1" applyBorder="1"/>
    <xf numFmtId="3" fontId="0" fillId="3" borderId="4" xfId="0" applyNumberFormat="1" applyFill="1" applyBorder="1"/>
    <xf numFmtId="3" fontId="0" fillId="3" borderId="8" xfId="0" applyNumberFormat="1" applyFill="1" applyBorder="1"/>
    <xf numFmtId="3" fontId="0" fillId="3" borderId="9" xfId="0" applyNumberForma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11" fillId="3" borderId="0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11" fillId="3" borderId="6" xfId="3" applyFont="1" applyFill="1" applyBorder="1" applyAlignment="1">
      <alignment horizontal="center"/>
    </xf>
    <xf numFmtId="0" fontId="11" fillId="3" borderId="12" xfId="3" applyFont="1" applyFill="1" applyBorder="1" applyAlignment="1">
      <alignment horizontal="center"/>
    </xf>
    <xf numFmtId="0" fontId="11" fillId="3" borderId="7" xfId="3" applyFont="1" applyFill="1" applyBorder="1" applyAlignment="1">
      <alignment horizontal="center"/>
    </xf>
    <xf numFmtId="0" fontId="11" fillId="3" borderId="1" xfId="3" applyFont="1" applyFill="1" applyBorder="1" applyAlignment="1">
      <alignment horizontal="centerContinuous"/>
    </xf>
    <xf numFmtId="0" fontId="12" fillId="3" borderId="2" xfId="3" applyFont="1" applyFill="1" applyBorder="1" applyAlignment="1">
      <alignment horizontal="centerContinuous"/>
    </xf>
    <xf numFmtId="9" fontId="2" fillId="3" borderId="0" xfId="0" applyNumberFormat="1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10" fontId="2" fillId="3" borderId="0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0" xfId="3" applyFont="1" applyFill="1" applyBorder="1" applyAlignment="1">
      <alignment horizontal="left"/>
    </xf>
    <xf numFmtId="0" fontId="2" fillId="3" borderId="10" xfId="0" applyFont="1" applyFill="1" applyBorder="1" applyAlignment="1"/>
    <xf numFmtId="0" fontId="11" fillId="3" borderId="10" xfId="0" applyFont="1" applyFill="1" applyBorder="1"/>
    <xf numFmtId="0" fontId="11" fillId="3" borderId="12" xfId="0" applyFont="1" applyFill="1" applyBorder="1"/>
    <xf numFmtId="0" fontId="11" fillId="3" borderId="6" xfId="0" applyFont="1" applyFill="1" applyBorder="1"/>
    <xf numFmtId="9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/>
    <xf numFmtId="0" fontId="2" fillId="3" borderId="0" xfId="0" applyFont="1" applyFill="1" applyAlignment="1">
      <alignment horizontal="left"/>
    </xf>
    <xf numFmtId="0" fontId="2" fillId="3" borderId="6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right"/>
    </xf>
    <xf numFmtId="10" fontId="17" fillId="3" borderId="0" xfId="0" applyNumberFormat="1" applyFont="1" applyFill="1" applyBorder="1" applyAlignment="1">
      <alignment horizontal="center"/>
    </xf>
    <xf numFmtId="0" fontId="2" fillId="3" borderId="8" xfId="0" applyFont="1" applyFill="1" applyBorder="1"/>
    <xf numFmtId="43" fontId="17" fillId="3" borderId="11" xfId="0" applyNumberFormat="1" applyFont="1" applyFill="1" applyBorder="1" applyAlignment="1">
      <alignment horizontal="center"/>
    </xf>
    <xf numFmtId="10" fontId="17" fillId="3" borderId="7" xfId="0" applyNumberFormat="1" applyFont="1" applyFill="1" applyBorder="1" applyAlignment="1">
      <alignment horizontal="right"/>
    </xf>
    <xf numFmtId="44" fontId="16" fillId="4" borderId="1" xfId="0" applyNumberFormat="1" applyFont="1" applyFill="1" applyBorder="1" applyAlignment="1">
      <alignment horizontal="centerContinuous"/>
    </xf>
    <xf numFmtId="44" fontId="18" fillId="4" borderId="3" xfId="0" applyNumberFormat="1" applyFont="1" applyFill="1" applyBorder="1" applyAlignment="1">
      <alignment horizontal="centerContinuous"/>
    </xf>
    <xf numFmtId="0" fontId="11" fillId="3" borderId="15" xfId="3" applyFont="1" applyFill="1" applyBorder="1" applyAlignment="1">
      <alignment horizontal="center"/>
    </xf>
    <xf numFmtId="9" fontId="2" fillId="3" borderId="16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10" fontId="2" fillId="3" borderId="16" xfId="0" applyNumberFormat="1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center"/>
    </xf>
    <xf numFmtId="0" fontId="19" fillId="3" borderId="15" xfId="3" applyFont="1" applyFill="1" applyBorder="1" applyAlignment="1">
      <alignment horizontal="center"/>
    </xf>
    <xf numFmtId="42" fontId="2" fillId="3" borderId="16" xfId="0" applyNumberFormat="1" applyFont="1" applyFill="1" applyBorder="1" applyAlignment="1">
      <alignment horizontal="center"/>
    </xf>
    <xf numFmtId="41" fontId="2" fillId="3" borderId="16" xfId="0" applyNumberFormat="1" applyFont="1" applyFill="1" applyBorder="1" applyAlignment="1">
      <alignment horizontal="center"/>
    </xf>
    <xf numFmtId="41" fontId="17" fillId="3" borderId="16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Continuous"/>
    </xf>
    <xf numFmtId="42" fontId="11" fillId="3" borderId="12" xfId="0" applyNumberFormat="1" applyFont="1" applyFill="1" applyBorder="1"/>
    <xf numFmtId="42" fontId="11" fillId="3" borderId="6" xfId="0" applyNumberFormat="1" applyFont="1" applyFill="1" applyBorder="1"/>
    <xf numFmtId="42" fontId="11" fillId="3" borderId="7" xfId="0" applyNumberFormat="1" applyFont="1" applyFill="1" applyBorder="1"/>
    <xf numFmtId="0" fontId="2" fillId="3" borderId="2" xfId="0" applyFont="1" applyFill="1" applyBorder="1" applyAlignment="1">
      <alignment horizontal="center"/>
    </xf>
    <xf numFmtId="42" fontId="11" fillId="3" borderId="17" xfId="0" applyNumberFormat="1" applyFont="1" applyFill="1" applyBorder="1" applyAlignment="1">
      <alignment horizontal="left"/>
    </xf>
    <xf numFmtId="42" fontId="11" fillId="3" borderId="12" xfId="0" applyNumberFormat="1" applyFont="1" applyFill="1" applyBorder="1" applyAlignment="1">
      <alignment horizontal="left"/>
    </xf>
    <xf numFmtId="44" fontId="17" fillId="3" borderId="1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Continuous"/>
    </xf>
    <xf numFmtId="42" fontId="20" fillId="3" borderId="16" xfId="0" applyNumberFormat="1" applyFont="1" applyFill="1" applyBorder="1" applyAlignment="1">
      <alignment horizontal="center"/>
    </xf>
    <xf numFmtId="42" fontId="20" fillId="3" borderId="10" xfId="0" applyNumberFormat="1" applyFont="1" applyFill="1" applyBorder="1"/>
    <xf numFmtId="42" fontId="20" fillId="3" borderId="0" xfId="0" applyNumberFormat="1" applyFont="1" applyFill="1" applyBorder="1"/>
    <xf numFmtId="41" fontId="20" fillId="3" borderId="18" xfId="0" applyNumberFormat="1" applyFont="1" applyFill="1" applyBorder="1" applyAlignment="1">
      <alignment horizontal="center"/>
    </xf>
    <xf numFmtId="41" fontId="20" fillId="3" borderId="14" xfId="0" applyNumberFormat="1" applyFont="1" applyFill="1" applyBorder="1"/>
    <xf numFmtId="42" fontId="0" fillId="3" borderId="0" xfId="0" applyNumberFormat="1" applyFill="1"/>
    <xf numFmtId="41" fontId="0" fillId="3" borderId="0" xfId="0" applyNumberFormat="1" applyFill="1" applyAlignment="1"/>
    <xf numFmtId="41" fontId="0" fillId="3" borderId="0" xfId="0" applyNumberFormat="1" applyFill="1"/>
    <xf numFmtId="41" fontId="0" fillId="3" borderId="0" xfId="0" applyNumberFormat="1" applyFill="1" applyBorder="1"/>
    <xf numFmtId="42" fontId="0" fillId="3" borderId="0" xfId="0" applyNumberFormat="1" applyFill="1" applyBorder="1"/>
    <xf numFmtId="0" fontId="2" fillId="3" borderId="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right"/>
    </xf>
    <xf numFmtId="0" fontId="11" fillId="3" borderId="4" xfId="0" applyFont="1" applyFill="1" applyBorder="1" applyAlignment="1">
      <alignment horizontal="right"/>
    </xf>
    <xf numFmtId="0" fontId="11" fillId="3" borderId="9" xfId="0" applyFont="1" applyFill="1" applyBorder="1" applyAlignment="1">
      <alignment horizontal="left"/>
    </xf>
    <xf numFmtId="0" fontId="11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11" fillId="3" borderId="7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Continuous"/>
    </xf>
    <xf numFmtId="0" fontId="16" fillId="4" borderId="1" xfId="0" applyFont="1" applyFill="1" applyBorder="1" applyAlignment="1">
      <alignment horizontal="centerContinuous"/>
    </xf>
    <xf numFmtId="3" fontId="2" fillId="3" borderId="0" xfId="0" applyNumberFormat="1" applyFont="1" applyFill="1" applyBorder="1" applyAlignment="1">
      <alignment horizontal="center"/>
    </xf>
    <xf numFmtId="1" fontId="20" fillId="3" borderId="0" xfId="0" applyNumberFormat="1" applyFont="1" applyFill="1" applyBorder="1" applyAlignment="1">
      <alignment horizontal="center"/>
    </xf>
    <xf numFmtId="10" fontId="2" fillId="3" borderId="0" xfId="4" applyNumberFormat="1" applyFont="1" applyFill="1" applyBorder="1" applyAlignment="1">
      <alignment horizontal="center"/>
    </xf>
    <xf numFmtId="1" fontId="20" fillId="3" borderId="11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3" fontId="2" fillId="3" borderId="11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17" fillId="3" borderId="6" xfId="4" applyNumberFormat="1" applyFont="1" applyFill="1" applyBorder="1" applyAlignment="1">
      <alignment horizontal="center"/>
    </xf>
    <xf numFmtId="10" fontId="2" fillId="3" borderId="6" xfId="4" applyNumberFormat="1" applyFont="1" applyFill="1" applyBorder="1" applyAlignment="1">
      <alignment horizontal="center"/>
    </xf>
    <xf numFmtId="10" fontId="17" fillId="3" borderId="6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11" fillId="2" borderId="1" xfId="0" applyFont="1" applyFill="1" applyBorder="1"/>
    <xf numFmtId="44" fontId="2" fillId="3" borderId="0" xfId="0" applyNumberFormat="1" applyFont="1" applyFill="1" applyBorder="1" applyAlignment="1">
      <alignment horizontal="right"/>
    </xf>
    <xf numFmtId="44" fontId="2" fillId="3" borderId="11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44" fontId="2" fillId="3" borderId="16" xfId="0" applyNumberFormat="1" applyFont="1" applyFill="1" applyBorder="1" applyAlignment="1">
      <alignment horizontal="center"/>
    </xf>
    <xf numFmtId="10" fontId="2" fillId="3" borderId="17" xfId="0" applyNumberFormat="1" applyFont="1" applyFill="1" applyBorder="1" applyAlignment="1">
      <alignment horizontal="center"/>
    </xf>
    <xf numFmtId="0" fontId="2" fillId="2" borderId="1" xfId="0" applyFont="1" applyFill="1" applyBorder="1"/>
    <xf numFmtId="1" fontId="20" fillId="3" borderId="10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center"/>
    </xf>
    <xf numFmtId="44" fontId="2" fillId="3" borderId="10" xfId="0" applyNumberFormat="1" applyFont="1" applyFill="1" applyBorder="1" applyAlignment="1">
      <alignment horizontal="right"/>
    </xf>
    <xf numFmtId="10" fontId="17" fillId="3" borderId="12" xfId="4" applyNumberFormat="1" applyFont="1" applyFill="1" applyBorder="1" applyAlignment="1">
      <alignment horizontal="center"/>
    </xf>
    <xf numFmtId="10" fontId="17" fillId="3" borderId="7" xfId="0" applyNumberFormat="1" applyFont="1" applyFill="1" applyBorder="1" applyAlignment="1">
      <alignment horizontal="center"/>
    </xf>
    <xf numFmtId="10" fontId="17" fillId="3" borderId="10" xfId="4" applyNumberFormat="1" applyFont="1" applyFill="1" applyBorder="1" applyAlignment="1">
      <alignment horizontal="center"/>
    </xf>
    <xf numFmtId="10" fontId="17" fillId="3" borderId="11" xfId="0" applyNumberFormat="1" applyFont="1" applyFill="1" applyBorder="1" applyAlignment="1">
      <alignment horizontal="center"/>
    </xf>
    <xf numFmtId="10" fontId="17" fillId="3" borderId="12" xfId="0" applyNumberFormat="1" applyFont="1" applyFill="1" applyBorder="1" applyAlignment="1">
      <alignment horizontal="center"/>
    </xf>
    <xf numFmtId="10" fontId="17" fillId="3" borderId="10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44" fontId="17" fillId="3" borderId="16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0" fontId="11" fillId="2" borderId="1" xfId="3" applyFont="1" applyFill="1" applyBorder="1" applyAlignment="1">
      <alignment horizontal="left"/>
    </xf>
    <xf numFmtId="0" fontId="11" fillId="2" borderId="2" xfId="0" applyFont="1" applyFill="1" applyBorder="1"/>
    <xf numFmtId="0" fontId="11" fillId="2" borderId="2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3" xfId="0" applyFont="1" applyFill="1" applyBorder="1"/>
    <xf numFmtId="3" fontId="20" fillId="3" borderId="11" xfId="0" applyNumberFormat="1" applyFont="1" applyFill="1" applyBorder="1" applyAlignment="1">
      <alignment horizontal="center"/>
    </xf>
    <xf numFmtId="3" fontId="20" fillId="3" borderId="7" xfId="0" applyNumberFormat="1" applyFont="1" applyFill="1" applyBorder="1" applyAlignment="1">
      <alignment horizontal="center"/>
    </xf>
    <xf numFmtId="42" fontId="2" fillId="3" borderId="0" xfId="0" applyNumberFormat="1" applyFont="1" applyFill="1" applyBorder="1" applyAlignment="1">
      <alignment horizontal="center"/>
    </xf>
    <xf numFmtId="42" fontId="2" fillId="3" borderId="0" xfId="0" applyNumberFormat="1" applyFont="1" applyFill="1" applyBorder="1" applyAlignment="1">
      <alignment horizontal="right"/>
    </xf>
    <xf numFmtId="41" fontId="2" fillId="3" borderId="0" xfId="0" applyNumberFormat="1" applyFont="1" applyFill="1" applyBorder="1" applyAlignment="1">
      <alignment horizontal="center"/>
    </xf>
    <xf numFmtId="10" fontId="17" fillId="3" borderId="5" xfId="0" applyNumberFormat="1" applyFont="1" applyFill="1" applyBorder="1" applyAlignment="1">
      <alignment horizontal="center"/>
    </xf>
    <xf numFmtId="41" fontId="2" fillId="3" borderId="5" xfId="0" applyNumberFormat="1" applyFont="1" applyFill="1" applyBorder="1" applyAlignment="1">
      <alignment horizontal="center"/>
    </xf>
    <xf numFmtId="42" fontId="2" fillId="3" borderId="11" xfId="0" applyNumberFormat="1" applyFont="1" applyFill="1" applyBorder="1" applyAlignment="1">
      <alignment horizontal="right"/>
    </xf>
    <xf numFmtId="0" fontId="2" fillId="3" borderId="13" xfId="0" applyFont="1" applyFill="1" applyBorder="1" applyAlignment="1">
      <alignment horizontal="left"/>
    </xf>
    <xf numFmtId="41" fontId="2" fillId="3" borderId="14" xfId="0" applyNumberFormat="1" applyFont="1" applyFill="1" applyBorder="1" applyAlignment="1">
      <alignment horizontal="center"/>
    </xf>
    <xf numFmtId="42" fontId="11" fillId="3" borderId="6" xfId="0" applyNumberFormat="1" applyFont="1" applyFill="1" applyBorder="1" applyAlignment="1">
      <alignment horizontal="center"/>
    </xf>
    <xf numFmtId="42" fontId="11" fillId="3" borderId="7" xfId="0" applyNumberFormat="1" applyFont="1" applyFill="1" applyBorder="1" applyAlignment="1">
      <alignment horizontal="center"/>
    </xf>
    <xf numFmtId="41" fontId="2" fillId="3" borderId="0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41" fontId="20" fillId="3" borderId="5" xfId="0" applyNumberFormat="1" applyFont="1" applyFill="1" applyBorder="1" applyAlignment="1">
      <alignment horizontal="right"/>
    </xf>
    <xf numFmtId="10" fontId="2" fillId="3" borderId="11" xfId="4" applyNumberFormat="1" applyFont="1" applyFill="1" applyBorder="1" applyAlignment="1">
      <alignment horizontal="center"/>
    </xf>
    <xf numFmtId="42" fontId="2" fillId="3" borderId="11" xfId="0" applyNumberFormat="1" applyFont="1" applyFill="1" applyBorder="1" applyAlignment="1">
      <alignment horizontal="center"/>
    </xf>
    <xf numFmtId="41" fontId="20" fillId="3" borderId="14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42" fontId="2" fillId="3" borderId="19" xfId="0" applyNumberFormat="1" applyFont="1" applyFill="1" applyBorder="1" applyAlignment="1">
      <alignment horizontal="center"/>
    </xf>
    <xf numFmtId="42" fontId="2" fillId="3" borderId="8" xfId="0" applyNumberFormat="1" applyFont="1" applyFill="1" applyBorder="1" applyAlignment="1">
      <alignment horizontal="right"/>
    </xf>
    <xf numFmtId="42" fontId="2" fillId="3" borderId="4" xfId="0" applyNumberFormat="1" applyFont="1" applyFill="1" applyBorder="1" applyAlignment="1">
      <alignment horizontal="right"/>
    </xf>
    <xf numFmtId="42" fontId="2" fillId="3" borderId="9" xfId="0" applyNumberFormat="1" applyFont="1" applyFill="1" applyBorder="1" applyAlignment="1">
      <alignment horizontal="right"/>
    </xf>
    <xf numFmtId="41" fontId="2" fillId="3" borderId="10" xfId="0" applyNumberFormat="1" applyFont="1" applyFill="1" applyBorder="1" applyAlignment="1">
      <alignment horizontal="right"/>
    </xf>
    <xf numFmtId="41" fontId="2" fillId="3" borderId="11" xfId="0" applyNumberFormat="1" applyFont="1" applyFill="1" applyBorder="1" applyAlignment="1">
      <alignment horizontal="right"/>
    </xf>
    <xf numFmtId="41" fontId="2" fillId="3" borderId="10" xfId="0" applyNumberFormat="1" applyFont="1" applyFill="1" applyBorder="1" applyAlignment="1">
      <alignment horizontal="center"/>
    </xf>
    <xf numFmtId="41" fontId="2" fillId="3" borderId="1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2" fontId="11" fillId="3" borderId="15" xfId="0" applyNumberFormat="1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Continuous"/>
    </xf>
    <xf numFmtId="0" fontId="16" fillId="4" borderId="3" xfId="0" applyFont="1" applyFill="1" applyBorder="1" applyAlignment="1">
      <alignment horizontal="centerContinuous"/>
    </xf>
    <xf numFmtId="10" fontId="2" fillId="3" borderId="16" xfId="4" applyNumberFormat="1" applyFont="1" applyFill="1" applyBorder="1" applyAlignment="1">
      <alignment horizontal="center"/>
    </xf>
    <xf numFmtId="10" fontId="2" fillId="3" borderId="10" xfId="4" applyNumberFormat="1" applyFont="1" applyFill="1" applyBorder="1" applyAlignment="1">
      <alignment horizontal="center"/>
    </xf>
    <xf numFmtId="42" fontId="2" fillId="3" borderId="10" xfId="0" applyNumberFormat="1" applyFont="1" applyFill="1" applyBorder="1" applyAlignment="1">
      <alignment horizontal="center"/>
    </xf>
    <xf numFmtId="41" fontId="20" fillId="3" borderId="13" xfId="0" applyNumberFormat="1" applyFont="1" applyFill="1" applyBorder="1" applyAlignment="1">
      <alignment horizontal="right"/>
    </xf>
    <xf numFmtId="42" fontId="11" fillId="3" borderId="17" xfId="0" applyNumberFormat="1" applyFont="1" applyFill="1" applyBorder="1" applyAlignment="1">
      <alignment horizontal="center"/>
    </xf>
    <xf numFmtId="42" fontId="11" fillId="3" borderId="12" xfId="0" applyNumberFormat="1" applyFont="1" applyFill="1" applyBorder="1" applyAlignment="1">
      <alignment horizontal="center"/>
    </xf>
    <xf numFmtId="42" fontId="17" fillId="3" borderId="19" xfId="0" applyNumberFormat="1" applyFont="1" applyFill="1" applyBorder="1" applyAlignment="1">
      <alignment horizontal="center"/>
    </xf>
    <xf numFmtId="42" fontId="2" fillId="3" borderId="10" xfId="0" applyNumberFormat="1" applyFont="1" applyFill="1" applyBorder="1" applyAlignment="1">
      <alignment horizontal="right"/>
    </xf>
    <xf numFmtId="41" fontId="2" fillId="3" borderId="18" xfId="0" applyNumberFormat="1" applyFont="1" applyFill="1" applyBorder="1" applyAlignment="1">
      <alignment horizontal="center"/>
    </xf>
    <xf numFmtId="41" fontId="2" fillId="3" borderId="13" xfId="0" applyNumberFormat="1" applyFont="1" applyFill="1" applyBorder="1" applyAlignment="1">
      <alignment horizontal="center"/>
    </xf>
    <xf numFmtId="10" fontId="2" fillId="3" borderId="10" xfId="0" applyNumberFormat="1" applyFont="1" applyFill="1" applyBorder="1" applyAlignment="1">
      <alignment horizontal="center"/>
    </xf>
    <xf numFmtId="42" fontId="11" fillId="3" borderId="16" xfId="0" applyNumberFormat="1" applyFont="1" applyFill="1" applyBorder="1" applyAlignment="1">
      <alignment horizontal="center"/>
    </xf>
    <xf numFmtId="42" fontId="11" fillId="3" borderId="10" xfId="0" applyNumberFormat="1" applyFont="1" applyFill="1" applyBorder="1" applyAlignment="1">
      <alignment horizontal="right"/>
    </xf>
    <xf numFmtId="42" fontId="11" fillId="3" borderId="0" xfId="0" applyNumberFormat="1" applyFont="1" applyFill="1" applyBorder="1" applyAlignment="1">
      <alignment horizontal="right"/>
    </xf>
    <xf numFmtId="42" fontId="11" fillId="3" borderId="11" xfId="0" applyNumberFormat="1" applyFont="1" applyFill="1" applyBorder="1" applyAlignment="1">
      <alignment horizontal="right"/>
    </xf>
    <xf numFmtId="10" fontId="11" fillId="3" borderId="15" xfId="0" applyNumberFormat="1" applyFont="1" applyFill="1" applyBorder="1" applyAlignment="1">
      <alignment horizontal="center"/>
    </xf>
    <xf numFmtId="3" fontId="17" fillId="3" borderId="11" xfId="0" applyNumberFormat="1" applyFont="1" applyFill="1" applyBorder="1" applyAlignment="1">
      <alignment horizontal="center"/>
    </xf>
    <xf numFmtId="0" fontId="11" fillId="3" borderId="12" xfId="0" applyFont="1" applyFill="1" applyBorder="1" applyAlignment="1">
      <alignment horizontal="left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right"/>
    </xf>
    <xf numFmtId="2" fontId="4" fillId="3" borderId="0" xfId="0" applyNumberFormat="1" applyFont="1" applyFill="1" applyBorder="1" applyAlignment="1">
      <alignment horizontal="center"/>
    </xf>
    <xf numFmtId="0" fontId="19" fillId="3" borderId="12" xfId="3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37" fontId="2" fillId="3" borderId="0" xfId="1" applyNumberFormat="1" applyFont="1" applyFill="1" applyBorder="1" applyAlignment="1">
      <alignment horizontal="center"/>
    </xf>
    <xf numFmtId="44" fontId="2" fillId="3" borderId="4" xfId="0" applyNumberFormat="1" applyFont="1" applyFill="1" applyBorder="1" applyAlignment="1">
      <alignment horizontal="right"/>
    </xf>
    <xf numFmtId="1" fontId="2" fillId="3" borderId="11" xfId="0" applyNumberFormat="1" applyFont="1" applyFill="1" applyBorder="1" applyAlignment="1">
      <alignment horizontal="center"/>
    </xf>
    <xf numFmtId="37" fontId="2" fillId="3" borderId="11" xfId="1" applyNumberFormat="1" applyFont="1" applyFill="1" applyBorder="1" applyAlignment="1">
      <alignment horizontal="center"/>
    </xf>
    <xf numFmtId="44" fontId="2" fillId="3" borderId="6" xfId="0" applyNumberFormat="1" applyFont="1" applyFill="1" applyBorder="1" applyAlignment="1">
      <alignment horizontal="right"/>
    </xf>
    <xf numFmtId="44" fontId="2" fillId="3" borderId="7" xfId="0" applyNumberFormat="1" applyFont="1" applyFill="1" applyBorder="1" applyAlignment="1">
      <alignment horizontal="right"/>
    </xf>
    <xf numFmtId="44" fontId="17" fillId="3" borderId="17" xfId="0" applyNumberFormat="1" applyFont="1" applyFill="1" applyBorder="1" applyAlignment="1">
      <alignment horizontal="center"/>
    </xf>
    <xf numFmtId="0" fontId="19" fillId="3" borderId="1" xfId="3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2" fillId="3" borderId="10" xfId="0" applyNumberFormat="1" applyFont="1" applyFill="1" applyBorder="1" applyAlignment="1">
      <alignment horizontal="center"/>
    </xf>
    <xf numFmtId="44" fontId="17" fillId="3" borderId="12" xfId="0" applyNumberFormat="1" applyFont="1" applyFill="1" applyBorder="1" applyAlignment="1">
      <alignment horizontal="center"/>
    </xf>
    <xf numFmtId="44" fontId="2" fillId="3" borderId="8" xfId="0" applyNumberFormat="1" applyFont="1" applyFill="1" applyBorder="1" applyAlignment="1">
      <alignment horizontal="right"/>
    </xf>
    <xf numFmtId="44" fontId="2" fillId="3" borderId="9" xfId="0" applyNumberFormat="1" applyFont="1" applyFill="1" applyBorder="1" applyAlignment="1">
      <alignment horizontal="right"/>
    </xf>
    <xf numFmtId="1" fontId="17" fillId="3" borderId="10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37" fontId="2" fillId="3" borderId="10" xfId="1" applyNumberFormat="1" applyFont="1" applyFill="1" applyBorder="1" applyAlignment="1">
      <alignment horizontal="center"/>
    </xf>
    <xf numFmtId="44" fontId="2" fillId="3" borderId="12" xfId="0" applyNumberFormat="1" applyFont="1" applyFill="1" applyBorder="1" applyAlignment="1">
      <alignment horizontal="right"/>
    </xf>
    <xf numFmtId="9" fontId="2" fillId="3" borderId="5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42" fontId="20" fillId="3" borderId="10" xfId="0" applyNumberFormat="1" applyFont="1" applyFill="1" applyBorder="1" applyAlignment="1">
      <alignment horizontal="right"/>
    </xf>
    <xf numFmtId="42" fontId="20" fillId="3" borderId="0" xfId="0" applyNumberFormat="1" applyFont="1" applyFill="1" applyBorder="1" applyAlignment="1">
      <alignment horizontal="right"/>
    </xf>
    <xf numFmtId="42" fontId="20" fillId="3" borderId="11" xfId="0" applyNumberFormat="1" applyFont="1" applyFill="1" applyBorder="1" applyAlignment="1">
      <alignment horizontal="right"/>
    </xf>
    <xf numFmtId="42" fontId="11" fillId="3" borderId="12" xfId="0" applyNumberFormat="1" applyFont="1" applyFill="1" applyBorder="1" applyAlignment="1">
      <alignment horizontal="right"/>
    </xf>
    <xf numFmtId="42" fontId="11" fillId="3" borderId="6" xfId="0" applyNumberFormat="1" applyFont="1" applyFill="1" applyBorder="1" applyAlignment="1">
      <alignment horizontal="right"/>
    </xf>
    <xf numFmtId="42" fontId="11" fillId="3" borderId="7" xfId="0" applyNumberFormat="1" applyFont="1" applyFill="1" applyBorder="1" applyAlignment="1">
      <alignment horizontal="right"/>
    </xf>
    <xf numFmtId="42" fontId="2" fillId="2" borderId="15" xfId="0" applyNumberFormat="1" applyFont="1" applyFill="1" applyBorder="1" applyAlignment="1">
      <alignment horizontal="center"/>
    </xf>
    <xf numFmtId="42" fontId="2" fillId="2" borderId="1" xfId="0" applyNumberFormat="1" applyFont="1" applyFill="1" applyBorder="1" applyAlignment="1">
      <alignment horizontal="right"/>
    </xf>
    <xf numFmtId="42" fontId="2" fillId="2" borderId="2" xfId="0" applyNumberFormat="1" applyFont="1" applyFill="1" applyBorder="1" applyAlignment="1">
      <alignment horizontal="right"/>
    </xf>
    <xf numFmtId="42" fontId="2" fillId="2" borderId="3" xfId="0" applyNumberFormat="1" applyFont="1" applyFill="1" applyBorder="1" applyAlignment="1">
      <alignment horizontal="right"/>
    </xf>
    <xf numFmtId="0" fontId="13" fillId="3" borderId="8" xfId="0" applyFont="1" applyFill="1" applyBorder="1"/>
    <xf numFmtId="0" fontId="2" fillId="3" borderId="19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9" xfId="0" applyFont="1" applyFill="1" applyBorder="1"/>
    <xf numFmtId="3" fontId="20" fillId="3" borderId="0" xfId="0" applyNumberFormat="1" applyFont="1" applyFill="1" applyBorder="1" applyAlignment="1">
      <alignment horizontal="center"/>
    </xf>
    <xf numFmtId="3" fontId="17" fillId="3" borderId="10" xfId="0" applyNumberFormat="1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/>
    </xf>
    <xf numFmtId="2" fontId="4" fillId="3" borderId="11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right"/>
    </xf>
    <xf numFmtId="9" fontId="4" fillId="3" borderId="16" xfId="0" applyNumberFormat="1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10" fontId="4" fillId="3" borderId="17" xfId="0" applyNumberFormat="1" applyFont="1" applyFill="1" applyBorder="1" applyAlignment="1">
      <alignment horizontal="center"/>
    </xf>
    <xf numFmtId="2" fontId="4" fillId="3" borderId="1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right"/>
    </xf>
    <xf numFmtId="1" fontId="4" fillId="3" borderId="10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3" fontId="4" fillId="3" borderId="10" xfId="0" applyNumberFormat="1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3" fontId="4" fillId="3" borderId="11" xfId="0" applyNumberFormat="1" applyFont="1" applyFill="1" applyBorder="1" applyAlignment="1">
      <alignment horizontal="center"/>
    </xf>
    <xf numFmtId="44" fontId="4" fillId="3" borderId="16" xfId="0" applyNumberFormat="1" applyFont="1" applyFill="1" applyBorder="1" applyAlignment="1">
      <alignment horizontal="center"/>
    </xf>
    <xf numFmtId="44" fontId="4" fillId="3" borderId="10" xfId="0" applyNumberFormat="1" applyFont="1" applyFill="1" applyBorder="1" applyAlignment="1">
      <alignment horizontal="right"/>
    </xf>
    <xf numFmtId="44" fontId="4" fillId="3" borderId="0" xfId="0" applyNumberFormat="1" applyFont="1" applyFill="1" applyBorder="1" applyAlignment="1">
      <alignment horizontal="right"/>
    </xf>
    <xf numFmtId="44" fontId="4" fillId="3" borderId="11" xfId="0" applyNumberFormat="1" applyFont="1" applyFill="1" applyBorder="1" applyAlignment="1">
      <alignment horizontal="right"/>
    </xf>
    <xf numFmtId="1" fontId="23" fillId="3" borderId="0" xfId="0" applyNumberFormat="1" applyFont="1" applyFill="1" applyBorder="1" applyAlignment="1">
      <alignment horizontal="center"/>
    </xf>
    <xf numFmtId="1" fontId="23" fillId="3" borderId="11" xfId="0" applyNumberFormat="1" applyFont="1" applyFill="1" applyBorder="1" applyAlignment="1">
      <alignment horizontal="center"/>
    </xf>
    <xf numFmtId="1" fontId="23" fillId="3" borderId="10" xfId="0" applyNumberFormat="1" applyFont="1" applyFill="1" applyBorder="1" applyAlignment="1">
      <alignment horizontal="center"/>
    </xf>
    <xf numFmtId="42" fontId="20" fillId="3" borderId="10" xfId="0" applyNumberFormat="1" applyFont="1" applyFill="1" applyBorder="1" applyAlignment="1">
      <alignment horizontal="center"/>
    </xf>
    <xf numFmtId="42" fontId="20" fillId="3" borderId="0" xfId="0" applyNumberFormat="1" applyFont="1" applyFill="1" applyBorder="1" applyAlignment="1">
      <alignment horizontal="center"/>
    </xf>
    <xf numFmtId="42" fontId="20" fillId="3" borderId="11" xfId="0" applyNumberFormat="1" applyFont="1" applyFill="1" applyBorder="1" applyAlignment="1">
      <alignment horizontal="center"/>
    </xf>
    <xf numFmtId="44" fontId="2" fillId="3" borderId="0" xfId="0" applyNumberFormat="1" applyFont="1" applyFill="1"/>
    <xf numFmtId="44" fontId="2" fillId="3" borderId="0" xfId="0" applyNumberFormat="1" applyFont="1" applyFill="1" applyBorder="1"/>
    <xf numFmtId="0" fontId="8" fillId="3" borderId="1" xfId="3" applyFont="1" applyFill="1" applyBorder="1" applyAlignment="1">
      <alignment horizontal="centerContinuous"/>
    </xf>
    <xf numFmtId="0" fontId="7" fillId="3" borderId="3" xfId="3" applyFont="1" applyFill="1" applyBorder="1" applyAlignment="1">
      <alignment horizontal="centerContinuous"/>
    </xf>
    <xf numFmtId="0" fontId="7" fillId="3" borderId="2" xfId="0" applyFont="1" applyFill="1" applyBorder="1" applyAlignment="1">
      <alignment horizontal="centerContinuous"/>
    </xf>
    <xf numFmtId="0" fontId="8" fillId="3" borderId="2" xfId="3" applyFont="1" applyFill="1" applyBorder="1" applyAlignment="1">
      <alignment horizontal="centerContinuous"/>
    </xf>
    <xf numFmtId="0" fontId="7" fillId="3" borderId="2" xfId="3" applyFont="1" applyFill="1" applyBorder="1" applyAlignment="1">
      <alignment horizontal="centerContinuous"/>
    </xf>
    <xf numFmtId="44" fontId="4" fillId="0" borderId="0" xfId="0" applyNumberFormat="1" applyFont="1"/>
    <xf numFmtId="0" fontId="19" fillId="3" borderId="10" xfId="3" applyFont="1" applyFill="1" applyBorder="1" applyAlignment="1">
      <alignment horizontal="center"/>
    </xf>
    <xf numFmtId="0" fontId="11" fillId="3" borderId="0" xfId="3" applyFont="1" applyFill="1" applyBorder="1" applyAlignment="1">
      <alignment horizontal="center"/>
    </xf>
    <xf numFmtId="0" fontId="11" fillId="3" borderId="10" xfId="3" applyFont="1" applyFill="1" applyBorder="1" applyAlignment="1">
      <alignment horizontal="center"/>
    </xf>
    <xf numFmtId="0" fontId="11" fillId="3" borderId="11" xfId="3" applyFont="1" applyFill="1" applyBorder="1" applyAlignment="1">
      <alignment horizontal="center"/>
    </xf>
    <xf numFmtId="0" fontId="1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/>
    <xf numFmtId="0" fontId="19" fillId="3" borderId="8" xfId="3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0" fontId="17" fillId="3" borderId="11" xfId="0" applyNumberFormat="1" applyFont="1" applyFill="1" applyBorder="1" applyAlignment="1">
      <alignment horizontal="right"/>
    </xf>
    <xf numFmtId="9" fontId="2" fillId="3" borderId="5" xfId="0" applyNumberFormat="1" applyFont="1" applyFill="1" applyBorder="1" applyAlignment="1">
      <alignment horizontal="center" wrapText="1"/>
    </xf>
    <xf numFmtId="41" fontId="2" fillId="3" borderId="5" xfId="0" applyNumberFormat="1" applyFont="1" applyFill="1" applyBorder="1" applyAlignment="1">
      <alignment horizontal="right" wrapText="1"/>
    </xf>
    <xf numFmtId="41" fontId="2" fillId="3" borderId="14" xfId="0" applyNumberFormat="1" applyFont="1" applyFill="1" applyBorder="1" applyAlignment="1">
      <alignment horizontal="right" wrapText="1"/>
    </xf>
    <xf numFmtId="41" fontId="2" fillId="3" borderId="18" xfId="0" applyNumberFormat="1" applyFont="1" applyFill="1" applyBorder="1" applyAlignment="1">
      <alignment horizontal="center" wrapText="1"/>
    </xf>
    <xf numFmtId="41" fontId="2" fillId="3" borderId="13" xfId="0" applyNumberFormat="1" applyFont="1" applyFill="1" applyBorder="1" applyAlignment="1">
      <alignment horizontal="right" wrapText="1"/>
    </xf>
    <xf numFmtId="0" fontId="2" fillId="3" borderId="8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42" fontId="11" fillId="3" borderId="19" xfId="0" applyNumberFormat="1" applyFont="1" applyFill="1" applyBorder="1" applyAlignment="1">
      <alignment horizontal="center"/>
    </xf>
    <xf numFmtId="0" fontId="11" fillId="3" borderId="0" xfId="0" applyFont="1" applyFill="1" applyBorder="1"/>
    <xf numFmtId="0" fontId="19" fillId="3" borderId="6" xfId="3" applyFont="1" applyFill="1" applyBorder="1" applyAlignment="1">
      <alignment horizontal="center"/>
    </xf>
    <xf numFmtId="3" fontId="17" fillId="3" borderId="16" xfId="0" applyNumberFormat="1" applyFont="1" applyFill="1" applyBorder="1" applyAlignment="1">
      <alignment horizontal="center"/>
    </xf>
    <xf numFmtId="3" fontId="2" fillId="3" borderId="16" xfId="0" applyNumberFormat="1" applyFont="1" applyFill="1" applyBorder="1" applyAlignment="1">
      <alignment horizontal="center"/>
    </xf>
    <xf numFmtId="10" fontId="17" fillId="3" borderId="16" xfId="0" applyNumberFormat="1" applyFont="1" applyFill="1" applyBorder="1" applyAlignment="1">
      <alignment horizontal="center"/>
    </xf>
    <xf numFmtId="0" fontId="11" fillId="3" borderId="12" xfId="0" applyFont="1" applyFill="1" applyBorder="1" applyAlignment="1">
      <alignment horizontal="left"/>
    </xf>
    <xf numFmtId="3" fontId="2" fillId="3" borderId="9" xfId="0" applyNumberFormat="1" applyFont="1" applyFill="1" applyBorder="1" applyAlignment="1">
      <alignment horizontal="center"/>
    </xf>
    <xf numFmtId="43" fontId="2" fillId="3" borderId="10" xfId="0" applyNumberFormat="1" applyFont="1" applyFill="1" applyBorder="1" applyAlignment="1">
      <alignment horizontal="right"/>
    </xf>
    <xf numFmtId="43" fontId="2" fillId="3" borderId="0" xfId="0" applyNumberFormat="1" applyFont="1" applyFill="1" applyBorder="1" applyAlignment="1">
      <alignment horizontal="right"/>
    </xf>
    <xf numFmtId="43" fontId="2" fillId="3" borderId="11" xfId="0" applyNumberFormat="1" applyFont="1" applyFill="1" applyBorder="1" applyAlignment="1">
      <alignment horizontal="right"/>
    </xf>
    <xf numFmtId="42" fontId="17" fillId="3" borderId="16" xfId="0" applyNumberFormat="1" applyFont="1" applyFill="1" applyBorder="1" applyAlignment="1">
      <alignment horizontal="center"/>
    </xf>
    <xf numFmtId="0" fontId="11" fillId="3" borderId="12" xfId="0" applyFont="1" applyFill="1" applyBorder="1" applyAlignment="1">
      <alignment horizontal="left"/>
    </xf>
    <xf numFmtId="44" fontId="2" fillId="0" borderId="0" xfId="0" applyNumberFormat="1" applyFont="1"/>
    <xf numFmtId="10" fontId="11" fillId="3" borderId="0" xfId="0" applyNumberFormat="1" applyFont="1" applyFill="1" applyBorder="1" applyAlignment="1">
      <alignment horizontal="center"/>
    </xf>
    <xf numFmtId="0" fontId="11" fillId="3" borderId="12" xfId="0" applyFont="1" applyFill="1" applyBorder="1" applyAlignment="1">
      <alignment horizontal="left"/>
    </xf>
    <xf numFmtId="0" fontId="2" fillId="0" borderId="0" xfId="0" applyFont="1" applyFill="1"/>
    <xf numFmtId="0" fontId="20" fillId="3" borderId="0" xfId="0" applyFont="1" applyFill="1" applyBorder="1" applyAlignment="1">
      <alignment horizontal="center"/>
    </xf>
    <xf numFmtId="0" fontId="20" fillId="3" borderId="16" xfId="0" applyFont="1" applyFill="1" applyBorder="1" applyAlignment="1">
      <alignment horizontal="center"/>
    </xf>
    <xf numFmtId="0" fontId="20" fillId="3" borderId="10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10" fontId="11" fillId="3" borderId="2" xfId="0" applyNumberFormat="1" applyFont="1" applyFill="1" applyBorder="1" applyAlignment="1">
      <alignment horizontal="center"/>
    </xf>
    <xf numFmtId="0" fontId="19" fillId="3" borderId="2" xfId="3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44" fontId="17" fillId="3" borderId="0" xfId="2" applyNumberFormat="1" applyFont="1" applyFill="1" applyBorder="1" applyAlignment="1">
      <alignment horizontal="center"/>
    </xf>
    <xf numFmtId="44" fontId="2" fillId="3" borderId="0" xfId="2" applyNumberFormat="1" applyFont="1" applyFill="1" applyBorder="1" applyAlignment="1">
      <alignment horizontal="center"/>
    </xf>
    <xf numFmtId="44" fontId="2" fillId="3" borderId="0" xfId="2" applyNumberFormat="1" applyFont="1" applyFill="1" applyBorder="1"/>
    <xf numFmtId="44" fontId="11" fillId="3" borderId="16" xfId="2" applyNumberFormat="1" applyFont="1" applyFill="1" applyBorder="1"/>
    <xf numFmtId="43" fontId="17" fillId="3" borderId="0" xfId="2" applyNumberFormat="1" applyFont="1" applyFill="1" applyBorder="1" applyAlignment="1">
      <alignment horizontal="center"/>
    </xf>
    <xf numFmtId="43" fontId="2" fillId="3" borderId="0" xfId="2" applyNumberFormat="1" applyFont="1" applyFill="1" applyBorder="1" applyAlignment="1">
      <alignment horizontal="center"/>
    </xf>
    <xf numFmtId="43" fontId="2" fillId="3" borderId="0" xfId="2" applyNumberFormat="1" applyFont="1" applyFill="1" applyBorder="1"/>
    <xf numFmtId="43" fontId="11" fillId="3" borderId="16" xfId="2" applyNumberFormat="1" applyFont="1" applyFill="1" applyBorder="1"/>
    <xf numFmtId="170" fontId="2" fillId="3" borderId="0" xfId="0" applyNumberFormat="1" applyFont="1" applyFill="1"/>
    <xf numFmtId="43" fontId="17" fillId="3" borderId="6" xfId="2" applyNumberFormat="1" applyFont="1" applyFill="1" applyBorder="1" applyAlignment="1">
      <alignment horizontal="center"/>
    </xf>
    <xf numFmtId="43" fontId="2" fillId="3" borderId="6" xfId="2" applyNumberFormat="1" applyFont="1" applyFill="1" applyBorder="1" applyAlignment="1">
      <alignment horizontal="center"/>
    </xf>
    <xf numFmtId="43" fontId="2" fillId="3" borderId="6" xfId="2" applyNumberFormat="1" applyFont="1" applyFill="1" applyBorder="1"/>
    <xf numFmtId="43" fontId="11" fillId="3" borderId="17" xfId="2" applyNumberFormat="1" applyFont="1" applyFill="1" applyBorder="1"/>
    <xf numFmtId="0" fontId="2" fillId="4" borderId="9" xfId="0" applyFont="1" applyFill="1" applyBorder="1" applyAlignment="1">
      <alignment horizontal="centerContinuous"/>
    </xf>
    <xf numFmtId="0" fontId="2" fillId="4" borderId="7" xfId="0" applyFont="1" applyFill="1" applyBorder="1" applyAlignment="1">
      <alignment horizontal="centerContinuous"/>
    </xf>
    <xf numFmtId="44" fontId="2" fillId="3" borderId="11" xfId="0" applyNumberFormat="1" applyFont="1" applyFill="1" applyBorder="1"/>
    <xf numFmtId="43" fontId="2" fillId="3" borderId="7" xfId="0" applyNumberFormat="1" applyFont="1" applyFill="1" applyBorder="1"/>
    <xf numFmtId="0" fontId="2" fillId="0" borderId="0" xfId="0" applyFont="1" applyFill="1" applyAlignment="1">
      <alignment horizontal="center"/>
    </xf>
    <xf numFmtId="10" fontId="17" fillId="3" borderId="11" xfId="0" applyNumberFormat="1" applyFont="1" applyFill="1" applyBorder="1" applyAlignment="1"/>
    <xf numFmtId="10" fontId="17" fillId="3" borderId="7" xfId="0" applyNumberFormat="1" applyFont="1" applyFill="1" applyBorder="1" applyAlignment="1"/>
    <xf numFmtId="44" fontId="17" fillId="3" borderId="11" xfId="0" applyNumberFormat="1" applyFont="1" applyFill="1" applyBorder="1"/>
    <xf numFmtId="43" fontId="17" fillId="3" borderId="11" xfId="0" applyNumberFormat="1" applyFont="1" applyFill="1" applyBorder="1"/>
    <xf numFmtId="43" fontId="17" fillId="3" borderId="7" xfId="0" applyNumberFormat="1" applyFont="1" applyFill="1" applyBorder="1"/>
    <xf numFmtId="10" fontId="2" fillId="3" borderId="4" xfId="0" applyNumberFormat="1" applyFont="1" applyFill="1" applyBorder="1" applyAlignment="1">
      <alignment horizontal="center"/>
    </xf>
    <xf numFmtId="10" fontId="2" fillId="3" borderId="19" xfId="0" applyNumberFormat="1" applyFont="1" applyFill="1" applyBorder="1" applyAlignment="1">
      <alignment horizontal="center"/>
    </xf>
    <xf numFmtId="10" fontId="17" fillId="3" borderId="8" xfId="4" applyNumberFormat="1" applyFont="1" applyFill="1" applyBorder="1" applyAlignment="1">
      <alignment horizontal="center"/>
    </xf>
    <xf numFmtId="10" fontId="2" fillId="3" borderId="4" xfId="4" applyNumberFormat="1" applyFont="1" applyFill="1" applyBorder="1" applyAlignment="1">
      <alignment horizontal="center"/>
    </xf>
    <xf numFmtId="10" fontId="17" fillId="3" borderId="8" xfId="0" applyNumberFormat="1" applyFont="1" applyFill="1" applyBorder="1" applyAlignment="1">
      <alignment horizontal="center"/>
    </xf>
    <xf numFmtId="10" fontId="17" fillId="3" borderId="4" xfId="0" applyNumberFormat="1" applyFont="1" applyFill="1" applyBorder="1" applyAlignment="1">
      <alignment horizontal="center"/>
    </xf>
    <xf numFmtId="10" fontId="2" fillId="3" borderId="9" xfId="0" applyNumberFormat="1" applyFont="1" applyFill="1" applyBorder="1" applyAlignment="1">
      <alignment horizontal="center"/>
    </xf>
    <xf numFmtId="10" fontId="2" fillId="3" borderId="8" xfId="0" applyNumberFormat="1" applyFont="1" applyFill="1" applyBorder="1" applyAlignment="1">
      <alignment horizontal="center"/>
    </xf>
    <xf numFmtId="44" fontId="17" fillId="3" borderId="10" xfId="0" applyNumberFormat="1" applyFont="1" applyFill="1" applyBorder="1" applyAlignment="1">
      <alignment horizontal="center"/>
    </xf>
    <xf numFmtId="41" fontId="2" fillId="3" borderId="12" xfId="0" applyNumberFormat="1" applyFont="1" applyFill="1" applyBorder="1" applyAlignment="1">
      <alignment horizontal="center"/>
    </xf>
    <xf numFmtId="41" fontId="2" fillId="3" borderId="12" xfId="0" applyNumberFormat="1" applyFont="1" applyFill="1" applyBorder="1" applyAlignment="1">
      <alignment horizontal="right"/>
    </xf>
    <xf numFmtId="41" fontId="2" fillId="3" borderId="6" xfId="0" applyNumberFormat="1" applyFont="1" applyFill="1" applyBorder="1" applyAlignment="1">
      <alignment horizontal="right"/>
    </xf>
    <xf numFmtId="41" fontId="2" fillId="3" borderId="7" xfId="0" applyNumberFormat="1" applyFont="1" applyFill="1" applyBorder="1" applyAlignment="1">
      <alignment horizontal="right"/>
    </xf>
    <xf numFmtId="42" fontId="2" fillId="3" borderId="8" xfId="0" applyNumberFormat="1" applyFont="1" applyFill="1" applyBorder="1" applyAlignment="1">
      <alignment horizontal="center"/>
    </xf>
    <xf numFmtId="0" fontId="7" fillId="2" borderId="1" xfId="3" applyFont="1" applyFill="1" applyBorder="1" applyAlignment="1"/>
    <xf numFmtId="44" fontId="2" fillId="0" borderId="0" xfId="0" applyNumberFormat="1" applyFont="1" applyBorder="1"/>
    <xf numFmtId="41" fontId="17" fillId="3" borderId="17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3" borderId="0" xfId="0" applyFont="1" applyFill="1" applyBorder="1"/>
    <xf numFmtId="3" fontId="20" fillId="3" borderId="9" xfId="0" applyNumberFormat="1" applyFont="1" applyFill="1" applyBorder="1" applyAlignment="1">
      <alignment horizontal="center"/>
    </xf>
    <xf numFmtId="44" fontId="2" fillId="3" borderId="10" xfId="0" applyNumberFormat="1" applyFont="1" applyFill="1" applyBorder="1"/>
    <xf numFmtId="43" fontId="2" fillId="3" borderId="6" xfId="0" applyNumberFormat="1" applyFont="1" applyFill="1" applyBorder="1"/>
    <xf numFmtId="43" fontId="2" fillId="3" borderId="12" xfId="0" applyNumberFormat="1" applyFont="1" applyFill="1" applyBorder="1"/>
    <xf numFmtId="42" fontId="2" fillId="3" borderId="4" xfId="0" applyNumberFormat="1" applyFont="1" applyFill="1" applyBorder="1" applyAlignment="1">
      <alignment horizontal="center"/>
    </xf>
    <xf numFmtId="42" fontId="2" fillId="3" borderId="9" xfId="0" applyNumberFormat="1" applyFont="1" applyFill="1" applyBorder="1" applyAlignment="1">
      <alignment horizontal="center"/>
    </xf>
    <xf numFmtId="41" fontId="2" fillId="3" borderId="6" xfId="0" applyNumberFormat="1" applyFont="1" applyFill="1" applyBorder="1" applyAlignment="1">
      <alignment horizontal="center"/>
    </xf>
    <xf numFmtId="41" fontId="2" fillId="3" borderId="7" xfId="0" applyNumberFormat="1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43" fontId="17" fillId="3" borderId="12" xfId="0" applyNumberFormat="1" applyFont="1" applyFill="1" applyBorder="1" applyAlignment="1">
      <alignment horizontal="center"/>
    </xf>
    <xf numFmtId="41" fontId="2" fillId="3" borderId="17" xfId="0" applyNumberFormat="1" applyFont="1" applyFill="1" applyBorder="1" applyAlignment="1">
      <alignment horizontal="center"/>
    </xf>
    <xf numFmtId="0" fontId="2" fillId="3" borderId="13" xfId="0" applyFont="1" applyFill="1" applyBorder="1"/>
    <xf numFmtId="0" fontId="8" fillId="0" borderId="12" xfId="3" applyFont="1" applyFill="1" applyBorder="1" applyAlignment="1"/>
    <xf numFmtId="0" fontId="5" fillId="3" borderId="0" xfId="3" applyFont="1" applyFill="1" applyBorder="1" applyAlignment="1">
      <alignment horizontal="left"/>
    </xf>
    <xf numFmtId="0" fontId="8" fillId="3" borderId="4" xfId="3" applyFont="1" applyFill="1" applyBorder="1" applyAlignment="1"/>
    <xf numFmtId="0" fontId="8" fillId="3" borderId="4" xfId="3" applyFont="1" applyFill="1" applyBorder="1" applyAlignment="1">
      <alignment horizontal="right"/>
    </xf>
    <xf numFmtId="3" fontId="8" fillId="3" borderId="4" xfId="3" applyNumberFormat="1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3" fillId="3" borderId="0" xfId="0" applyFont="1" applyFill="1" applyBorder="1"/>
    <xf numFmtId="0" fontId="24" fillId="3" borderId="12" xfId="0" applyFont="1" applyFill="1" applyBorder="1"/>
    <xf numFmtId="44" fontId="11" fillId="3" borderId="7" xfId="0" applyNumberFormat="1" applyFont="1" applyFill="1" applyBorder="1"/>
    <xf numFmtId="0" fontId="24" fillId="3" borderId="8" xfId="0" applyFont="1" applyFill="1" applyBorder="1"/>
    <xf numFmtId="44" fontId="11" fillId="3" borderId="9" xfId="0" applyNumberFormat="1" applyFont="1" applyFill="1" applyBorder="1"/>
    <xf numFmtId="0" fontId="2" fillId="3" borderId="16" xfId="0" applyFont="1" applyFill="1" applyBorder="1"/>
    <xf numFmtId="42" fontId="2" fillId="3" borderId="16" xfId="0" applyNumberFormat="1" applyFont="1" applyFill="1" applyBorder="1"/>
    <xf numFmtId="42" fontId="11" fillId="3" borderId="17" xfId="0" applyNumberFormat="1" applyFont="1" applyFill="1" applyBorder="1"/>
    <xf numFmtId="42" fontId="11" fillId="3" borderId="19" xfId="0" applyNumberFormat="1" applyFont="1" applyFill="1" applyBorder="1"/>
    <xf numFmtId="0" fontId="11" fillId="3" borderId="8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42" fontId="11" fillId="3" borderId="8" xfId="0" applyNumberFormat="1" applyFont="1" applyFill="1" applyBorder="1"/>
    <xf numFmtId="42" fontId="17" fillId="3" borderId="10" xfId="0" applyNumberFormat="1" applyFont="1" applyFill="1" applyBorder="1"/>
    <xf numFmtId="3" fontId="11" fillId="3" borderId="7" xfId="0" applyNumberFormat="1" applyFont="1" applyFill="1" applyBorder="1" applyAlignment="1">
      <alignment horizontal="center"/>
    </xf>
    <xf numFmtId="3" fontId="11" fillId="3" borderId="9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1" fillId="3" borderId="8" xfId="0" applyFont="1" applyFill="1" applyBorder="1"/>
    <xf numFmtId="3" fontId="20" fillId="3" borderId="0" xfId="0" applyNumberFormat="1" applyFont="1" applyFill="1" applyAlignment="1">
      <alignment horizontal="center"/>
    </xf>
    <xf numFmtId="41" fontId="20" fillId="3" borderId="0" xfId="0" applyNumberFormat="1" applyFont="1" applyFill="1"/>
    <xf numFmtId="43" fontId="0" fillId="3" borderId="0" xfId="0" applyNumberFormat="1" applyFill="1"/>
    <xf numFmtId="0" fontId="0" fillId="3" borderId="6" xfId="0" applyFill="1" applyBorder="1" applyAlignment="1">
      <alignment horizontal="center"/>
    </xf>
    <xf numFmtId="44" fontId="0" fillId="3" borderId="16" xfId="0" applyNumberFormat="1" applyFill="1" applyBorder="1"/>
    <xf numFmtId="44" fontId="11" fillId="3" borderId="17" xfId="0" applyNumberFormat="1" applyFont="1" applyFill="1" applyBorder="1"/>
    <xf numFmtId="0" fontId="0" fillId="3" borderId="5" xfId="0" applyFill="1" applyBorder="1"/>
    <xf numFmtId="41" fontId="20" fillId="3" borderId="4" xfId="0" applyNumberFormat="1" applyFont="1" applyFill="1" applyBorder="1"/>
    <xf numFmtId="3" fontId="20" fillId="3" borderId="4" xfId="0" applyNumberFormat="1" applyFont="1" applyFill="1" applyBorder="1" applyAlignment="1">
      <alignment horizontal="center"/>
    </xf>
    <xf numFmtId="41" fontId="11" fillId="3" borderId="11" xfId="0" applyNumberFormat="1" applyFont="1" applyFill="1" applyBorder="1"/>
    <xf numFmtId="41" fontId="7" fillId="0" borderId="0" xfId="3" applyNumberFormat="1" applyFont="1" applyAlignment="1"/>
    <xf numFmtId="42" fontId="8" fillId="0" borderId="9" xfId="3" applyNumberFormat="1" applyFont="1" applyFill="1" applyBorder="1" applyAlignment="1"/>
    <xf numFmtId="41" fontId="8" fillId="0" borderId="7" xfId="3" applyNumberFormat="1" applyFont="1" applyFill="1" applyBorder="1" applyAlignment="1"/>
    <xf numFmtId="42" fontId="8" fillId="0" borderId="0" xfId="3" applyNumberFormat="1" applyFont="1" applyBorder="1" applyAlignment="1"/>
    <xf numFmtId="0" fontId="8" fillId="3" borderId="4" xfId="3" applyFont="1" applyFill="1" applyBorder="1" applyAlignment="1">
      <alignment horizontal="left"/>
    </xf>
    <xf numFmtId="0" fontId="8" fillId="0" borderId="6" xfId="3" applyFont="1" applyFill="1" applyBorder="1" applyAlignment="1"/>
    <xf numFmtId="0" fontId="2" fillId="3" borderId="0" xfId="3" applyFont="1" applyFill="1"/>
    <xf numFmtId="166" fontId="2" fillId="3" borderId="0" xfId="3" applyNumberFormat="1" applyFont="1" applyFill="1" applyBorder="1"/>
    <xf numFmtId="0" fontId="2" fillId="3" borderId="0" xfId="3" applyFont="1" applyFill="1" applyBorder="1"/>
    <xf numFmtId="10" fontId="2" fillId="3" borderId="0" xfId="3" applyNumberFormat="1" applyFont="1" applyFill="1" applyBorder="1"/>
    <xf numFmtId="0" fontId="2" fillId="3" borderId="10" xfId="3" applyFont="1" applyFill="1" applyBorder="1"/>
    <xf numFmtId="0" fontId="2" fillId="3" borderId="11" xfId="3" applyFont="1" applyFill="1" applyBorder="1"/>
    <xf numFmtId="0" fontId="2" fillId="3" borderId="6" xfId="3" applyFont="1" applyFill="1" applyBorder="1"/>
    <xf numFmtId="0" fontId="2" fillId="3" borderId="5" xfId="3" applyFont="1" applyFill="1" applyBorder="1"/>
    <xf numFmtId="42" fontId="20" fillId="3" borderId="11" xfId="3" applyNumberFormat="1" applyFont="1" applyFill="1" applyBorder="1"/>
    <xf numFmtId="41" fontId="2" fillId="3" borderId="11" xfId="3" applyNumberFormat="1" applyFont="1" applyFill="1" applyBorder="1"/>
    <xf numFmtId="0" fontId="2" fillId="3" borderId="13" xfId="3" applyFont="1" applyFill="1" applyBorder="1"/>
    <xf numFmtId="41" fontId="2" fillId="3" borderId="14" xfId="3" applyNumberFormat="1" applyFont="1" applyFill="1" applyBorder="1"/>
    <xf numFmtId="0" fontId="11" fillId="3" borderId="12" xfId="3" applyFont="1" applyFill="1" applyBorder="1"/>
    <xf numFmtId="0" fontId="11" fillId="3" borderId="6" xfId="3" applyFont="1" applyFill="1" applyBorder="1"/>
    <xf numFmtId="0" fontId="13" fillId="3" borderId="10" xfId="3" applyFont="1" applyFill="1" applyBorder="1"/>
    <xf numFmtId="42" fontId="11" fillId="3" borderId="7" xfId="3" applyNumberFormat="1" applyFont="1" applyFill="1" applyBorder="1"/>
    <xf numFmtId="0" fontId="8" fillId="2" borderId="3" xfId="3" applyFont="1" applyFill="1" applyBorder="1" applyAlignment="1">
      <alignment horizontal="center"/>
    </xf>
    <xf numFmtId="6" fontId="2" fillId="3" borderId="0" xfId="3" applyNumberFormat="1" applyFont="1" applyFill="1"/>
    <xf numFmtId="8" fontId="2" fillId="3" borderId="0" xfId="3" applyNumberFormat="1" applyFont="1" applyFill="1"/>
    <xf numFmtId="164" fontId="2" fillId="3" borderId="0" xfId="3" applyNumberFormat="1" applyFont="1" applyFill="1"/>
    <xf numFmtId="6" fontId="2" fillId="3" borderId="0" xfId="3" applyNumberFormat="1" applyFont="1" applyFill="1" applyBorder="1"/>
    <xf numFmtId="0" fontId="2" fillId="3" borderId="19" xfId="3" applyFont="1" applyFill="1" applyBorder="1"/>
    <xf numFmtId="0" fontId="2" fillId="3" borderId="16" xfId="3" applyFont="1" applyFill="1" applyBorder="1"/>
    <xf numFmtId="0" fontId="11" fillId="3" borderId="17" xfId="3" applyFont="1" applyFill="1" applyBorder="1" applyAlignment="1">
      <alignment horizontal="center"/>
    </xf>
    <xf numFmtId="41" fontId="2" fillId="3" borderId="5" xfId="3" applyNumberFormat="1" applyFont="1" applyFill="1" applyBorder="1"/>
    <xf numFmtId="42" fontId="20" fillId="3" borderId="0" xfId="3" applyNumberFormat="1" applyFont="1" applyFill="1" applyBorder="1"/>
    <xf numFmtId="42" fontId="2" fillId="3" borderId="11" xfId="3" applyNumberFormat="1" applyFont="1" applyFill="1" applyBorder="1"/>
    <xf numFmtId="41" fontId="20" fillId="3" borderId="0" xfId="3" applyNumberFormat="1" applyFont="1" applyFill="1" applyBorder="1"/>
    <xf numFmtId="42" fontId="11" fillId="3" borderId="6" xfId="3" applyNumberFormat="1" applyFont="1" applyFill="1" applyBorder="1"/>
    <xf numFmtId="42" fontId="20" fillId="3" borderId="10" xfId="3" applyNumberFormat="1" applyFont="1" applyFill="1" applyBorder="1"/>
    <xf numFmtId="41" fontId="20" fillId="3" borderId="10" xfId="3" applyNumberFormat="1" applyFont="1" applyFill="1" applyBorder="1"/>
    <xf numFmtId="41" fontId="20" fillId="3" borderId="11" xfId="3" applyNumberFormat="1" applyFont="1" applyFill="1" applyBorder="1"/>
    <xf numFmtId="41" fontId="17" fillId="3" borderId="13" xfId="3" applyNumberFormat="1" applyFont="1" applyFill="1" applyBorder="1"/>
    <xf numFmtId="42" fontId="11" fillId="3" borderId="12" xfId="3" applyNumberFormat="1" applyFont="1" applyFill="1" applyBorder="1"/>
    <xf numFmtId="42" fontId="20" fillId="3" borderId="16" xfId="3" applyNumberFormat="1" applyFont="1" applyFill="1" applyBorder="1"/>
    <xf numFmtId="42" fontId="11" fillId="3" borderId="17" xfId="3" applyNumberFormat="1" applyFont="1" applyFill="1" applyBorder="1"/>
    <xf numFmtId="42" fontId="2" fillId="3" borderId="16" xfId="3" applyNumberFormat="1" applyFont="1" applyFill="1" applyBorder="1"/>
    <xf numFmtId="41" fontId="2" fillId="3" borderId="16" xfId="3" applyNumberFormat="1" applyFont="1" applyFill="1" applyBorder="1"/>
    <xf numFmtId="41" fontId="2" fillId="3" borderId="18" xfId="3" applyNumberFormat="1" applyFont="1" applyFill="1" applyBorder="1"/>
    <xf numFmtId="6" fontId="2" fillId="3" borderId="17" xfId="3" applyNumberFormat="1" applyFont="1" applyFill="1" applyBorder="1"/>
    <xf numFmtId="0" fontId="2" fillId="3" borderId="8" xfId="3" applyFont="1" applyFill="1" applyBorder="1"/>
    <xf numFmtId="6" fontId="2" fillId="3" borderId="4" xfId="3" applyNumberFormat="1" applyFont="1" applyFill="1" applyBorder="1"/>
    <xf numFmtId="6" fontId="2" fillId="3" borderId="9" xfId="3" applyNumberFormat="1" applyFont="1" applyFill="1" applyBorder="1"/>
    <xf numFmtId="6" fontId="2" fillId="3" borderId="11" xfId="3" applyNumberFormat="1" applyFont="1" applyFill="1" applyBorder="1"/>
    <xf numFmtId="42" fontId="2" fillId="3" borderId="0" xfId="3" applyNumberFormat="1" applyFont="1" applyFill="1" applyBorder="1"/>
    <xf numFmtId="0" fontId="2" fillId="3" borderId="12" xfId="3" applyFont="1" applyFill="1" applyBorder="1"/>
    <xf numFmtId="41" fontId="2" fillId="3" borderId="6" xfId="3" applyNumberFormat="1" applyFont="1" applyFill="1" applyBorder="1"/>
    <xf numFmtId="6" fontId="2" fillId="3" borderId="19" xfId="3" applyNumberFormat="1" applyFont="1" applyFill="1" applyBorder="1"/>
    <xf numFmtId="6" fontId="2" fillId="3" borderId="16" xfId="3" applyNumberFormat="1" applyFont="1" applyFill="1" applyBorder="1"/>
    <xf numFmtId="41" fontId="2" fillId="3" borderId="13" xfId="3" applyNumberFormat="1" applyFont="1" applyFill="1" applyBorder="1"/>
    <xf numFmtId="6" fontId="2" fillId="3" borderId="8" xfId="3" applyNumberFormat="1" applyFont="1" applyFill="1" applyBorder="1"/>
    <xf numFmtId="6" fontId="2" fillId="3" borderId="10" xfId="3" applyNumberFormat="1" applyFont="1" applyFill="1" applyBorder="1"/>
    <xf numFmtId="42" fontId="2" fillId="3" borderId="10" xfId="3" applyNumberFormat="1" applyFont="1" applyFill="1" applyBorder="1"/>
    <xf numFmtId="41" fontId="2" fillId="3" borderId="12" xfId="3" applyNumberFormat="1" applyFont="1" applyFill="1" applyBorder="1"/>
    <xf numFmtId="41" fontId="2" fillId="3" borderId="7" xfId="3" applyNumberFormat="1" applyFont="1" applyFill="1" applyBorder="1"/>
    <xf numFmtId="10" fontId="17" fillId="3" borderId="7" xfId="3" applyNumberFormat="1" applyFont="1" applyFill="1" applyBorder="1" applyAlignment="1">
      <alignment horizontal="centerContinuous"/>
    </xf>
    <xf numFmtId="41" fontId="2" fillId="3" borderId="10" xfId="3" applyNumberFormat="1" applyFont="1" applyFill="1" applyBorder="1"/>
    <xf numFmtId="41" fontId="2" fillId="3" borderId="0" xfId="3" applyNumberFormat="1" applyFont="1" applyFill="1" applyBorder="1"/>
    <xf numFmtId="0" fontId="11" fillId="3" borderId="0" xfId="3" applyFont="1" applyFill="1" applyBorder="1"/>
    <xf numFmtId="42" fontId="11" fillId="3" borderId="0" xfId="3" applyNumberFormat="1" applyFont="1" applyFill="1" applyBorder="1"/>
    <xf numFmtId="42" fontId="11" fillId="3" borderId="15" xfId="3" applyNumberFormat="1" applyFont="1" applyFill="1" applyBorder="1"/>
    <xf numFmtId="42" fontId="11" fillId="3" borderId="16" xfId="3" applyNumberFormat="1" applyFont="1" applyFill="1" applyBorder="1"/>
    <xf numFmtId="0" fontId="11" fillId="3" borderId="8" xfId="3" applyFont="1" applyFill="1" applyBorder="1"/>
    <xf numFmtId="42" fontId="11" fillId="3" borderId="19" xfId="3" applyNumberFormat="1" applyFont="1" applyFill="1" applyBorder="1"/>
    <xf numFmtId="42" fontId="11" fillId="3" borderId="4" xfId="3" applyNumberFormat="1" applyFont="1" applyFill="1" applyBorder="1"/>
    <xf numFmtId="42" fontId="11" fillId="3" borderId="1" xfId="3" applyNumberFormat="1" applyFont="1" applyFill="1" applyBorder="1"/>
    <xf numFmtId="42" fontId="11" fillId="3" borderId="10" xfId="3" applyNumberFormat="1" applyFont="1" applyFill="1" applyBorder="1"/>
    <xf numFmtId="42" fontId="11" fillId="3" borderId="8" xfId="3" applyNumberFormat="1" applyFont="1" applyFill="1" applyBorder="1"/>
    <xf numFmtId="42" fontId="11" fillId="3" borderId="11" xfId="3" applyNumberFormat="1" applyFont="1" applyFill="1" applyBorder="1"/>
    <xf numFmtId="42" fontId="11" fillId="3" borderId="9" xfId="3" applyNumberFormat="1" applyFont="1" applyFill="1" applyBorder="1"/>
    <xf numFmtId="41" fontId="2" fillId="3" borderId="1" xfId="3" applyNumberFormat="1" applyFont="1" applyFill="1" applyBorder="1"/>
    <xf numFmtId="41" fontId="2" fillId="3" borderId="2" xfId="3" applyNumberFormat="1" applyFont="1" applyFill="1" applyBorder="1"/>
    <xf numFmtId="41" fontId="2" fillId="3" borderId="3" xfId="3" applyNumberFormat="1" applyFont="1" applyFill="1" applyBorder="1"/>
    <xf numFmtId="10" fontId="17" fillId="3" borderId="9" xfId="3" applyNumberFormat="1" applyFont="1" applyFill="1" applyBorder="1" applyAlignment="1">
      <alignment horizontal="centerContinuous"/>
    </xf>
    <xf numFmtId="10" fontId="11" fillId="3" borderId="15" xfId="3" applyNumberFormat="1" applyFont="1" applyFill="1" applyBorder="1" applyAlignment="1">
      <alignment horizontal="center"/>
    </xf>
    <xf numFmtId="0" fontId="9" fillId="3" borderId="1" xfId="3" applyFont="1" applyFill="1" applyBorder="1" applyAlignment="1">
      <alignment wrapText="1"/>
    </xf>
    <xf numFmtId="0" fontId="9" fillId="3" borderId="2" xfId="3" applyFont="1" applyFill="1" applyBorder="1" applyAlignment="1">
      <alignment wrapText="1"/>
    </xf>
    <xf numFmtId="0" fontId="8" fillId="3" borderId="2" xfId="3" applyFont="1" applyFill="1" applyBorder="1" applyAlignment="1">
      <alignment wrapText="1"/>
    </xf>
    <xf numFmtId="0" fontId="8" fillId="3" borderId="1" xfId="3" applyFont="1" applyFill="1" applyBorder="1" applyAlignment="1">
      <alignment horizontal="center"/>
    </xf>
    <xf numFmtId="0" fontId="8" fillId="3" borderId="15" xfId="3" applyFont="1" applyFill="1" applyBorder="1" applyAlignment="1">
      <alignment horizontal="center"/>
    </xf>
    <xf numFmtId="0" fontId="26" fillId="3" borderId="10" xfId="3" applyFont="1" applyFill="1" applyBorder="1" applyAlignment="1"/>
    <xf numFmtId="0" fontId="8" fillId="3" borderId="0" xfId="3" applyFont="1" applyFill="1" applyBorder="1" applyAlignment="1"/>
    <xf numFmtId="0" fontId="7" fillId="3" borderId="0" xfId="3" applyFont="1" applyFill="1" applyBorder="1" applyAlignment="1"/>
    <xf numFmtId="0" fontId="7" fillId="3" borderId="10" xfId="3" applyFont="1" applyFill="1" applyBorder="1" applyAlignment="1"/>
    <xf numFmtId="0" fontId="7" fillId="3" borderId="16" xfId="3" applyFont="1" applyFill="1" applyBorder="1" applyAlignment="1">
      <alignment horizontal="right"/>
    </xf>
    <xf numFmtId="42" fontId="21" fillId="3" borderId="10" xfId="3" applyNumberFormat="1" applyFont="1" applyFill="1" applyBorder="1" applyAlignment="1"/>
    <xf numFmtId="10" fontId="7" fillId="3" borderId="16" xfId="4" applyNumberFormat="1" applyFont="1" applyFill="1" applyBorder="1" applyAlignment="1">
      <alignment horizontal="center"/>
    </xf>
    <xf numFmtId="41" fontId="21" fillId="3" borderId="10" xfId="3" applyNumberFormat="1" applyFont="1" applyFill="1" applyBorder="1" applyAlignment="1"/>
    <xf numFmtId="41" fontId="15" fillId="3" borderId="10" xfId="3" applyNumberFormat="1" applyFont="1" applyFill="1" applyBorder="1" applyAlignment="1"/>
    <xf numFmtId="0" fontId="7" fillId="3" borderId="5" xfId="3" applyFont="1" applyFill="1" applyBorder="1" applyAlignment="1"/>
    <xf numFmtId="0" fontId="8" fillId="3" borderId="12" xfId="3" applyFont="1" applyFill="1" applyBorder="1" applyAlignment="1"/>
    <xf numFmtId="0" fontId="8" fillId="3" borderId="6" xfId="3" applyFont="1" applyFill="1" applyBorder="1" applyAlignment="1"/>
    <xf numFmtId="42" fontId="8" fillId="3" borderId="12" xfId="3" applyNumberFormat="1" applyFont="1" applyFill="1" applyBorder="1" applyAlignment="1"/>
    <xf numFmtId="10" fontId="8" fillId="3" borderId="17" xfId="3" applyNumberFormat="1" applyFont="1" applyFill="1" applyBorder="1" applyAlignment="1">
      <alignment horizontal="center"/>
    </xf>
    <xf numFmtId="0" fontId="8" fillId="3" borderId="1" xfId="3" applyFont="1" applyFill="1" applyBorder="1" applyAlignment="1">
      <alignment horizontal="left"/>
    </xf>
    <xf numFmtId="0" fontId="8" fillId="3" borderId="2" xfId="3" applyFont="1" applyFill="1" applyBorder="1" applyAlignment="1">
      <alignment horizontal="left" wrapText="1"/>
    </xf>
    <xf numFmtId="0" fontId="7" fillId="3" borderId="2" xfId="3" applyFont="1" applyFill="1" applyBorder="1" applyAlignment="1">
      <alignment wrapText="1"/>
    </xf>
    <xf numFmtId="0" fontId="7" fillId="3" borderId="10" xfId="3" applyFont="1" applyFill="1" applyBorder="1" applyAlignment="1">
      <alignment horizontal="left"/>
    </xf>
    <xf numFmtId="0" fontId="7" fillId="3" borderId="0" xfId="3" applyFont="1" applyFill="1" applyBorder="1" applyAlignment="1">
      <alignment horizontal="right"/>
    </xf>
    <xf numFmtId="41" fontId="7" fillId="3" borderId="16" xfId="3" applyNumberFormat="1" applyFont="1" applyFill="1" applyBorder="1" applyAlignment="1"/>
    <xf numFmtId="0" fontId="8" fillId="3" borderId="2" xfId="3" applyFont="1" applyFill="1" applyBorder="1" applyAlignment="1"/>
    <xf numFmtId="0" fontId="7" fillId="3" borderId="3" xfId="3" applyFont="1" applyFill="1" applyBorder="1" applyAlignment="1"/>
    <xf numFmtId="42" fontId="7" fillId="3" borderId="10" xfId="3" applyNumberFormat="1" applyFont="1" applyFill="1" applyBorder="1" applyAlignment="1"/>
    <xf numFmtId="41" fontId="7" fillId="3" borderId="10" xfId="3" applyNumberFormat="1" applyFont="1" applyFill="1" applyBorder="1" applyAlignment="1"/>
    <xf numFmtId="0" fontId="7" fillId="3" borderId="13" xfId="3" applyFont="1" applyFill="1" applyBorder="1" applyAlignment="1">
      <alignment horizontal="left"/>
    </xf>
    <xf numFmtId="0" fontId="7" fillId="3" borderId="5" xfId="3" applyFont="1" applyFill="1" applyBorder="1" applyAlignment="1">
      <alignment horizontal="right"/>
    </xf>
    <xf numFmtId="0" fontId="8" fillId="3" borderId="10" xfId="3" applyFont="1" applyFill="1" applyBorder="1" applyAlignment="1">
      <alignment horizontal="left"/>
    </xf>
    <xf numFmtId="0" fontId="8" fillId="3" borderId="0" xfId="3" applyFont="1" applyFill="1" applyBorder="1" applyAlignment="1">
      <alignment horizontal="right"/>
    </xf>
    <xf numFmtId="42" fontId="8" fillId="3" borderId="19" xfId="3" applyNumberFormat="1" applyFont="1" applyFill="1" applyBorder="1" applyAlignment="1"/>
    <xf numFmtId="0" fontId="8" fillId="3" borderId="2" xfId="3" applyFont="1" applyFill="1" applyBorder="1" applyAlignment="1">
      <alignment horizontal="right"/>
    </xf>
    <xf numFmtId="0" fontId="6" fillId="3" borderId="2" xfId="3" applyFont="1" applyFill="1" applyBorder="1" applyAlignment="1"/>
    <xf numFmtId="0" fontId="6" fillId="3" borderId="15" xfId="3" applyFont="1" applyFill="1" applyBorder="1" applyAlignment="1"/>
    <xf numFmtId="42" fontId="8" fillId="3" borderId="15" xfId="3" applyNumberFormat="1" applyFont="1" applyFill="1" applyBorder="1" applyAlignment="1"/>
    <xf numFmtId="168" fontId="21" fillId="3" borderId="0" xfId="3" applyNumberFormat="1" applyFont="1" applyFill="1" applyBorder="1" applyAlignment="1">
      <alignment horizontal="center"/>
    </xf>
    <xf numFmtId="3" fontId="21" fillId="3" borderId="0" xfId="3" applyNumberFormat="1" applyFont="1" applyFill="1" applyBorder="1" applyAlignment="1">
      <alignment horizontal="center"/>
    </xf>
    <xf numFmtId="3" fontId="21" fillId="3" borderId="10" xfId="3" applyNumberFormat="1" applyFont="1" applyFill="1" applyBorder="1" applyAlignment="1">
      <alignment horizontal="center"/>
    </xf>
    <xf numFmtId="3" fontId="21" fillId="3" borderId="11" xfId="3" applyNumberFormat="1" applyFont="1" applyFill="1" applyBorder="1" applyAlignment="1">
      <alignment horizontal="center"/>
    </xf>
    <xf numFmtId="168" fontId="21" fillId="3" borderId="5" xfId="3" applyNumberFormat="1" applyFont="1" applyFill="1" applyBorder="1" applyAlignment="1">
      <alignment horizontal="center"/>
    </xf>
    <xf numFmtId="3" fontId="21" fillId="3" borderId="5" xfId="3" applyNumberFormat="1" applyFont="1" applyFill="1" applyBorder="1" applyAlignment="1">
      <alignment horizontal="center"/>
    </xf>
    <xf numFmtId="3" fontId="21" fillId="3" borderId="13" xfId="3" applyNumberFormat="1" applyFont="1" applyFill="1" applyBorder="1" applyAlignment="1">
      <alignment horizontal="center"/>
    </xf>
    <xf numFmtId="3" fontId="21" fillId="3" borderId="14" xfId="3" applyNumberFormat="1" applyFont="1" applyFill="1" applyBorder="1" applyAlignment="1">
      <alignment horizontal="center"/>
    </xf>
    <xf numFmtId="0" fontId="8" fillId="3" borderId="12" xfId="3" applyFont="1" applyFill="1" applyBorder="1" applyAlignment="1">
      <alignment horizontal="left"/>
    </xf>
    <xf numFmtId="0" fontId="8" fillId="3" borderId="6" xfId="3" applyFont="1" applyFill="1" applyBorder="1" applyAlignment="1">
      <alignment horizontal="right"/>
    </xf>
    <xf numFmtId="3" fontId="8" fillId="3" borderId="6" xfId="3" applyNumberFormat="1" applyFont="1" applyFill="1" applyBorder="1" applyAlignment="1">
      <alignment horizontal="center"/>
    </xf>
    <xf numFmtId="3" fontId="8" fillId="3" borderId="12" xfId="3" applyNumberFormat="1" applyFont="1" applyFill="1" applyBorder="1" applyAlignment="1">
      <alignment horizontal="center"/>
    </xf>
    <xf numFmtId="3" fontId="8" fillId="3" borderId="7" xfId="3" applyNumberFormat="1" applyFont="1" applyFill="1" applyBorder="1" applyAlignment="1">
      <alignment horizontal="center"/>
    </xf>
    <xf numFmtId="0" fontId="7" fillId="3" borderId="0" xfId="3" applyFont="1" applyFill="1" applyBorder="1" applyAlignment="1">
      <alignment horizontal="left"/>
    </xf>
    <xf numFmtId="3" fontId="21" fillId="3" borderId="8" xfId="3" applyNumberFormat="1" applyFont="1" applyFill="1" applyBorder="1" applyAlignment="1">
      <alignment horizontal="center"/>
    </xf>
    <xf numFmtId="3" fontId="21" fillId="3" borderId="4" xfId="3" applyNumberFormat="1" applyFont="1" applyFill="1" applyBorder="1" applyAlignment="1">
      <alignment horizontal="center"/>
    </xf>
    <xf numFmtId="3" fontId="21" fillId="3" borderId="9" xfId="3" applyNumberFormat="1" applyFont="1" applyFill="1" applyBorder="1" applyAlignment="1">
      <alignment horizontal="center"/>
    </xf>
    <xf numFmtId="1" fontId="21" fillId="3" borderId="0" xfId="3" applyNumberFormat="1" applyFont="1" applyFill="1" applyBorder="1" applyAlignment="1">
      <alignment horizontal="center"/>
    </xf>
    <xf numFmtId="1" fontId="21" fillId="3" borderId="10" xfId="3" applyNumberFormat="1" applyFont="1" applyFill="1" applyBorder="1" applyAlignment="1">
      <alignment horizontal="center"/>
    </xf>
    <xf numFmtId="3" fontId="7" fillId="3" borderId="0" xfId="3" applyNumberFormat="1" applyFont="1" applyFill="1" applyBorder="1" applyAlignment="1">
      <alignment horizontal="center"/>
    </xf>
    <xf numFmtId="3" fontId="7" fillId="3" borderId="10" xfId="3" applyNumberFormat="1" applyFont="1" applyFill="1" applyBorder="1" applyAlignment="1">
      <alignment horizontal="center"/>
    </xf>
    <xf numFmtId="3" fontId="7" fillId="3" borderId="11" xfId="3" applyNumberFormat="1" applyFont="1" applyFill="1" applyBorder="1" applyAlignment="1">
      <alignment horizontal="center"/>
    </xf>
    <xf numFmtId="0" fontId="7" fillId="3" borderId="8" xfId="3" applyFont="1" applyFill="1" applyBorder="1" applyAlignment="1">
      <alignment horizontal="left"/>
    </xf>
    <xf numFmtId="0" fontId="7" fillId="3" borderId="4" xfId="3" applyFont="1" applyFill="1" applyBorder="1" applyAlignment="1"/>
    <xf numFmtId="42" fontId="7" fillId="3" borderId="11" xfId="3" applyNumberFormat="1" applyFont="1" applyFill="1" applyBorder="1" applyAlignment="1">
      <alignment horizontal="center"/>
    </xf>
    <xf numFmtId="42" fontId="7" fillId="3" borderId="0" xfId="3" applyNumberFormat="1" applyFont="1" applyFill="1" applyBorder="1" applyAlignment="1"/>
    <xf numFmtId="42" fontId="7" fillId="3" borderId="11" xfId="3" applyNumberFormat="1" applyFont="1" applyFill="1" applyBorder="1" applyAlignment="1"/>
    <xf numFmtId="41" fontId="7" fillId="3" borderId="11" xfId="3" applyNumberFormat="1" applyFont="1" applyFill="1" applyBorder="1" applyAlignment="1">
      <alignment horizontal="center"/>
    </xf>
    <xf numFmtId="41" fontId="7" fillId="3" borderId="0" xfId="3" applyNumberFormat="1" applyFont="1" applyFill="1" applyBorder="1" applyAlignment="1"/>
    <xf numFmtId="41" fontId="7" fillId="3" borderId="11" xfId="3" applyNumberFormat="1" applyFont="1" applyFill="1" applyBorder="1" applyAlignment="1"/>
    <xf numFmtId="41" fontId="8" fillId="3" borderId="0" xfId="3" applyNumberFormat="1" applyFont="1" applyFill="1" applyBorder="1" applyAlignment="1">
      <alignment horizontal="right"/>
    </xf>
    <xf numFmtId="41" fontId="8" fillId="3" borderId="0" xfId="4" applyNumberFormat="1" applyFont="1" applyFill="1" applyBorder="1" applyAlignment="1">
      <alignment horizontal="center"/>
    </xf>
    <xf numFmtId="41" fontId="21" fillId="3" borderId="11" xfId="3" applyNumberFormat="1" applyFont="1" applyFill="1" applyBorder="1" applyAlignment="1"/>
    <xf numFmtId="10" fontId="15" fillId="3" borderId="0" xfId="3" applyNumberFormat="1" applyFont="1" applyFill="1" applyBorder="1" applyAlignment="1">
      <alignment horizontal="center"/>
    </xf>
    <xf numFmtId="41" fontId="15" fillId="3" borderId="11" xfId="3" applyNumberFormat="1" applyFont="1" applyFill="1" applyBorder="1" applyAlignment="1">
      <alignment horizontal="center"/>
    </xf>
    <xf numFmtId="41" fontId="7" fillId="3" borderId="14" xfId="3" applyNumberFormat="1" applyFont="1" applyFill="1" applyBorder="1" applyAlignment="1">
      <alignment horizontal="center"/>
    </xf>
    <xf numFmtId="41" fontId="7" fillId="3" borderId="13" xfId="3" applyNumberFormat="1" applyFont="1" applyFill="1" applyBorder="1" applyAlignment="1"/>
    <xf numFmtId="41" fontId="7" fillId="3" borderId="5" xfId="3" applyNumberFormat="1" applyFont="1" applyFill="1" applyBorder="1" applyAlignment="1"/>
    <xf numFmtId="41" fontId="7" fillId="3" borderId="14" xfId="3" applyNumberFormat="1" applyFont="1" applyFill="1" applyBorder="1" applyAlignment="1"/>
    <xf numFmtId="42" fontId="8" fillId="3" borderId="11" xfId="3" applyNumberFormat="1" applyFont="1" applyFill="1" applyBorder="1" applyAlignment="1">
      <alignment horizontal="center"/>
    </xf>
    <xf numFmtId="42" fontId="8" fillId="3" borderId="10" xfId="3" applyNumberFormat="1" applyFont="1" applyFill="1" applyBorder="1" applyAlignment="1">
      <alignment horizontal="center"/>
    </xf>
    <xf numFmtId="42" fontId="8" fillId="3" borderId="0" xfId="3" applyNumberFormat="1" applyFont="1" applyFill="1" applyBorder="1" applyAlignment="1">
      <alignment horizontal="center"/>
    </xf>
    <xf numFmtId="0" fontId="7" fillId="3" borderId="12" xfId="3" applyFont="1" applyFill="1" applyBorder="1" applyAlignment="1">
      <alignment horizontal="left"/>
    </xf>
    <xf numFmtId="42" fontId="21" fillId="3" borderId="0" xfId="3" applyNumberFormat="1" applyFont="1" applyFill="1" applyBorder="1" applyAlignment="1">
      <alignment horizontal="center"/>
    </xf>
    <xf numFmtId="42" fontId="21" fillId="3" borderId="10" xfId="3" applyNumberFormat="1" applyFont="1" applyFill="1" applyBorder="1" applyAlignment="1">
      <alignment horizontal="center"/>
    </xf>
    <xf numFmtId="42" fontId="21" fillId="3" borderId="11" xfId="3" applyNumberFormat="1" applyFont="1" applyFill="1" applyBorder="1" applyAlignment="1">
      <alignment horizontal="center"/>
    </xf>
    <xf numFmtId="41" fontId="21" fillId="3" borderId="0" xfId="3" applyNumberFormat="1" applyFont="1" applyFill="1" applyBorder="1" applyAlignment="1">
      <alignment horizontal="center"/>
    </xf>
    <xf numFmtId="41" fontId="21" fillId="3" borderId="0" xfId="3" applyNumberFormat="1" applyFont="1" applyFill="1" applyBorder="1" applyAlignment="1"/>
    <xf numFmtId="0" fontId="7" fillId="3" borderId="5" xfId="3" applyFont="1" applyFill="1" applyBorder="1" applyAlignment="1">
      <alignment horizontal="left"/>
    </xf>
    <xf numFmtId="41" fontId="21" fillId="3" borderId="5" xfId="3" applyNumberFormat="1" applyFont="1" applyFill="1" applyBorder="1" applyAlignment="1">
      <alignment horizontal="center"/>
    </xf>
    <xf numFmtId="42" fontId="8" fillId="3" borderId="0" xfId="3" applyNumberFormat="1" applyFont="1" applyFill="1" applyBorder="1" applyAlignment="1"/>
    <xf numFmtId="42" fontId="8" fillId="3" borderId="11" xfId="3" applyNumberFormat="1" applyFont="1" applyFill="1" applyBorder="1" applyAlignment="1"/>
    <xf numFmtId="42" fontId="21" fillId="3" borderId="0" xfId="3" applyNumberFormat="1" applyFont="1" applyFill="1" applyBorder="1" applyAlignment="1"/>
    <xf numFmtId="41" fontId="21" fillId="3" borderId="10" xfId="3" applyNumberFormat="1" applyFont="1" applyFill="1" applyBorder="1" applyAlignment="1">
      <alignment horizontal="center"/>
    </xf>
    <xf numFmtId="41" fontId="21" fillId="3" borderId="11" xfId="3" applyNumberFormat="1" applyFont="1" applyFill="1" applyBorder="1" applyAlignment="1">
      <alignment horizontal="center"/>
    </xf>
    <xf numFmtId="42" fontId="8" fillId="3" borderId="6" xfId="3" applyNumberFormat="1" applyFont="1" applyFill="1" applyBorder="1" applyAlignment="1">
      <alignment horizontal="center"/>
    </xf>
    <xf numFmtId="42" fontId="8" fillId="3" borderId="6" xfId="3" applyNumberFormat="1" applyFont="1" applyFill="1" applyBorder="1" applyAlignment="1"/>
    <xf numFmtId="42" fontId="8" fillId="3" borderId="7" xfId="3" applyNumberFormat="1" applyFont="1" applyFill="1" applyBorder="1" applyAlignment="1"/>
    <xf numFmtId="0" fontId="8" fillId="0" borderId="4" xfId="3" applyFont="1" applyBorder="1" applyAlignment="1">
      <alignment horizontal="left"/>
    </xf>
    <xf numFmtId="0" fontId="8" fillId="0" borderId="4" xfId="3" applyFont="1" applyBorder="1" applyAlignment="1">
      <alignment horizontal="right"/>
    </xf>
    <xf numFmtId="0" fontId="7" fillId="0" borderId="4" xfId="3" applyFont="1" applyBorder="1" applyAlignment="1">
      <alignment horizontal="center"/>
    </xf>
    <xf numFmtId="0" fontId="8" fillId="0" borderId="0" xfId="3" applyFont="1" applyBorder="1" applyAlignment="1">
      <alignment horizontal="left"/>
    </xf>
    <xf numFmtId="0" fontId="7" fillId="0" borderId="6" xfId="3" applyFont="1" applyBorder="1" applyAlignment="1"/>
    <xf numFmtId="0" fontId="7" fillId="0" borderId="0" xfId="3" applyFont="1" applyBorder="1" applyAlignment="1">
      <alignment horizontal="left"/>
    </xf>
    <xf numFmtId="42" fontId="7" fillId="0" borderId="0" xfId="3" applyNumberFormat="1" applyFont="1" applyBorder="1" applyAlignment="1"/>
    <xf numFmtId="0" fontId="7" fillId="0" borderId="8" xfId="3" applyFont="1" applyBorder="1" applyAlignment="1"/>
    <xf numFmtId="0" fontId="7" fillId="0" borderId="4" xfId="3" applyFont="1" applyBorder="1" applyAlignment="1"/>
    <xf numFmtId="0" fontId="8" fillId="0" borderId="4" xfId="3" applyFont="1" applyBorder="1" applyAlignment="1">
      <alignment horizontal="center"/>
    </xf>
    <xf numFmtId="0" fontId="7" fillId="3" borderId="8" xfId="0" applyFont="1" applyFill="1" applyBorder="1"/>
    <xf numFmtId="0" fontId="8" fillId="3" borderId="4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12" xfId="0" applyFont="1" applyFill="1" applyBorder="1"/>
    <xf numFmtId="0" fontId="8" fillId="3" borderId="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7" fillId="0" borderId="12" xfId="3" applyFont="1" applyBorder="1" applyAlignment="1"/>
    <xf numFmtId="44" fontId="7" fillId="0" borderId="16" xfId="3" applyNumberFormat="1" applyFont="1" applyBorder="1" applyAlignment="1"/>
    <xf numFmtId="43" fontId="7" fillId="0" borderId="16" xfId="3" applyNumberFormat="1" applyFont="1" applyBorder="1" applyAlignment="1"/>
    <xf numFmtId="43" fontId="7" fillId="0" borderId="0" xfId="3" applyNumberFormat="1" applyFont="1" applyBorder="1" applyAlignment="1">
      <alignment horizontal="center"/>
    </xf>
    <xf numFmtId="43" fontId="7" fillId="0" borderId="0" xfId="3" applyNumberFormat="1" applyFont="1" applyBorder="1" applyAlignment="1"/>
    <xf numFmtId="43" fontId="7" fillId="0" borderId="6" xfId="3" applyNumberFormat="1" applyFont="1" applyBorder="1" applyAlignment="1">
      <alignment horizontal="center"/>
    </xf>
    <xf numFmtId="43" fontId="7" fillId="0" borderId="6" xfId="3" applyNumberFormat="1" applyFont="1" applyBorder="1" applyAlignment="1"/>
    <xf numFmtId="43" fontId="7" fillId="0" borderId="17" xfId="3" applyNumberFormat="1" applyFont="1" applyBorder="1" applyAlignment="1"/>
    <xf numFmtId="0" fontId="7" fillId="3" borderId="0" xfId="0" applyFont="1" applyFill="1"/>
    <xf numFmtId="0" fontId="8" fillId="0" borderId="6" xfId="3" applyFont="1" applyBorder="1" applyAlignment="1">
      <alignment horizontal="center"/>
    </xf>
    <xf numFmtId="0" fontId="7" fillId="0" borderId="9" xfId="3" applyFont="1" applyBorder="1" applyAlignment="1"/>
    <xf numFmtId="0" fontId="7" fillId="0" borderId="3" xfId="3" applyFont="1" applyBorder="1" applyAlignment="1"/>
    <xf numFmtId="0" fontId="7" fillId="0" borderId="0" xfId="3" applyFont="1" applyAlignment="1">
      <alignment vertical="top"/>
    </xf>
    <xf numFmtId="0" fontId="8" fillId="3" borderId="8" xfId="0" applyFont="1" applyFill="1" applyBorder="1"/>
    <xf numFmtId="0" fontId="8" fillId="3" borderId="9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0" xfId="0" applyFont="1" applyFill="1" applyBorder="1" applyAlignment="1">
      <alignment horizontal="center"/>
    </xf>
    <xf numFmtId="42" fontId="15" fillId="3" borderId="0" xfId="0" applyNumberFormat="1" applyFont="1" applyFill="1" applyBorder="1"/>
    <xf numFmtId="44" fontId="7" fillId="3" borderId="16" xfId="0" applyNumberFormat="1" applyFont="1" applyFill="1" applyBorder="1"/>
    <xf numFmtId="41" fontId="15" fillId="3" borderId="0" xfId="0" applyNumberFormat="1" applyFont="1" applyFill="1" applyBorder="1"/>
    <xf numFmtId="43" fontId="7" fillId="3" borderId="16" xfId="0" applyNumberFormat="1" applyFont="1" applyFill="1" applyBorder="1"/>
    <xf numFmtId="0" fontId="7" fillId="3" borderId="6" xfId="0" applyFont="1" applyFill="1" applyBorder="1" applyAlignment="1">
      <alignment horizontal="center"/>
    </xf>
    <xf numFmtId="42" fontId="8" fillId="3" borderId="6" xfId="0" applyNumberFormat="1" applyFont="1" applyFill="1" applyBorder="1"/>
    <xf numFmtId="3" fontId="8" fillId="3" borderId="7" xfId="0" applyNumberFormat="1" applyFont="1" applyFill="1" applyBorder="1" applyAlignment="1">
      <alignment horizontal="center"/>
    </xf>
    <xf numFmtId="42" fontId="8" fillId="3" borderId="7" xfId="0" applyNumberFormat="1" applyFont="1" applyFill="1" applyBorder="1"/>
    <xf numFmtId="44" fontId="8" fillId="3" borderId="17" xfId="0" applyNumberFormat="1" applyFont="1" applyFill="1" applyBorder="1"/>
    <xf numFmtId="41" fontId="21" fillId="3" borderId="0" xfId="0" applyNumberFormat="1" applyFont="1" applyFill="1"/>
    <xf numFmtId="41" fontId="7" fillId="3" borderId="0" xfId="0" applyNumberFormat="1" applyFont="1" applyFill="1"/>
    <xf numFmtId="43" fontId="7" fillId="3" borderId="0" xfId="0" applyNumberFormat="1" applyFont="1" applyFill="1"/>
    <xf numFmtId="0" fontId="7" fillId="3" borderId="13" xfId="0" applyFont="1" applyFill="1" applyBorder="1"/>
    <xf numFmtId="0" fontId="7" fillId="3" borderId="5" xfId="0" applyFont="1" applyFill="1" applyBorder="1"/>
    <xf numFmtId="0" fontId="8" fillId="3" borderId="10" xfId="0" applyFont="1" applyFill="1" applyBorder="1"/>
    <xf numFmtId="0" fontId="7" fillId="3" borderId="0" xfId="0" applyFont="1" applyFill="1" applyBorder="1"/>
    <xf numFmtId="41" fontId="8" fillId="3" borderId="11" xfId="0" applyNumberFormat="1" applyFont="1" applyFill="1" applyBorder="1"/>
    <xf numFmtId="0" fontId="8" fillId="3" borderId="6" xfId="0" applyFont="1" applyFill="1" applyBorder="1"/>
    <xf numFmtId="41" fontId="15" fillId="3" borderId="13" xfId="3" applyNumberFormat="1" applyFont="1" applyFill="1" applyBorder="1" applyAlignment="1"/>
    <xf numFmtId="0" fontId="7" fillId="3" borderId="5" xfId="0" applyFont="1" applyFill="1" applyBorder="1" applyAlignment="1">
      <alignment horizontal="right"/>
    </xf>
    <xf numFmtId="44" fontId="7" fillId="0" borderId="6" xfId="3" applyNumberFormat="1" applyFont="1" applyBorder="1" applyAlignment="1">
      <alignment horizontal="center"/>
    </xf>
    <xf numFmtId="44" fontId="7" fillId="0" borderId="7" xfId="3" applyNumberFormat="1" applyFont="1" applyBorder="1" applyAlignment="1">
      <alignment horizontal="center"/>
    </xf>
    <xf numFmtId="0" fontId="7" fillId="4" borderId="2" xfId="3" applyFont="1" applyFill="1" applyBorder="1" applyAlignment="1"/>
    <xf numFmtId="10" fontId="8" fillId="0" borderId="0" xfId="3" applyNumberFormat="1" applyFont="1" applyBorder="1" applyAlignment="1">
      <alignment horizontal="right"/>
    </xf>
    <xf numFmtId="10" fontId="28" fillId="0" borderId="0" xfId="3" applyNumberFormat="1" applyFont="1" applyBorder="1" applyAlignment="1">
      <alignment horizontal="right"/>
    </xf>
    <xf numFmtId="42" fontId="17" fillId="3" borderId="11" xfId="3" applyNumberFormat="1" applyFont="1" applyFill="1" applyBorder="1" applyAlignment="1">
      <alignment horizontal="center"/>
    </xf>
    <xf numFmtId="41" fontId="2" fillId="3" borderId="9" xfId="0" applyNumberFormat="1" applyFont="1" applyFill="1" applyBorder="1"/>
    <xf numFmtId="43" fontId="17" fillId="3" borderId="14" xfId="0" applyNumberFormat="1" applyFont="1" applyFill="1" applyBorder="1"/>
    <xf numFmtId="167" fontId="21" fillId="3" borderId="0" xfId="3" applyNumberFormat="1" applyFont="1" applyFill="1" applyBorder="1" applyAlignment="1">
      <alignment horizontal="center"/>
    </xf>
    <xf numFmtId="169" fontId="21" fillId="3" borderId="0" xfId="3" applyNumberFormat="1" applyFont="1" applyFill="1" applyBorder="1" applyAlignment="1">
      <alignment horizontal="center"/>
    </xf>
    <xf numFmtId="171" fontId="21" fillId="3" borderId="0" xfId="3" applyNumberFormat="1" applyFont="1" applyFill="1" applyBorder="1" applyAlignment="1">
      <alignment horizontal="center"/>
    </xf>
    <xf numFmtId="44" fontId="8" fillId="0" borderId="12" xfId="3" applyNumberFormat="1" applyFont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7" fillId="0" borderId="10" xfId="3" applyFont="1" applyBorder="1" applyAlignment="1">
      <alignment horizontal="left" vertical="center"/>
    </xf>
    <xf numFmtId="0" fontId="7" fillId="0" borderId="0" xfId="3" applyFont="1" applyBorder="1" applyAlignment="1">
      <alignment horizontal="left" vertical="center"/>
    </xf>
    <xf numFmtId="0" fontId="7" fillId="0" borderId="11" xfId="3" applyFont="1" applyBorder="1" applyAlignment="1">
      <alignment horizontal="left" vertical="center"/>
    </xf>
    <xf numFmtId="10" fontId="34" fillId="3" borderId="5" xfId="0" applyNumberFormat="1" applyFont="1" applyFill="1" applyBorder="1" applyAlignment="1">
      <alignment horizontal="center"/>
    </xf>
    <xf numFmtId="176" fontId="17" fillId="3" borderId="0" xfId="1" applyNumberFormat="1" applyFont="1" applyFill="1" applyBorder="1" applyAlignment="1">
      <alignment horizontal="center"/>
    </xf>
    <xf numFmtId="10" fontId="17" fillId="0" borderId="11" xfId="0" applyNumberFormat="1" applyFont="1" applyFill="1" applyBorder="1" applyAlignment="1">
      <alignment horizontal="center"/>
    </xf>
    <xf numFmtId="44" fontId="17" fillId="0" borderId="16" xfId="0" applyNumberFormat="1" applyFont="1" applyFill="1" applyBorder="1" applyAlignment="1">
      <alignment horizontal="center"/>
    </xf>
    <xf numFmtId="10" fontId="17" fillId="0" borderId="0" xfId="0" applyNumberFormat="1" applyFont="1" applyFill="1" applyBorder="1" applyAlignment="1">
      <alignment horizontal="center"/>
    </xf>
    <xf numFmtId="0" fontId="7" fillId="0" borderId="7" xfId="3" applyFont="1" applyBorder="1" applyAlignment="1"/>
    <xf numFmtId="0" fontId="2" fillId="5" borderId="10" xfId="0" applyFont="1" applyFill="1" applyBorder="1" applyAlignment="1">
      <alignment horizontal="left"/>
    </xf>
    <xf numFmtId="0" fontId="2" fillId="5" borderId="8" xfId="0" applyFont="1" applyFill="1" applyBorder="1"/>
    <xf numFmtId="0" fontId="11" fillId="5" borderId="4" xfId="0" applyFont="1" applyFill="1" applyBorder="1" applyAlignment="1">
      <alignment horizontal="center"/>
    </xf>
    <xf numFmtId="176" fontId="17" fillId="3" borderId="6" xfId="1" applyNumberFormat="1" applyFont="1" applyFill="1" applyBorder="1" applyAlignment="1">
      <alignment horizontal="center"/>
    </xf>
    <xf numFmtId="0" fontId="2" fillId="0" borderId="10" xfId="0" applyFont="1" applyFill="1" applyBorder="1"/>
    <xf numFmtId="41" fontId="20" fillId="5" borderId="18" xfId="0" applyNumberFormat="1" applyFont="1" applyFill="1" applyBorder="1" applyAlignment="1">
      <alignment horizontal="center"/>
    </xf>
    <xf numFmtId="0" fontId="2" fillId="5" borderId="13" xfId="0" applyFont="1" applyFill="1" applyBorder="1" applyAlignment="1">
      <alignment horizontal="left"/>
    </xf>
    <xf numFmtId="0" fontId="2" fillId="0" borderId="12" xfId="0" applyFont="1" applyFill="1" applyBorder="1"/>
    <xf numFmtId="44" fontId="17" fillId="0" borderId="11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11" fillId="3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3" borderId="9" xfId="0" applyFill="1" applyBorder="1"/>
    <xf numFmtId="176" fontId="0" fillId="3" borderId="11" xfId="0" applyNumberFormat="1" applyFill="1" applyBorder="1"/>
    <xf numFmtId="0" fontId="0" fillId="3" borderId="6" xfId="0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8" xfId="0" applyFont="1" applyFill="1" applyBorder="1"/>
    <xf numFmtId="0" fontId="7" fillId="0" borderId="4" xfId="0" applyFont="1" applyFill="1" applyBorder="1" applyAlignment="1">
      <alignment horizontal="center"/>
    </xf>
    <xf numFmtId="44" fontId="11" fillId="3" borderId="0" xfId="3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7" fillId="5" borderId="10" xfId="3" applyFont="1" applyFill="1" applyBorder="1" applyAlignment="1"/>
    <xf numFmtId="0" fontId="7" fillId="0" borderId="0" xfId="0" applyFont="1" applyFill="1" applyBorder="1" applyAlignment="1">
      <alignment horizontal="centerContinuous"/>
    </xf>
    <xf numFmtId="0" fontId="8" fillId="3" borderId="0" xfId="0" applyFont="1" applyFill="1" applyBorder="1" applyAlignment="1">
      <alignment horizontal="center"/>
    </xf>
    <xf numFmtId="42" fontId="8" fillId="3" borderId="0" xfId="0" applyNumberFormat="1" applyFont="1" applyFill="1" applyBorder="1"/>
    <xf numFmtId="42" fontId="7" fillId="3" borderId="0" xfId="0" applyNumberFormat="1" applyFont="1" applyFill="1" applyBorder="1"/>
    <xf numFmtId="41" fontId="7" fillId="3" borderId="0" xfId="0" applyNumberFormat="1" applyFont="1" applyFill="1" applyBorder="1"/>
    <xf numFmtId="44" fontId="20" fillId="3" borderId="16" xfId="0" applyNumberFormat="1" applyFont="1" applyFill="1" applyBorder="1" applyAlignment="1">
      <alignment horizontal="center"/>
    </xf>
    <xf numFmtId="43" fontId="20" fillId="3" borderId="16" xfId="0" applyNumberFormat="1" applyFont="1" applyFill="1" applyBorder="1" applyAlignment="1">
      <alignment horizontal="center"/>
    </xf>
    <xf numFmtId="44" fontId="20" fillId="3" borderId="17" xfId="0" applyNumberFormat="1" applyFont="1" applyFill="1" applyBorder="1" applyAlignment="1">
      <alignment horizontal="center"/>
    </xf>
    <xf numFmtId="10" fontId="20" fillId="3" borderId="11" xfId="0" applyNumberFormat="1" applyFont="1" applyFill="1" applyBorder="1" applyAlignment="1">
      <alignment horizontal="right"/>
    </xf>
    <xf numFmtId="0" fontId="7" fillId="0" borderId="11" xfId="3" applyFont="1" applyBorder="1" applyAlignment="1"/>
    <xf numFmtId="176" fontId="7" fillId="3" borderId="16" xfId="1" applyNumberFormat="1" applyFont="1" applyFill="1" applyBorder="1" applyAlignment="1"/>
    <xf numFmtId="10" fontId="17" fillId="0" borderId="11" xfId="0" applyNumberFormat="1" applyFont="1" applyFill="1" applyBorder="1" applyAlignment="1">
      <alignment horizontal="right"/>
    </xf>
    <xf numFmtId="0" fontId="11" fillId="3" borderId="12" xfId="0" applyFont="1" applyFill="1" applyBorder="1" applyAlignment="1">
      <alignment horizontal="left"/>
    </xf>
    <xf numFmtId="42" fontId="7" fillId="0" borderId="0" xfId="3" applyNumberFormat="1" applyFont="1" applyAlignment="1"/>
    <xf numFmtId="0" fontId="7" fillId="3" borderId="2" xfId="3" applyFont="1" applyFill="1" applyBorder="1" applyAlignment="1"/>
    <xf numFmtId="0" fontId="7" fillId="3" borderId="2" xfId="3" applyFont="1" applyFill="1" applyBorder="1" applyAlignment="1">
      <alignment horizontal="right"/>
    </xf>
    <xf numFmtId="41" fontId="7" fillId="3" borderId="15" xfId="3" applyNumberFormat="1" applyFont="1" applyFill="1" applyBorder="1" applyAlignment="1"/>
    <xf numFmtId="176" fontId="17" fillId="0" borderId="0" xfId="1" applyNumberFormat="1" applyFont="1" applyFill="1" applyBorder="1" applyAlignment="1">
      <alignment horizontal="center"/>
    </xf>
    <xf numFmtId="0" fontId="7" fillId="3" borderId="8" xfId="3" applyFont="1" applyFill="1" applyBorder="1" applyAlignment="1"/>
    <xf numFmtId="0" fontId="2" fillId="0" borderId="13" xfId="0" applyFont="1" applyFill="1" applyBorder="1" applyAlignment="1">
      <alignment horizontal="left"/>
    </xf>
    <xf numFmtId="0" fontId="7" fillId="0" borderId="1" xfId="3" applyFont="1" applyFill="1" applyBorder="1" applyAlignment="1"/>
    <xf numFmtId="0" fontId="7" fillId="0" borderId="0" xfId="3" quotePrefix="1" applyFont="1" applyAlignment="1">
      <alignment horizontal="left"/>
    </xf>
    <xf numFmtId="0" fontId="7" fillId="0" borderId="13" xfId="3" applyFont="1" applyFill="1" applyBorder="1" applyAlignment="1">
      <alignment horizontal="left"/>
    </xf>
    <xf numFmtId="0" fontId="7" fillId="0" borderId="10" xfId="3" applyFont="1" applyFill="1" applyBorder="1" applyAlignment="1"/>
    <xf numFmtId="165" fontId="7" fillId="3" borderId="19" xfId="3" applyNumberFormat="1" applyFont="1" applyFill="1" applyBorder="1" applyAlignment="1">
      <alignment horizontal="right"/>
    </xf>
    <xf numFmtId="43" fontId="7" fillId="3" borderId="16" xfId="3" applyNumberFormat="1" applyFont="1" applyFill="1" applyBorder="1" applyAlignment="1">
      <alignment horizontal="right"/>
    </xf>
    <xf numFmtId="176" fontId="7" fillId="3" borderId="16" xfId="3" applyNumberFormat="1" applyFont="1" applyFill="1" applyBorder="1" applyAlignment="1">
      <alignment horizontal="right"/>
    </xf>
    <xf numFmtId="43" fontId="7" fillId="0" borderId="16" xfId="3" applyNumberFormat="1" applyFont="1" applyFill="1" applyBorder="1" applyAlignment="1">
      <alignment horizontal="right"/>
    </xf>
    <xf numFmtId="41" fontId="7" fillId="3" borderId="16" xfId="3" applyNumberFormat="1" applyFont="1" applyFill="1" applyBorder="1" applyAlignment="1">
      <alignment horizontal="right"/>
    </xf>
    <xf numFmtId="176" fontId="7" fillId="3" borderId="19" xfId="1" applyNumberFormat="1" applyFont="1" applyFill="1" applyBorder="1" applyAlignment="1"/>
    <xf numFmtId="176" fontId="7" fillId="0" borderId="16" xfId="1" applyNumberFormat="1" applyFont="1" applyBorder="1" applyAlignment="1"/>
    <xf numFmtId="41" fontId="7" fillId="3" borderId="17" xfId="3" applyNumberFormat="1" applyFont="1" applyFill="1" applyBorder="1" applyAlignment="1"/>
    <xf numFmtId="41" fontId="7" fillId="0" borderId="10" xfId="3" applyNumberFormat="1" applyFont="1" applyFill="1" applyBorder="1" applyAlignment="1"/>
    <xf numFmtId="10" fontId="8" fillId="0" borderId="0" xfId="4" applyNumberFormat="1" applyFont="1" applyFill="1" applyBorder="1" applyAlignment="1">
      <alignment horizontal="center"/>
    </xf>
    <xf numFmtId="0" fontId="7" fillId="0" borderId="12" xfId="3" applyFont="1" applyFill="1" applyBorder="1" applyAlignment="1"/>
    <xf numFmtId="0" fontId="8" fillId="3" borderId="0" xfId="3" applyFont="1" applyFill="1" applyBorder="1" applyAlignment="1">
      <alignment horizontal="left"/>
    </xf>
    <xf numFmtId="0" fontId="37" fillId="4" borderId="1" xfId="3" applyFont="1" applyFill="1" applyBorder="1" applyAlignment="1"/>
    <xf numFmtId="0" fontId="8" fillId="4" borderId="2" xfId="3" applyFont="1" applyFill="1" applyBorder="1" applyAlignment="1"/>
    <xf numFmtId="0" fontId="8" fillId="4" borderId="3" xfId="3" applyFont="1" applyFill="1" applyBorder="1" applyAlignment="1">
      <alignment horizontal="left"/>
    </xf>
    <xf numFmtId="42" fontId="7" fillId="3" borderId="0" xfId="3" applyNumberFormat="1" applyFont="1" applyFill="1" applyBorder="1" applyAlignment="1">
      <alignment horizontal="center"/>
    </xf>
    <xf numFmtId="41" fontId="7" fillId="3" borderId="0" xfId="3" applyNumberFormat="1" applyFont="1" applyFill="1" applyBorder="1" applyAlignment="1">
      <alignment horizontal="center"/>
    </xf>
    <xf numFmtId="41" fontId="7" fillId="3" borderId="10" xfId="3" applyNumberFormat="1" applyFont="1" applyFill="1" applyBorder="1" applyAlignment="1">
      <alignment horizontal="center"/>
    </xf>
    <xf numFmtId="41" fontId="7" fillId="3" borderId="5" xfId="3" applyNumberFormat="1" applyFont="1" applyFill="1" applyBorder="1" applyAlignment="1">
      <alignment horizontal="center"/>
    </xf>
    <xf numFmtId="42" fontId="7" fillId="3" borderId="10" xfId="3" applyNumberFormat="1" applyFont="1" applyFill="1" applyBorder="1" applyAlignment="1">
      <alignment horizontal="center"/>
    </xf>
    <xf numFmtId="10" fontId="7" fillId="3" borderId="0" xfId="3" applyNumberFormat="1" applyFont="1" applyFill="1" applyBorder="1" applyAlignment="1">
      <alignment horizontal="center"/>
    </xf>
    <xf numFmtId="41" fontId="7" fillId="3" borderId="7" xfId="3" applyNumberFormat="1" applyFont="1" applyFill="1" applyBorder="1" applyAlignment="1">
      <alignment horizontal="center"/>
    </xf>
    <xf numFmtId="41" fontId="7" fillId="3" borderId="12" xfId="3" applyNumberFormat="1" applyFont="1" applyFill="1" applyBorder="1" applyAlignment="1"/>
    <xf numFmtId="41" fontId="7" fillId="3" borderId="6" xfId="3" applyNumberFormat="1" applyFont="1" applyFill="1" applyBorder="1" applyAlignment="1"/>
    <xf numFmtId="41" fontId="7" fillId="3" borderId="7" xfId="3" applyNumberFormat="1" applyFont="1" applyFill="1" applyBorder="1" applyAlignment="1"/>
    <xf numFmtId="0" fontId="8" fillId="4" borderId="1" xfId="3" applyFont="1" applyFill="1" applyBorder="1" applyAlignment="1">
      <alignment horizontal="left"/>
    </xf>
    <xf numFmtId="0" fontId="8" fillId="4" borderId="2" xfId="3" applyFont="1" applyFill="1" applyBorder="1" applyAlignment="1">
      <alignment horizontal="left"/>
    </xf>
    <xf numFmtId="167" fontId="7" fillId="3" borderId="0" xfId="3" applyNumberFormat="1" applyFont="1" applyFill="1" applyBorder="1" applyAlignment="1">
      <alignment horizontal="center"/>
    </xf>
    <xf numFmtId="3" fontId="7" fillId="3" borderId="8" xfId="3" applyNumberFormat="1" applyFont="1" applyFill="1" applyBorder="1" applyAlignment="1">
      <alignment horizontal="center"/>
    </xf>
    <xf numFmtId="3" fontId="7" fillId="3" borderId="4" xfId="3" applyNumberFormat="1" applyFont="1" applyFill="1" applyBorder="1" applyAlignment="1">
      <alignment horizontal="center"/>
    </xf>
    <xf numFmtId="3" fontId="7" fillId="3" borderId="9" xfId="3" applyNumberFormat="1" applyFont="1" applyFill="1" applyBorder="1" applyAlignment="1">
      <alignment horizontal="center"/>
    </xf>
    <xf numFmtId="1" fontId="7" fillId="3" borderId="0" xfId="3" applyNumberFormat="1" applyFont="1" applyFill="1" applyBorder="1" applyAlignment="1">
      <alignment horizontal="center"/>
    </xf>
    <xf numFmtId="1" fontId="7" fillId="3" borderId="10" xfId="3" applyNumberFormat="1" applyFont="1" applyFill="1" applyBorder="1" applyAlignment="1">
      <alignment horizontal="center"/>
    </xf>
    <xf numFmtId="0" fontId="7" fillId="3" borderId="0" xfId="3" applyFont="1" applyFill="1" applyBorder="1" applyAlignment="1">
      <alignment horizontal="center"/>
    </xf>
    <xf numFmtId="0" fontId="7" fillId="3" borderId="11" xfId="3" applyFont="1" applyFill="1" applyBorder="1" applyAlignment="1">
      <alignment horizontal="center"/>
    </xf>
    <xf numFmtId="0" fontId="7" fillId="3" borderId="10" xfId="3" applyFont="1" applyFill="1" applyBorder="1" applyAlignment="1">
      <alignment horizontal="center"/>
    </xf>
    <xf numFmtId="169" fontId="7" fillId="3" borderId="0" xfId="3" applyNumberFormat="1" applyFont="1" applyFill="1" applyBorder="1" applyAlignment="1">
      <alignment horizontal="center"/>
    </xf>
    <xf numFmtId="171" fontId="7" fillId="3" borderId="0" xfId="3" applyNumberFormat="1" applyFont="1" applyFill="1" applyBorder="1" applyAlignment="1">
      <alignment horizontal="center"/>
    </xf>
    <xf numFmtId="168" fontId="7" fillId="3" borderId="0" xfId="3" applyNumberFormat="1" applyFont="1" applyFill="1" applyBorder="1" applyAlignment="1">
      <alignment horizontal="center"/>
    </xf>
    <xf numFmtId="168" fontId="7" fillId="3" borderId="5" xfId="3" applyNumberFormat="1" applyFont="1" applyFill="1" applyBorder="1" applyAlignment="1">
      <alignment horizontal="center"/>
    </xf>
    <xf numFmtId="3" fontId="7" fillId="3" borderId="5" xfId="3" applyNumberFormat="1" applyFont="1" applyFill="1" applyBorder="1" applyAlignment="1">
      <alignment horizontal="center"/>
    </xf>
    <xf numFmtId="3" fontId="7" fillId="3" borderId="13" xfId="3" applyNumberFormat="1" applyFont="1" applyFill="1" applyBorder="1" applyAlignment="1">
      <alignment horizontal="center"/>
    </xf>
    <xf numFmtId="3" fontId="7" fillId="3" borderId="14" xfId="3" applyNumberFormat="1" applyFont="1" applyFill="1" applyBorder="1" applyAlignment="1">
      <alignment horizontal="center"/>
    </xf>
    <xf numFmtId="0" fontId="8" fillId="4" borderId="1" xfId="3" applyFont="1" applyFill="1" applyBorder="1" applyAlignment="1"/>
    <xf numFmtId="0" fontId="8" fillId="4" borderId="3" xfId="3" applyFont="1" applyFill="1" applyBorder="1" applyAlignment="1"/>
    <xf numFmtId="0" fontId="7" fillId="3" borderId="1" xfId="3" applyFont="1" applyFill="1" applyBorder="1" applyAlignment="1">
      <alignment wrapText="1"/>
    </xf>
    <xf numFmtId="43" fontId="7" fillId="3" borderId="17" xfId="3" applyNumberFormat="1" applyFont="1" applyFill="1" applyBorder="1" applyAlignment="1">
      <alignment horizontal="right"/>
    </xf>
    <xf numFmtId="43" fontId="7" fillId="3" borderId="1" xfId="3" applyNumberFormat="1" applyFont="1" applyFill="1" applyBorder="1" applyAlignment="1">
      <alignment horizontal="right"/>
    </xf>
    <xf numFmtId="0" fontId="8" fillId="4" borderId="1" xfId="3" applyFont="1" applyFill="1" applyBorder="1" applyAlignment="1">
      <alignment horizontal="centerContinuous"/>
    </xf>
    <xf numFmtId="0" fontId="8" fillId="4" borderId="2" xfId="3" applyFont="1" applyFill="1" applyBorder="1" applyAlignment="1">
      <alignment horizontal="centerContinuous"/>
    </xf>
    <xf numFmtId="0" fontId="8" fillId="4" borderId="3" xfId="3" applyFont="1" applyFill="1" applyBorder="1" applyAlignment="1">
      <alignment horizontal="centerContinuous"/>
    </xf>
    <xf numFmtId="44" fontId="7" fillId="0" borderId="4" xfId="3" applyNumberFormat="1" applyFont="1" applyBorder="1" applyAlignment="1"/>
    <xf numFmtId="0" fontId="7" fillId="3" borderId="15" xfId="3" applyFont="1" applyFill="1" applyBorder="1" applyAlignment="1"/>
    <xf numFmtId="10" fontId="7" fillId="0" borderId="2" xfId="3" applyNumberFormat="1" applyFont="1" applyFill="1" applyBorder="1" applyAlignment="1">
      <alignment horizontal="right"/>
    </xf>
    <xf numFmtId="8" fontId="7" fillId="0" borderId="3" xfId="3" applyNumberFormat="1" applyFont="1" applyBorder="1" applyAlignment="1">
      <alignment horizontal="right"/>
    </xf>
    <xf numFmtId="44" fontId="7" fillId="3" borderId="0" xfId="2" applyNumberFormat="1" applyFont="1" applyFill="1" applyBorder="1" applyAlignment="1">
      <alignment horizontal="center"/>
    </xf>
    <xf numFmtId="44" fontId="7" fillId="0" borderId="3" xfId="3" applyNumberFormat="1" applyFont="1" applyBorder="1" applyAlignment="1"/>
    <xf numFmtId="10" fontId="7" fillId="0" borderId="2" xfId="3" applyNumberFormat="1" applyFont="1" applyBorder="1" applyAlignment="1">
      <alignment horizontal="right"/>
    </xf>
    <xf numFmtId="44" fontId="7" fillId="0" borderId="4" xfId="3" applyNumberFormat="1" applyFont="1" applyFill="1" applyBorder="1" applyAlignment="1"/>
    <xf numFmtId="43" fontId="7" fillId="0" borderId="0" xfId="3" applyNumberFormat="1" applyFont="1" applyFill="1" applyBorder="1" applyAlignment="1"/>
    <xf numFmtId="10" fontId="7" fillId="0" borderId="6" xfId="4" applyNumberFormat="1" applyFont="1" applyFill="1" applyBorder="1" applyAlignment="1"/>
    <xf numFmtId="10" fontId="7" fillId="0" borderId="0" xfId="3" applyNumberFormat="1" applyFont="1" applyBorder="1" applyAlignment="1"/>
    <xf numFmtId="10" fontId="7" fillId="0" borderId="6" xfId="3" applyNumberFormat="1" applyFont="1" applyBorder="1" applyAlignment="1"/>
    <xf numFmtId="44" fontId="7" fillId="0" borderId="9" xfId="2" applyFont="1" applyBorder="1" applyAlignment="1"/>
    <xf numFmtId="9" fontId="7" fillId="0" borderId="7" xfId="3" applyNumberFormat="1" applyFont="1" applyBorder="1" applyAlignment="1"/>
    <xf numFmtId="6" fontId="7" fillId="0" borderId="9" xfId="3" applyNumberFormat="1" applyFont="1" applyBorder="1" applyAlignment="1"/>
    <xf numFmtId="6" fontId="7" fillId="0" borderId="7" xfId="3" applyNumberFormat="1" applyFont="1" applyBorder="1" applyAlignment="1"/>
    <xf numFmtId="10" fontId="7" fillId="0" borderId="9" xfId="3" applyNumberFormat="1" applyFont="1" applyBorder="1" applyAlignment="1"/>
    <xf numFmtId="10" fontId="7" fillId="0" borderId="11" xfId="3" applyNumberFormat="1" applyFont="1" applyBorder="1" applyAlignment="1"/>
    <xf numFmtId="10" fontId="7" fillId="0" borderId="7" xfId="3" applyNumberFormat="1" applyFont="1" applyFill="1" applyBorder="1" applyAlignment="1"/>
    <xf numFmtId="3" fontId="7" fillId="3" borderId="11" xfId="0" applyNumberFormat="1" applyFont="1" applyFill="1" applyBorder="1" applyAlignment="1">
      <alignment horizontal="center"/>
    </xf>
    <xf numFmtId="41" fontId="7" fillId="0" borderId="0" xfId="0" applyNumberFormat="1" applyFont="1" applyFill="1"/>
    <xf numFmtId="3" fontId="7" fillId="0" borderId="0" xfId="0" applyNumberFormat="1" applyFont="1" applyFill="1" applyAlignment="1">
      <alignment horizontal="center"/>
    </xf>
    <xf numFmtId="41" fontId="2" fillId="3" borderId="0" xfId="0" applyNumberFormat="1" applyFont="1" applyFill="1"/>
    <xf numFmtId="3" fontId="2" fillId="3" borderId="0" xfId="0" applyNumberFormat="1" applyFont="1" applyFill="1" applyAlignment="1">
      <alignment horizontal="center"/>
    </xf>
    <xf numFmtId="0" fontId="8" fillId="4" borderId="1" xfId="0" applyFont="1" applyFill="1" applyBorder="1" applyAlignment="1">
      <alignment horizontal="centerContinuous"/>
    </xf>
    <xf numFmtId="0" fontId="8" fillId="4" borderId="2" xfId="0" applyFont="1" applyFill="1" applyBorder="1" applyAlignment="1">
      <alignment horizontal="centerContinuous"/>
    </xf>
    <xf numFmtId="41" fontId="8" fillId="4" borderId="2" xfId="0" applyNumberFormat="1" applyFont="1" applyFill="1" applyBorder="1" applyAlignment="1">
      <alignment horizontal="centerContinuous"/>
    </xf>
    <xf numFmtId="3" fontId="8" fillId="4" borderId="2" xfId="0" applyNumberFormat="1" applyFont="1" applyFill="1" applyBorder="1" applyAlignment="1">
      <alignment horizontal="centerContinuous"/>
    </xf>
    <xf numFmtId="41" fontId="8" fillId="4" borderId="3" xfId="0" applyNumberFormat="1" applyFont="1" applyFill="1" applyBorder="1" applyAlignment="1">
      <alignment horizontal="centerContinuous"/>
    </xf>
    <xf numFmtId="41" fontId="7" fillId="0" borderId="4" xfId="0" applyNumberFormat="1" applyFont="1" applyFill="1" applyBorder="1"/>
    <xf numFmtId="3" fontId="7" fillId="0" borderId="4" xfId="0" applyNumberFormat="1" applyFont="1" applyFill="1" applyBorder="1" applyAlignment="1">
      <alignment horizontal="center"/>
    </xf>
    <xf numFmtId="41" fontId="7" fillId="0" borderId="9" xfId="0" applyNumberFormat="1" applyFont="1" applyFill="1" applyBorder="1"/>
    <xf numFmtId="41" fontId="7" fillId="3" borderId="14" xfId="0" applyNumberFormat="1" applyFont="1" applyFill="1" applyBorder="1"/>
    <xf numFmtId="43" fontId="7" fillId="3" borderId="14" xfId="0" applyNumberFormat="1" applyFont="1" applyFill="1" applyBorder="1"/>
    <xf numFmtId="43" fontId="2" fillId="3" borderId="0" xfId="0" applyNumberFormat="1" applyFont="1" applyFill="1"/>
    <xf numFmtId="0" fontId="7" fillId="0" borderId="19" xfId="3" applyFont="1" applyBorder="1" applyAlignment="1"/>
    <xf numFmtId="0" fontId="7" fillId="0" borderId="16" xfId="3" applyFont="1" applyBorder="1" applyAlignment="1"/>
    <xf numFmtId="42" fontId="7" fillId="3" borderId="19" xfId="3" applyNumberFormat="1" applyFont="1" applyFill="1" applyBorder="1" applyAlignment="1"/>
    <xf numFmtId="0" fontId="7" fillId="0" borderId="17" xfId="3" applyFont="1" applyBorder="1" applyAlignment="1"/>
    <xf numFmtId="41" fontId="21" fillId="3" borderId="17" xfId="3" applyNumberFormat="1" applyFont="1" applyFill="1" applyBorder="1" applyAlignment="1"/>
    <xf numFmtId="0" fontId="7" fillId="3" borderId="7" xfId="3" applyFont="1" applyFill="1" applyBorder="1" applyAlignment="1"/>
    <xf numFmtId="0" fontId="26" fillId="3" borderId="8" xfId="3" applyFont="1" applyFill="1" applyBorder="1" applyAlignment="1"/>
    <xf numFmtId="0" fontId="7" fillId="3" borderId="9" xfId="3" applyFont="1" applyFill="1" applyBorder="1" applyAlignment="1"/>
    <xf numFmtId="3" fontId="7" fillId="3" borderId="11" xfId="3" applyNumberFormat="1" applyFont="1" applyFill="1" applyBorder="1" applyAlignment="1"/>
    <xf numFmtId="0" fontId="7" fillId="3" borderId="11" xfId="3" applyFont="1" applyFill="1" applyBorder="1" applyAlignment="1"/>
    <xf numFmtId="0" fontId="7" fillId="3" borderId="12" xfId="3" applyFont="1" applyFill="1" applyBorder="1" applyAlignment="1"/>
    <xf numFmtId="0" fontId="7" fillId="3" borderId="6" xfId="3" applyFont="1" applyFill="1" applyBorder="1" applyAlignment="1"/>
    <xf numFmtId="0" fontId="7" fillId="3" borderId="19" xfId="3" applyFont="1" applyFill="1" applyBorder="1" applyAlignment="1">
      <alignment horizontal="right"/>
    </xf>
    <xf numFmtId="0" fontId="7" fillId="3" borderId="17" xfId="3" applyFont="1" applyFill="1" applyBorder="1" applyAlignment="1">
      <alignment horizontal="right"/>
    </xf>
    <xf numFmtId="44" fontId="7" fillId="3" borderId="11" xfId="3" applyNumberFormat="1" applyFont="1" applyFill="1" applyBorder="1" applyAlignment="1"/>
    <xf numFmtId="41" fontId="7" fillId="0" borderId="0" xfId="3" applyNumberFormat="1" applyFont="1" applyFill="1" applyBorder="1" applyAlignment="1"/>
    <xf numFmtId="42" fontId="15" fillId="0" borderId="10" xfId="3" applyNumberFormat="1" applyFont="1" applyFill="1" applyBorder="1" applyAlignment="1"/>
    <xf numFmtId="42" fontId="21" fillId="3" borderId="8" xfId="3" applyNumberFormat="1" applyFont="1" applyFill="1" applyBorder="1" applyAlignment="1"/>
    <xf numFmtId="0" fontId="0" fillId="3" borderId="0" xfId="0" applyFill="1" applyBorder="1" applyAlignment="1">
      <alignment horizontal="centerContinuous"/>
    </xf>
    <xf numFmtId="165" fontId="20" fillId="3" borderId="0" xfId="0" applyNumberFormat="1" applyFont="1" applyFill="1" applyBorder="1"/>
    <xf numFmtId="0" fontId="11" fillId="3" borderId="6" xfId="0" applyFont="1" applyFill="1" applyBorder="1" applyAlignment="1">
      <alignment horizontal="center" vertical="center"/>
    </xf>
    <xf numFmtId="44" fontId="7" fillId="0" borderId="3" xfId="3" applyNumberFormat="1" applyFont="1" applyBorder="1" applyAlignment="1">
      <alignment horizontal="right"/>
    </xf>
    <xf numFmtId="0" fontId="7" fillId="3" borderId="0" xfId="3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center"/>
    </xf>
    <xf numFmtId="42" fontId="7" fillId="3" borderId="4" xfId="0" applyNumberFormat="1" applyFont="1" applyFill="1" applyBorder="1"/>
    <xf numFmtId="0" fontId="7" fillId="0" borderId="10" xfId="0" applyFont="1" applyFill="1" applyBorder="1"/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3" borderId="4" xfId="0" applyNumberFormat="1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center"/>
    </xf>
    <xf numFmtId="165" fontId="7" fillId="3" borderId="0" xfId="0" applyNumberFormat="1" applyFont="1" applyFill="1" applyBorder="1"/>
    <xf numFmtId="165" fontId="7" fillId="0" borderId="0" xfId="0" applyNumberFormat="1" applyFont="1" applyFill="1" applyBorder="1"/>
    <xf numFmtId="44" fontId="7" fillId="3" borderId="19" xfId="2" applyNumberFormat="1" applyFont="1" applyFill="1" applyBorder="1"/>
    <xf numFmtId="44" fontId="7" fillId="3" borderId="16" xfId="2" applyNumberFormat="1" applyFont="1" applyFill="1" applyBorder="1"/>
    <xf numFmtId="0" fontId="8" fillId="0" borderId="1" xfId="0" applyFont="1" applyFill="1" applyBorder="1"/>
    <xf numFmtId="0" fontId="8" fillId="0" borderId="2" xfId="0" applyFont="1" applyFill="1" applyBorder="1" applyAlignment="1">
      <alignment horizontal="center"/>
    </xf>
    <xf numFmtId="165" fontId="8" fillId="0" borderId="2" xfId="0" applyNumberFormat="1" applyFont="1" applyFill="1" applyBorder="1"/>
    <xf numFmtId="3" fontId="8" fillId="0" borderId="2" xfId="0" applyNumberFormat="1" applyFont="1" applyFill="1" applyBorder="1" applyAlignment="1">
      <alignment horizontal="center"/>
    </xf>
    <xf numFmtId="44" fontId="8" fillId="0" borderId="15" xfId="0" applyNumberFormat="1" applyFont="1" applyFill="1" applyBorder="1" applyAlignment="1">
      <alignment horizontal="center"/>
    </xf>
    <xf numFmtId="0" fontId="7" fillId="3" borderId="0" xfId="3" applyFont="1" applyFill="1" applyBorder="1" applyAlignment="1">
      <alignment vertical="center" wrapText="1"/>
    </xf>
    <xf numFmtId="0" fontId="24" fillId="3" borderId="10" xfId="0" applyFont="1" applyFill="1" applyBorder="1"/>
    <xf numFmtId="42" fontId="11" fillId="3" borderId="10" xfId="0" applyNumberFormat="1" applyFont="1" applyFill="1" applyBorder="1"/>
    <xf numFmtId="3" fontId="11" fillId="3" borderId="11" xfId="0" applyNumberFormat="1" applyFont="1" applyFill="1" applyBorder="1" applyAlignment="1">
      <alignment horizontal="center"/>
    </xf>
    <xf numFmtId="42" fontId="11" fillId="3" borderId="16" xfId="0" applyNumberFormat="1" applyFont="1" applyFill="1" applyBorder="1"/>
    <xf numFmtId="44" fontId="11" fillId="3" borderId="11" xfId="0" applyNumberFormat="1" applyFont="1" applyFill="1" applyBorder="1"/>
    <xf numFmtId="3" fontId="0" fillId="3" borderId="0" xfId="1" applyNumberFormat="1" applyFont="1" applyFill="1" applyBorder="1" applyAlignment="1">
      <alignment horizontal="center"/>
    </xf>
    <xf numFmtId="0" fontId="16" fillId="6" borderId="8" xfId="0" applyFont="1" applyFill="1" applyBorder="1" applyAlignment="1">
      <alignment horizontal="centerContinuous"/>
    </xf>
    <xf numFmtId="0" fontId="16" fillId="6" borderId="12" xfId="0" applyFont="1" applyFill="1" applyBorder="1" applyAlignment="1">
      <alignment horizontal="centerContinuous"/>
    </xf>
    <xf numFmtId="0" fontId="16" fillId="6" borderId="1" xfId="0" applyFont="1" applyFill="1" applyBorder="1" applyAlignment="1">
      <alignment horizontal="centerContinuous"/>
    </xf>
    <xf numFmtId="0" fontId="16" fillId="6" borderId="2" xfId="0" applyFont="1" applyFill="1" applyBorder="1" applyAlignment="1">
      <alignment horizontal="centerContinuous"/>
    </xf>
    <xf numFmtId="0" fontId="11" fillId="3" borderId="1" xfId="3" applyFont="1" applyFill="1" applyBorder="1" applyAlignment="1">
      <alignment horizontal="center"/>
    </xf>
    <xf numFmtId="0" fontId="11" fillId="3" borderId="2" xfId="3" applyFont="1" applyFill="1" applyBorder="1" applyAlignment="1">
      <alignment horizontal="center"/>
    </xf>
    <xf numFmtId="37" fontId="0" fillId="3" borderId="10" xfId="1" applyNumberFormat="1" applyFont="1" applyFill="1" applyBorder="1" applyAlignment="1">
      <alignment horizontal="center"/>
    </xf>
    <xf numFmtId="3" fontId="0" fillId="3" borderId="10" xfId="1" applyNumberFormat="1" applyFont="1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176" fontId="17" fillId="7" borderId="0" xfId="1" applyNumberFormat="1" applyFont="1" applyFill="1" applyBorder="1" applyAlignment="1">
      <alignment horizontal="center"/>
    </xf>
    <xf numFmtId="3" fontId="0" fillId="7" borderId="0" xfId="0" applyNumberFormat="1" applyFill="1" applyBorder="1"/>
    <xf numFmtId="3" fontId="0" fillId="7" borderId="10" xfId="0" applyNumberFormat="1" applyFill="1" applyBorder="1" applyAlignment="1">
      <alignment horizontal="center"/>
    </xf>
    <xf numFmtId="3" fontId="0" fillId="7" borderId="11" xfId="0" applyNumberFormat="1" applyFill="1" applyBorder="1" applyAlignment="1">
      <alignment horizontal="center"/>
    </xf>
    <xf numFmtId="37" fontId="0" fillId="7" borderId="10" xfId="1" applyNumberFormat="1" applyFont="1" applyFill="1" applyBorder="1" applyAlignment="1">
      <alignment horizontal="center"/>
    </xf>
    <xf numFmtId="3" fontId="0" fillId="7" borderId="11" xfId="0" applyNumberFormat="1" applyFill="1" applyBorder="1"/>
    <xf numFmtId="0" fontId="0" fillId="7" borderId="0" xfId="0" applyFill="1"/>
    <xf numFmtId="3" fontId="0" fillId="7" borderId="10" xfId="0" applyNumberFormat="1" applyFill="1" applyBorder="1"/>
    <xf numFmtId="0" fontId="0" fillId="7" borderId="10" xfId="0" applyFill="1" applyBorder="1"/>
    <xf numFmtId="3" fontId="0" fillId="8" borderId="0" xfId="0" applyNumberFormat="1" applyFill="1" applyBorder="1"/>
    <xf numFmtId="3" fontId="0" fillId="8" borderId="10" xfId="0" applyNumberFormat="1" applyFill="1" applyBorder="1"/>
    <xf numFmtId="3" fontId="0" fillId="8" borderId="11" xfId="0" applyNumberFormat="1" applyFill="1" applyBorder="1"/>
    <xf numFmtId="0" fontId="0" fillId="8" borderId="10" xfId="0" applyFill="1" applyBorder="1"/>
    <xf numFmtId="0" fontId="0" fillId="8" borderId="0" xfId="0" applyFill="1"/>
    <xf numFmtId="0" fontId="2" fillId="8" borderId="0" xfId="0" applyFont="1" applyFill="1" applyBorder="1" applyAlignment="1">
      <alignment horizontal="center"/>
    </xf>
    <xf numFmtId="176" fontId="17" fillId="8" borderId="0" xfId="1" applyNumberFormat="1" applyFont="1" applyFill="1" applyBorder="1" applyAlignment="1">
      <alignment horizontal="center"/>
    </xf>
    <xf numFmtId="3" fontId="0" fillId="8" borderId="10" xfId="0" applyNumberFormat="1" applyFill="1" applyBorder="1" applyAlignment="1">
      <alignment horizontal="center"/>
    </xf>
    <xf numFmtId="3" fontId="0" fillId="8" borderId="11" xfId="0" applyNumberFormat="1" applyFill="1" applyBorder="1" applyAlignment="1">
      <alignment horizontal="center"/>
    </xf>
    <xf numFmtId="37" fontId="0" fillId="8" borderId="10" xfId="1" applyNumberFormat="1" applyFont="1" applyFill="1" applyBorder="1" applyAlignment="1">
      <alignment horizontal="center"/>
    </xf>
    <xf numFmtId="0" fontId="38" fillId="8" borderId="10" xfId="0" applyFont="1" applyFill="1" applyBorder="1"/>
    <xf numFmtId="0" fontId="0" fillId="8" borderId="0" xfId="0" applyFill="1" applyBorder="1" applyAlignment="1">
      <alignment horizontal="center"/>
    </xf>
    <xf numFmtId="176" fontId="0" fillId="8" borderId="0" xfId="1" applyNumberFormat="1" applyFont="1" applyFill="1" applyBorder="1" applyAlignment="1">
      <alignment horizontal="center"/>
    </xf>
    <xf numFmtId="3" fontId="0" fillId="8" borderId="0" xfId="0" applyNumberFormat="1" applyFill="1" applyBorder="1" applyAlignment="1">
      <alignment horizontal="center"/>
    </xf>
    <xf numFmtId="0" fontId="13" fillId="9" borderId="10" xfId="0" applyFont="1" applyFill="1" applyBorder="1"/>
    <xf numFmtId="0" fontId="0" fillId="9" borderId="0" xfId="0" applyFill="1" applyBorder="1"/>
    <xf numFmtId="3" fontId="0" fillId="9" borderId="0" xfId="0" applyNumberFormat="1" applyFill="1" applyBorder="1"/>
    <xf numFmtId="3" fontId="0" fillId="9" borderId="10" xfId="0" applyNumberFormat="1" applyFill="1" applyBorder="1"/>
    <xf numFmtId="3" fontId="0" fillId="9" borderId="11" xfId="0" applyNumberFormat="1" applyFill="1" applyBorder="1"/>
    <xf numFmtId="0" fontId="0" fillId="9" borderId="10" xfId="0" applyFill="1" applyBorder="1"/>
    <xf numFmtId="0" fontId="0" fillId="9" borderId="0" xfId="0" applyFill="1"/>
    <xf numFmtId="0" fontId="0" fillId="9" borderId="0" xfId="0" applyFill="1" applyBorder="1" applyAlignment="1">
      <alignment horizontal="center"/>
    </xf>
    <xf numFmtId="176" fontId="0" fillId="9" borderId="0" xfId="1" applyNumberFormat="1" applyFont="1" applyFill="1" applyBorder="1" applyAlignment="1">
      <alignment horizontal="center"/>
    </xf>
    <xf numFmtId="0" fontId="11" fillId="7" borderId="10" xfId="0" applyFont="1" applyFill="1" applyBorder="1"/>
    <xf numFmtId="3" fontId="0" fillId="7" borderId="0" xfId="0" applyNumberFormat="1" applyFill="1" applyBorder="1" applyAlignment="1">
      <alignment horizontal="center"/>
    </xf>
    <xf numFmtId="176" fontId="2" fillId="3" borderId="0" xfId="0" applyNumberFormat="1" applyFont="1" applyFill="1" applyBorder="1"/>
    <xf numFmtId="176" fontId="17" fillId="3" borderId="4" xfId="1" applyNumberFormat="1" applyFont="1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176" fontId="2" fillId="3" borderId="11" xfId="0" applyNumberFormat="1" applyFont="1" applyFill="1" applyBorder="1"/>
    <xf numFmtId="0" fontId="11" fillId="3" borderId="2" xfId="3" applyFont="1" applyFill="1" applyBorder="1" applyAlignment="1">
      <alignment horizontal="center"/>
    </xf>
    <xf numFmtId="44" fontId="17" fillId="3" borderId="11" xfId="2" applyFont="1" applyFill="1" applyBorder="1" applyAlignment="1">
      <alignment horizontal="center"/>
    </xf>
    <xf numFmtId="42" fontId="20" fillId="3" borderId="8" xfId="0" applyNumberFormat="1" applyFont="1" applyFill="1" applyBorder="1"/>
    <xf numFmtId="42" fontId="20" fillId="3" borderId="4" xfId="0" applyNumberFormat="1" applyFont="1" applyFill="1" applyBorder="1"/>
    <xf numFmtId="42" fontId="20" fillId="3" borderId="9" xfId="0" applyNumberFormat="1" applyFont="1" applyFill="1" applyBorder="1"/>
    <xf numFmtId="42" fontId="20" fillId="3" borderId="16" xfId="2" applyNumberFormat="1" applyFont="1" applyFill="1" applyBorder="1" applyAlignment="1">
      <alignment horizontal="right"/>
    </xf>
    <xf numFmtId="42" fontId="20" fillId="3" borderId="10" xfId="2" applyNumberFormat="1" applyFont="1" applyFill="1" applyBorder="1" applyAlignment="1">
      <alignment horizontal="right"/>
    </xf>
    <xf numFmtId="42" fontId="20" fillId="3" borderId="0" xfId="2" applyNumberFormat="1" applyFont="1" applyFill="1" applyBorder="1" applyAlignment="1">
      <alignment horizontal="right"/>
    </xf>
    <xf numFmtId="42" fontId="20" fillId="3" borderId="11" xfId="2" applyNumberFormat="1" applyFont="1" applyFill="1" applyBorder="1" applyAlignment="1">
      <alignment horizontal="right"/>
    </xf>
    <xf numFmtId="42" fontId="11" fillId="3" borderId="10" xfId="0" applyNumberFormat="1" applyFont="1" applyFill="1" applyBorder="1" applyAlignment="1">
      <alignment horizontal="left"/>
    </xf>
    <xf numFmtId="42" fontId="11" fillId="3" borderId="0" xfId="0" applyNumberFormat="1" applyFont="1" applyFill="1" applyBorder="1" applyAlignment="1">
      <alignment horizontal="left"/>
    </xf>
    <xf numFmtId="42" fontId="11" fillId="3" borderId="1" xfId="0" applyNumberFormat="1" applyFont="1" applyFill="1" applyBorder="1" applyAlignment="1">
      <alignment horizontal="left"/>
    </xf>
    <xf numFmtId="42" fontId="11" fillId="3" borderId="2" xfId="0" applyNumberFormat="1" applyFont="1" applyFill="1" applyBorder="1" applyAlignment="1">
      <alignment horizontal="left"/>
    </xf>
    <xf numFmtId="42" fontId="11" fillId="3" borderId="3" xfId="0" applyNumberFormat="1" applyFont="1" applyFill="1" applyBorder="1" applyAlignment="1">
      <alignment horizontal="left"/>
    </xf>
    <xf numFmtId="42" fontId="11" fillId="3" borderId="11" xfId="0" applyNumberFormat="1" applyFont="1" applyFill="1" applyBorder="1" applyAlignment="1">
      <alignment horizontal="left"/>
    </xf>
    <xf numFmtId="42" fontId="2" fillId="3" borderId="7" xfId="0" applyNumberFormat="1" applyFont="1" applyFill="1" applyBorder="1"/>
    <xf numFmtId="44" fontId="16" fillId="6" borderId="1" xfId="0" applyNumberFormat="1" applyFont="1" applyFill="1" applyBorder="1" applyAlignment="1">
      <alignment horizontal="centerContinuous"/>
    </xf>
    <xf numFmtId="44" fontId="18" fillId="6" borderId="2" xfId="0" applyNumberFormat="1" applyFont="1" applyFill="1" applyBorder="1" applyAlignment="1">
      <alignment horizontal="centerContinuous"/>
    </xf>
    <xf numFmtId="0" fontId="2" fillId="6" borderId="2" xfId="0" applyFont="1" applyFill="1" applyBorder="1" applyAlignment="1">
      <alignment horizontal="centerContinuous"/>
    </xf>
    <xf numFmtId="44" fontId="18" fillId="6" borderId="3" xfId="0" applyNumberFormat="1" applyFont="1" applyFill="1" applyBorder="1" applyAlignment="1">
      <alignment horizontal="centerContinuous"/>
    </xf>
    <xf numFmtId="0" fontId="11" fillId="3" borderId="8" xfId="0" applyFont="1" applyFill="1" applyBorder="1" applyAlignment="1">
      <alignment horizontal="left" vertical="center"/>
    </xf>
    <xf numFmtId="0" fontId="19" fillId="3" borderId="9" xfId="0" applyFont="1" applyFill="1" applyBorder="1" applyAlignment="1">
      <alignment horizontal="center" vertical="center"/>
    </xf>
    <xf numFmtId="0" fontId="18" fillId="6" borderId="4" xfId="3" applyFont="1" applyFill="1" applyBorder="1" applyAlignment="1">
      <alignment horizontal="centerContinuous"/>
    </xf>
    <xf numFmtId="6" fontId="18" fillId="6" borderId="6" xfId="3" applyNumberFormat="1" applyFont="1" applyFill="1" applyBorder="1" applyAlignment="1">
      <alignment horizontal="centerContinuous"/>
    </xf>
    <xf numFmtId="0" fontId="18" fillId="6" borderId="6" xfId="3" applyFont="1" applyFill="1" applyBorder="1" applyAlignment="1">
      <alignment horizontal="centerContinuous"/>
    </xf>
    <xf numFmtId="0" fontId="19" fillId="6" borderId="9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1" fillId="6" borderId="0" xfId="0" applyFont="1" applyFill="1" applyBorder="1"/>
    <xf numFmtId="0" fontId="2" fillId="6" borderId="0" xfId="0" applyFont="1" applyFill="1" applyBorder="1"/>
    <xf numFmtId="44" fontId="15" fillId="0" borderId="0" xfId="2" applyNumberFormat="1" applyFont="1" applyBorder="1" applyAlignment="1"/>
    <xf numFmtId="44" fontId="15" fillId="0" borderId="6" xfId="2" applyNumberFormat="1" applyFont="1" applyBorder="1" applyAlignment="1"/>
    <xf numFmtId="44" fontId="7" fillId="0" borderId="16" xfId="2" applyFont="1" applyBorder="1" applyAlignment="1"/>
    <xf numFmtId="44" fontId="7" fillId="0" borderId="17" xfId="2" applyFont="1" applyBorder="1" applyAlignment="1"/>
    <xf numFmtId="44" fontId="7" fillId="0" borderId="0" xfId="3" applyNumberFormat="1" applyFont="1" applyBorder="1" applyAlignment="1"/>
    <xf numFmtId="0" fontId="7" fillId="3" borderId="1" xfId="3" applyFont="1" applyFill="1" applyBorder="1" applyAlignment="1"/>
    <xf numFmtId="44" fontId="7" fillId="0" borderId="9" xfId="3" applyNumberFormat="1" applyFont="1" applyBorder="1" applyAlignment="1"/>
    <xf numFmtId="44" fontId="7" fillId="0" borderId="7" xfId="3" applyNumberFormat="1" applyFont="1" applyBorder="1" applyAlignment="1"/>
    <xf numFmtId="42" fontId="21" fillId="3" borderId="19" xfId="3" applyNumberFormat="1" applyFont="1" applyFill="1" applyBorder="1" applyAlignment="1"/>
    <xf numFmtId="41" fontId="21" fillId="3" borderId="16" xfId="3" applyNumberFormat="1" applyFont="1" applyFill="1" applyBorder="1" applyAlignment="1"/>
    <xf numFmtId="42" fontId="8" fillId="3" borderId="16" xfId="3" applyNumberFormat="1" applyFont="1" applyFill="1" applyBorder="1" applyAlignment="1"/>
    <xf numFmtId="0" fontId="2" fillId="2" borderId="0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3" fontId="40" fillId="3" borderId="3" xfId="0" applyNumberFormat="1" applyFont="1" applyFill="1" applyBorder="1" applyAlignment="1">
      <alignment horizontal="center"/>
    </xf>
    <xf numFmtId="0" fontId="2" fillId="6" borderId="3" xfId="0" applyFont="1" applyFill="1" applyBorder="1" applyAlignment="1">
      <alignment horizontal="centerContinuous"/>
    </xf>
    <xf numFmtId="0" fontId="16" fillId="6" borderId="3" xfId="0" applyFont="1" applyFill="1" applyBorder="1" applyAlignment="1">
      <alignment horizontal="centerContinuous"/>
    </xf>
    <xf numFmtId="176" fontId="0" fillId="3" borderId="15" xfId="0" applyNumberFormat="1" applyFill="1" applyBorder="1"/>
    <xf numFmtId="44" fontId="17" fillId="0" borderId="10" xfId="2" applyFont="1" applyFill="1" applyBorder="1" applyAlignment="1">
      <alignment horizontal="center"/>
    </xf>
    <xf numFmtId="44" fontId="17" fillId="3" borderId="10" xfId="2" applyFont="1" applyFill="1" applyBorder="1" applyAlignment="1">
      <alignment horizontal="center"/>
    </xf>
    <xf numFmtId="44" fontId="17" fillId="3" borderId="12" xfId="2" applyFont="1" applyFill="1" applyBorder="1" applyAlignment="1">
      <alignment horizontal="center"/>
    </xf>
    <xf numFmtId="44" fontId="7" fillId="0" borderId="0" xfId="3" applyNumberFormat="1" applyFont="1" applyBorder="1" applyAlignment="1">
      <alignment horizontal="right"/>
    </xf>
    <xf numFmtId="41" fontId="20" fillId="3" borderId="13" xfId="0" applyNumberFormat="1" applyFont="1" applyFill="1" applyBorder="1" applyAlignment="1">
      <alignment horizontal="center"/>
    </xf>
    <xf numFmtId="10" fontId="17" fillId="5" borderId="10" xfId="0" applyNumberFormat="1" applyFont="1" applyFill="1" applyBorder="1" applyAlignment="1">
      <alignment horizontal="center"/>
    </xf>
    <xf numFmtId="0" fontId="17" fillId="5" borderId="1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3" fontId="20" fillId="3" borderId="6" xfId="0" applyNumberFormat="1" applyFont="1" applyFill="1" applyBorder="1" applyAlignment="1">
      <alignment horizontal="center"/>
    </xf>
    <xf numFmtId="3" fontId="2" fillId="3" borderId="7" xfId="0" applyNumberFormat="1" applyFont="1" applyFill="1" applyBorder="1" applyAlignment="1">
      <alignment horizontal="center"/>
    </xf>
    <xf numFmtId="44" fontId="2" fillId="3" borderId="10" xfId="2" applyFont="1" applyFill="1" applyBorder="1" applyAlignment="1">
      <alignment horizontal="center"/>
    </xf>
    <xf numFmtId="44" fontId="2" fillId="3" borderId="13" xfId="2" applyFont="1" applyFill="1" applyBorder="1" applyAlignment="1">
      <alignment horizontal="center"/>
    </xf>
    <xf numFmtId="165" fontId="2" fillId="3" borderId="10" xfId="2" applyNumberFormat="1" applyFont="1" applyFill="1" applyBorder="1" applyAlignment="1">
      <alignment horizontal="center"/>
    </xf>
    <xf numFmtId="165" fontId="2" fillId="3" borderId="11" xfId="2" applyNumberFormat="1" applyFont="1" applyFill="1" applyBorder="1" applyAlignment="1">
      <alignment horizontal="center"/>
    </xf>
    <xf numFmtId="165" fontId="2" fillId="3" borderId="0" xfId="2" applyNumberFormat="1" applyFont="1" applyFill="1" applyBorder="1" applyAlignment="1">
      <alignment horizontal="center"/>
    </xf>
    <xf numFmtId="165" fontId="2" fillId="3" borderId="13" xfId="2" applyNumberFormat="1" applyFont="1" applyFill="1" applyBorder="1" applyAlignment="1">
      <alignment horizontal="center"/>
    </xf>
    <xf numFmtId="165" fontId="2" fillId="3" borderId="14" xfId="2" applyNumberFormat="1" applyFont="1" applyFill="1" applyBorder="1" applyAlignment="1">
      <alignment horizontal="center"/>
    </xf>
    <xf numFmtId="165" fontId="2" fillId="3" borderId="5" xfId="2" applyNumberFormat="1" applyFont="1" applyFill="1" applyBorder="1" applyAlignment="1">
      <alignment horizontal="center"/>
    </xf>
    <xf numFmtId="9" fontId="11" fillId="3" borderId="15" xfId="0" applyNumberFormat="1" applyFont="1" applyFill="1" applyBorder="1" applyAlignment="1">
      <alignment horizontal="center"/>
    </xf>
    <xf numFmtId="165" fontId="11" fillId="3" borderId="17" xfId="0" applyNumberFormat="1" applyFont="1" applyFill="1" applyBorder="1" applyAlignment="1">
      <alignment horizontal="center"/>
    </xf>
    <xf numFmtId="165" fontId="11" fillId="3" borderId="12" xfId="0" applyNumberFormat="1" applyFont="1" applyFill="1" applyBorder="1" applyAlignment="1">
      <alignment horizontal="center"/>
    </xf>
    <xf numFmtId="165" fontId="11" fillId="3" borderId="6" xfId="0" applyNumberFormat="1" applyFont="1" applyFill="1" applyBorder="1" applyAlignment="1">
      <alignment horizontal="center"/>
    </xf>
    <xf numFmtId="165" fontId="11" fillId="3" borderId="7" xfId="0" applyNumberFormat="1" applyFont="1" applyFill="1" applyBorder="1" applyAlignment="1">
      <alignment horizontal="center"/>
    </xf>
    <xf numFmtId="0" fontId="11" fillId="5" borderId="1" xfId="0" applyFont="1" applyFill="1" applyBorder="1"/>
    <xf numFmtId="3" fontId="20" fillId="3" borderId="2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/>
    </xf>
    <xf numFmtId="41" fontId="2" fillId="3" borderId="13" xfId="0" applyNumberFormat="1" applyFont="1" applyFill="1" applyBorder="1" applyAlignment="1">
      <alignment horizontal="center" wrapText="1"/>
    </xf>
    <xf numFmtId="41" fontId="2" fillId="3" borderId="14" xfId="0" applyNumberFormat="1" applyFont="1" applyFill="1" applyBorder="1" applyAlignment="1">
      <alignment horizontal="center" wrapText="1"/>
    </xf>
    <xf numFmtId="41" fontId="2" fillId="3" borderId="5" xfId="0" applyNumberFormat="1" applyFont="1" applyFill="1" applyBorder="1" applyAlignment="1">
      <alignment horizontal="center" wrapText="1"/>
    </xf>
    <xf numFmtId="41" fontId="20" fillId="3" borderId="12" xfId="0" applyNumberFormat="1" applyFont="1" applyFill="1" applyBorder="1" applyAlignment="1">
      <alignment horizontal="right"/>
    </xf>
    <xf numFmtId="41" fontId="20" fillId="3" borderId="6" xfId="0" applyNumberFormat="1" applyFont="1" applyFill="1" applyBorder="1" applyAlignment="1">
      <alignment horizontal="right"/>
    </xf>
    <xf numFmtId="41" fontId="20" fillId="3" borderId="7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center"/>
    </xf>
    <xf numFmtId="0" fontId="7" fillId="0" borderId="8" xfId="3" applyFont="1" applyFill="1" applyBorder="1" applyAlignment="1"/>
    <xf numFmtId="10" fontId="7" fillId="0" borderId="7" xfId="3" applyNumberFormat="1" applyFont="1" applyBorder="1" applyAlignment="1">
      <alignment horizontal="right"/>
    </xf>
    <xf numFmtId="6" fontId="11" fillId="3" borderId="19" xfId="0" applyNumberFormat="1" applyFont="1" applyFill="1" applyBorder="1" applyAlignment="1">
      <alignment horizontal="center"/>
    </xf>
    <xf numFmtId="3" fontId="17" fillId="3" borderId="4" xfId="0" applyNumberFormat="1" applyFont="1" applyFill="1" applyBorder="1" applyAlignment="1">
      <alignment horizontal="center"/>
    </xf>
    <xf numFmtId="176" fontId="2" fillId="3" borderId="6" xfId="0" applyNumberFormat="1" applyFont="1" applyFill="1" applyBorder="1"/>
    <xf numFmtId="176" fontId="2" fillId="3" borderId="7" xfId="0" applyNumberFormat="1" applyFont="1" applyFill="1" applyBorder="1"/>
    <xf numFmtId="1" fontId="2" fillId="3" borderId="2" xfId="0" applyNumberFormat="1" applyFont="1" applyFill="1" applyBorder="1" applyAlignment="1">
      <alignment horizontal="center"/>
    </xf>
    <xf numFmtId="3" fontId="20" fillId="3" borderId="3" xfId="0" applyNumberFormat="1" applyFont="1" applyFill="1" applyBorder="1" applyAlignment="1">
      <alignment horizontal="center"/>
    </xf>
    <xf numFmtId="0" fontId="11" fillId="3" borderId="12" xfId="0" applyFont="1" applyFill="1" applyBorder="1" applyAlignment="1">
      <alignment horizontal="left"/>
    </xf>
    <xf numFmtId="0" fontId="11" fillId="3" borderId="1" xfId="3" applyFont="1" applyFill="1" applyBorder="1" applyAlignment="1">
      <alignment horizontal="center"/>
    </xf>
    <xf numFmtId="0" fontId="11" fillId="3" borderId="2" xfId="3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44" fontId="22" fillId="0" borderId="16" xfId="0" applyNumberFormat="1" applyFont="1" applyFill="1" applyBorder="1" applyAlignment="1">
      <alignment horizontal="center"/>
    </xf>
    <xf numFmtId="0" fontId="4" fillId="3" borderId="6" xfId="0" applyFont="1" applyFill="1" applyBorder="1"/>
    <xf numFmtId="37" fontId="17" fillId="3" borderId="0" xfId="1" applyNumberFormat="1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42" fontId="11" fillId="3" borderId="6" xfId="0" applyNumberFormat="1" applyFont="1" applyFill="1" applyBorder="1" applyAlignment="1">
      <alignment horizontal="left"/>
    </xf>
    <xf numFmtId="9" fontId="17" fillId="3" borderId="7" xfId="0" applyNumberFormat="1" applyFont="1" applyFill="1" applyBorder="1" applyAlignment="1">
      <alignment horizontal="right"/>
    </xf>
    <xf numFmtId="0" fontId="16" fillId="3" borderId="0" xfId="0" applyFont="1" applyFill="1" applyBorder="1" applyAlignment="1">
      <alignment horizontal="centerContinuous"/>
    </xf>
    <xf numFmtId="41" fontId="17" fillId="3" borderId="0" xfId="0" applyNumberFormat="1" applyFont="1" applyFill="1" applyBorder="1"/>
    <xf numFmtId="44" fontId="17" fillId="3" borderId="0" xfId="0" applyNumberFormat="1" applyFont="1" applyFill="1" applyBorder="1"/>
    <xf numFmtId="10" fontId="2" fillId="3" borderId="0" xfId="0" applyNumberFormat="1" applyFont="1" applyFill="1" applyBorder="1"/>
    <xf numFmtId="10" fontId="17" fillId="3" borderId="0" xfId="0" applyNumberFormat="1" applyFont="1" applyFill="1" applyBorder="1"/>
    <xf numFmtId="44" fontId="0" fillId="3" borderId="16" xfId="2" applyFont="1" applyFill="1" applyBorder="1"/>
    <xf numFmtId="9" fontId="2" fillId="3" borderId="1" xfId="0" applyNumberFormat="1" applyFont="1" applyFill="1" applyBorder="1" applyAlignment="1">
      <alignment horizontal="center"/>
    </xf>
    <xf numFmtId="168" fontId="8" fillId="3" borderId="6" xfId="3" applyNumberFormat="1" applyFont="1" applyFill="1" applyBorder="1" applyAlignment="1">
      <alignment horizontal="center"/>
    </xf>
    <xf numFmtId="3" fontId="8" fillId="3" borderId="0" xfId="3" applyNumberFormat="1" applyFont="1" applyFill="1" applyBorder="1" applyAlignment="1">
      <alignment horizontal="center"/>
    </xf>
    <xf numFmtId="3" fontId="7" fillId="3" borderId="6" xfId="3" applyNumberFormat="1" applyFont="1" applyFill="1" applyBorder="1" applyAlignment="1">
      <alignment horizontal="center"/>
    </xf>
    <xf numFmtId="0" fontId="7" fillId="2" borderId="6" xfId="3" applyFont="1" applyFill="1" applyBorder="1" applyAlignment="1"/>
    <xf numFmtId="0" fontId="16" fillId="12" borderId="8" xfId="0" applyFont="1" applyFill="1" applyBorder="1" applyAlignment="1">
      <alignment horizontal="centerContinuous"/>
    </xf>
    <xf numFmtId="0" fontId="16" fillId="12" borderId="4" xfId="0" applyFont="1" applyFill="1" applyBorder="1" applyAlignment="1">
      <alignment horizontal="centerContinuous"/>
    </xf>
    <xf numFmtId="0" fontId="16" fillId="12" borderId="9" xfId="0" applyFont="1" applyFill="1" applyBorder="1" applyAlignment="1">
      <alignment horizontal="centerContinuous"/>
    </xf>
    <xf numFmtId="0" fontId="16" fillId="12" borderId="12" xfId="0" applyFont="1" applyFill="1" applyBorder="1" applyAlignment="1">
      <alignment horizontal="centerContinuous"/>
    </xf>
    <xf numFmtId="0" fontId="16" fillId="12" borderId="6" xfId="0" applyFont="1" applyFill="1" applyBorder="1" applyAlignment="1">
      <alignment horizontal="centerContinuous"/>
    </xf>
    <xf numFmtId="0" fontId="16" fillId="12" borderId="0" xfId="0" applyFont="1" applyFill="1" applyBorder="1" applyAlignment="1">
      <alignment horizontal="centerContinuous"/>
    </xf>
    <xf numFmtId="0" fontId="16" fillId="12" borderId="7" xfId="0" applyFont="1" applyFill="1" applyBorder="1" applyAlignment="1">
      <alignment horizontal="centerContinuous"/>
    </xf>
    <xf numFmtId="0" fontId="2" fillId="12" borderId="4" xfId="0" applyFont="1" applyFill="1" applyBorder="1" applyAlignment="1">
      <alignment horizontal="centerContinuous"/>
    </xf>
    <xf numFmtId="0" fontId="2" fillId="12" borderId="9" xfId="0" applyFont="1" applyFill="1" applyBorder="1" applyAlignment="1">
      <alignment horizontal="centerContinuous"/>
    </xf>
    <xf numFmtId="0" fontId="2" fillId="12" borderId="6" xfId="0" applyFont="1" applyFill="1" applyBorder="1" applyAlignment="1">
      <alignment horizontal="centerContinuous"/>
    </xf>
    <xf numFmtId="0" fontId="2" fillId="12" borderId="7" xfId="0" applyFont="1" applyFill="1" applyBorder="1" applyAlignment="1">
      <alignment horizontal="centerContinuous"/>
    </xf>
    <xf numFmtId="0" fontId="2" fillId="10" borderId="2" xfId="3" applyFont="1" applyFill="1" applyBorder="1" applyAlignment="1">
      <alignment horizontal="centerContinuous"/>
    </xf>
    <xf numFmtId="0" fontId="2" fillId="10" borderId="3" xfId="3" applyFont="1" applyFill="1" applyBorder="1" applyAlignment="1">
      <alignment horizontal="centerContinuous"/>
    </xf>
    <xf numFmtId="0" fontId="16" fillId="10" borderId="2" xfId="3" applyFont="1" applyFill="1" applyBorder="1" applyAlignment="1">
      <alignment horizontal="centerContinuous"/>
    </xf>
    <xf numFmtId="0" fontId="16" fillId="10" borderId="1" xfId="3" applyFont="1" applyFill="1" applyBorder="1" applyAlignment="1">
      <alignment horizontal="centerContinuous"/>
    </xf>
    <xf numFmtId="176" fontId="2" fillId="3" borderId="11" xfId="1" applyNumberFormat="1" applyFont="1" applyFill="1" applyBorder="1" applyAlignment="1">
      <alignment horizontal="right"/>
    </xf>
    <xf numFmtId="1" fontId="21" fillId="3" borderId="11" xfId="3" applyNumberFormat="1" applyFont="1" applyFill="1" applyBorder="1" applyAlignment="1">
      <alignment horizontal="center"/>
    </xf>
    <xf numFmtId="3" fontId="7" fillId="3" borderId="12" xfId="3" applyNumberFormat="1" applyFont="1" applyFill="1" applyBorder="1" applyAlignment="1">
      <alignment horizontal="center"/>
    </xf>
    <xf numFmtId="3" fontId="7" fillId="3" borderId="7" xfId="3" applyNumberFormat="1" applyFont="1" applyFill="1" applyBorder="1" applyAlignment="1">
      <alignment horizontal="center"/>
    </xf>
    <xf numFmtId="176" fontId="2" fillId="3" borderId="0" xfId="1" applyNumberFormat="1" applyFont="1" applyFill="1"/>
    <xf numFmtId="42" fontId="2" fillId="3" borderId="19" xfId="3" applyNumberFormat="1" applyFont="1" applyFill="1" applyBorder="1"/>
    <xf numFmtId="41" fontId="20" fillId="3" borderId="16" xfId="3" applyNumberFormat="1" applyFont="1" applyFill="1" applyBorder="1"/>
    <xf numFmtId="41" fontId="2" fillId="3" borderId="17" xfId="3" applyNumberFormat="1" applyFont="1" applyFill="1" applyBorder="1"/>
    <xf numFmtId="0" fontId="5" fillId="12" borderId="1" xfId="3" applyFont="1" applyFill="1" applyBorder="1" applyAlignment="1">
      <alignment horizontal="left"/>
    </xf>
    <xf numFmtId="0" fontId="5" fillId="12" borderId="2" xfId="3" applyFont="1" applyFill="1" applyBorder="1" applyAlignment="1">
      <alignment horizontal="left"/>
    </xf>
    <xf numFmtId="0" fontId="5" fillId="12" borderId="3" xfId="3" applyFont="1" applyFill="1" applyBorder="1" applyAlignment="1">
      <alignment horizontal="left"/>
    </xf>
    <xf numFmtId="41" fontId="21" fillId="3" borderId="22" xfId="3" applyNumberFormat="1" applyFont="1" applyFill="1" applyBorder="1" applyAlignment="1"/>
    <xf numFmtId="42" fontId="8" fillId="3" borderId="2" xfId="3" applyNumberFormat="1" applyFont="1" applyFill="1" applyBorder="1" applyAlignment="1">
      <alignment horizontal="center"/>
    </xf>
    <xf numFmtId="42" fontId="8" fillId="3" borderId="3" xfId="3" applyNumberFormat="1" applyFont="1" applyFill="1" applyBorder="1" applyAlignment="1">
      <alignment horizontal="center"/>
    </xf>
    <xf numFmtId="41" fontId="21" fillId="3" borderId="6" xfId="3" applyNumberFormat="1" applyFont="1" applyFill="1" applyBorder="1" applyAlignment="1">
      <alignment horizontal="center"/>
    </xf>
    <xf numFmtId="41" fontId="21" fillId="3" borderId="6" xfId="3" applyNumberFormat="1" applyFont="1" applyFill="1" applyBorder="1" applyAlignment="1"/>
    <xf numFmtId="41" fontId="21" fillId="3" borderId="7" xfId="3" applyNumberFormat="1" applyFont="1" applyFill="1" applyBorder="1" applyAlignment="1"/>
    <xf numFmtId="44" fontId="15" fillId="3" borderId="4" xfId="2" applyNumberFormat="1" applyFont="1" applyFill="1" applyBorder="1" applyAlignment="1">
      <alignment horizontal="center"/>
    </xf>
    <xf numFmtId="43" fontId="7" fillId="0" borderId="4" xfId="3" applyNumberFormat="1" applyFont="1" applyBorder="1" applyAlignment="1">
      <alignment horizontal="center"/>
    </xf>
    <xf numFmtId="43" fontId="7" fillId="0" borderId="4" xfId="3" applyNumberFormat="1" applyFont="1" applyBorder="1" applyAlignment="1"/>
    <xf numFmtId="44" fontId="7" fillId="0" borderId="19" xfId="2" applyFont="1" applyBorder="1" applyAlignment="1"/>
    <xf numFmtId="44" fontId="17" fillId="3" borderId="11" xfId="0" applyNumberFormat="1" applyFont="1" applyFill="1" applyBorder="1" applyAlignment="1">
      <alignment horizontal="right"/>
    </xf>
    <xf numFmtId="10" fontId="7" fillId="0" borderId="6" xfId="3" applyNumberFormat="1" applyFont="1" applyFill="1" applyBorder="1" applyAlignment="1"/>
    <xf numFmtId="10" fontId="7" fillId="0" borderId="4" xfId="3" applyNumberFormat="1" applyFont="1" applyBorder="1" applyAlignment="1"/>
    <xf numFmtId="0" fontId="2" fillId="2" borderId="12" xfId="0" applyFont="1" applyFill="1" applyBorder="1" applyAlignment="1">
      <alignment horizontal="right"/>
    </xf>
    <xf numFmtId="177" fontId="17" fillId="3" borderId="11" xfId="0" applyNumberFormat="1" applyFont="1" applyFill="1" applyBorder="1" applyAlignment="1">
      <alignment horizontal="right"/>
    </xf>
    <xf numFmtId="41" fontId="17" fillId="3" borderId="14" xfId="3" applyNumberFormat="1" applyFont="1" applyFill="1" applyBorder="1"/>
    <xf numFmtId="0" fontId="2" fillId="3" borderId="4" xfId="3" applyFont="1" applyFill="1" applyBorder="1"/>
    <xf numFmtId="0" fontId="11" fillId="3" borderId="9" xfId="3" applyFont="1" applyFill="1" applyBorder="1" applyAlignment="1">
      <alignment horizontal="center"/>
    </xf>
    <xf numFmtId="42" fontId="2" fillId="3" borderId="0" xfId="0" applyNumberFormat="1" applyFont="1" applyFill="1"/>
    <xf numFmtId="42" fontId="11" fillId="3" borderId="0" xfId="3" applyNumberFormat="1" applyFont="1" applyFill="1" applyBorder="1" applyAlignment="1">
      <alignment horizontal="center"/>
    </xf>
    <xf numFmtId="42" fontId="7" fillId="0" borderId="4" xfId="3" applyNumberFormat="1" applyFont="1" applyFill="1" applyBorder="1" applyAlignment="1"/>
    <xf numFmtId="9" fontId="0" fillId="3" borderId="0" xfId="4" applyFont="1" applyFill="1" applyBorder="1"/>
    <xf numFmtId="176" fontId="0" fillId="3" borderId="0" xfId="0" applyNumberFormat="1" applyFill="1"/>
    <xf numFmtId="176" fontId="0" fillId="3" borderId="0" xfId="4" applyNumberFormat="1" applyFont="1" applyFill="1" applyBorder="1"/>
    <xf numFmtId="0" fontId="7" fillId="0" borderId="12" xfId="3" applyFont="1" applyBorder="1" applyAlignment="1">
      <alignment horizontal="center"/>
    </xf>
    <xf numFmtId="0" fontId="8" fillId="0" borderId="9" xfId="3" applyFont="1" applyBorder="1" applyAlignment="1">
      <alignment horizontal="center"/>
    </xf>
    <xf numFmtId="0" fontId="8" fillId="0" borderId="7" xfId="3" applyFont="1" applyBorder="1" applyAlignment="1">
      <alignment horizontal="center"/>
    </xf>
    <xf numFmtId="10" fontId="17" fillId="3" borderId="0" xfId="3" applyNumberFormat="1" applyFont="1" applyFill="1" applyBorder="1" applyAlignment="1">
      <alignment horizontal="centerContinuous"/>
    </xf>
    <xf numFmtId="0" fontId="2" fillId="3" borderId="1" xfId="3" applyFont="1" applyFill="1" applyBorder="1"/>
    <xf numFmtId="10" fontId="17" fillId="3" borderId="3" xfId="3" applyNumberFormat="1" applyFont="1" applyFill="1" applyBorder="1" applyAlignment="1">
      <alignment horizontal="centerContinuous"/>
    </xf>
    <xf numFmtId="0" fontId="7" fillId="3" borderId="4" xfId="3" applyFont="1" applyFill="1" applyBorder="1" applyAlignment="1">
      <alignment horizontal="right"/>
    </xf>
    <xf numFmtId="0" fontId="7" fillId="0" borderId="11" xfId="3" applyFont="1" applyBorder="1" applyAlignment="1">
      <alignment horizontal="center"/>
    </xf>
    <xf numFmtId="0" fontId="7" fillId="3" borderId="6" xfId="3" applyFont="1" applyFill="1" applyBorder="1" applyAlignment="1">
      <alignment horizontal="right"/>
    </xf>
    <xf numFmtId="0" fontId="5" fillId="12" borderId="1" xfId="3" applyFont="1" applyFill="1" applyBorder="1" applyAlignment="1"/>
    <xf numFmtId="0" fontId="5" fillId="12" borderId="2" xfId="3" applyFont="1" applyFill="1" applyBorder="1" applyAlignment="1"/>
    <xf numFmtId="0" fontId="5" fillId="12" borderId="3" xfId="3" applyFont="1" applyFill="1" applyBorder="1" applyAlignment="1"/>
    <xf numFmtId="10" fontId="15" fillId="3" borderId="0" xfId="3" applyNumberFormat="1" applyFont="1" applyFill="1" applyBorder="1" applyAlignment="1"/>
    <xf numFmtId="0" fontId="18" fillId="12" borderId="4" xfId="3" applyFont="1" applyFill="1" applyBorder="1" applyAlignment="1">
      <alignment horizontal="centerContinuous"/>
    </xf>
    <xf numFmtId="0" fontId="18" fillId="12" borderId="9" xfId="3" applyFont="1" applyFill="1" applyBorder="1" applyAlignment="1">
      <alignment horizontal="centerContinuous"/>
    </xf>
    <xf numFmtId="6" fontId="18" fillId="12" borderId="6" xfId="3" applyNumberFormat="1" applyFont="1" applyFill="1" applyBorder="1" applyAlignment="1">
      <alignment horizontal="centerContinuous"/>
    </xf>
    <xf numFmtId="0" fontId="18" fillId="12" borderId="6" xfId="3" applyFont="1" applyFill="1" applyBorder="1" applyAlignment="1">
      <alignment horizontal="centerContinuous"/>
    </xf>
    <xf numFmtId="0" fontId="18" fillId="12" borderId="7" xfId="3" applyFont="1" applyFill="1" applyBorder="1" applyAlignment="1">
      <alignment horizontal="centerContinuous"/>
    </xf>
    <xf numFmtId="42" fontId="21" fillId="3" borderId="9" xfId="3" applyNumberFormat="1" applyFont="1" applyFill="1" applyBorder="1" applyAlignment="1"/>
    <xf numFmtId="42" fontId="8" fillId="3" borderId="12" xfId="3" applyNumberFormat="1" applyFont="1" applyFill="1" applyBorder="1" applyAlignment="1">
      <alignment horizontal="center"/>
    </xf>
    <xf numFmtId="42" fontId="8" fillId="3" borderId="7" xfId="3" applyNumberFormat="1" applyFont="1" applyFill="1" applyBorder="1" applyAlignment="1">
      <alignment horizontal="center"/>
    </xf>
    <xf numFmtId="42" fontId="21" fillId="3" borderId="4" xfId="3" applyNumberFormat="1" applyFont="1" applyFill="1" applyBorder="1" applyAlignment="1"/>
    <xf numFmtId="41" fontId="0" fillId="3" borderId="0" xfId="0" applyNumberFormat="1" applyFill="1" applyBorder="1" applyAlignment="1"/>
    <xf numFmtId="176" fontId="0" fillId="3" borderId="0" xfId="0" applyNumberFormat="1" applyFill="1" applyBorder="1"/>
    <xf numFmtId="43" fontId="15" fillId="3" borderId="12" xfId="3" applyNumberFormat="1" applyFont="1" applyFill="1" applyBorder="1" applyAlignment="1">
      <alignment horizontal="right"/>
    </xf>
    <xf numFmtId="43" fontId="15" fillId="3" borderId="16" xfId="3" applyNumberFormat="1" applyFont="1" applyFill="1" applyBorder="1" applyAlignment="1">
      <alignment horizontal="right"/>
    </xf>
    <xf numFmtId="0" fontId="7" fillId="3" borderId="1" xfId="3" applyFont="1" applyFill="1" applyBorder="1" applyAlignment="1">
      <alignment horizontal="left"/>
    </xf>
    <xf numFmtId="43" fontId="15" fillId="3" borderId="2" xfId="3" applyNumberFormat="1" applyFont="1" applyFill="1" applyBorder="1" applyAlignment="1">
      <alignment horizontal="right"/>
    </xf>
    <xf numFmtId="41" fontId="7" fillId="3" borderId="3" xfId="3" applyNumberFormat="1" applyFont="1" applyFill="1" applyBorder="1" applyAlignment="1"/>
    <xf numFmtId="0" fontId="7" fillId="3" borderId="10" xfId="3" applyFont="1" applyFill="1" applyBorder="1"/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7" fillId="0" borderId="4" xfId="3" applyFont="1" applyBorder="1" applyAlignment="1">
      <alignment horizontal="left" vertical="top" wrapText="1"/>
    </xf>
    <xf numFmtId="0" fontId="7" fillId="0" borderId="0" xfId="3" applyFont="1" applyBorder="1" applyAlignment="1">
      <alignment horizontal="left" vertical="top" wrapText="1"/>
    </xf>
    <xf numFmtId="0" fontId="7" fillId="3" borderId="8" xfId="3" applyFont="1" applyFill="1" applyBorder="1" applyAlignment="1">
      <alignment horizontal="left" vertical="top" wrapText="1"/>
    </xf>
    <xf numFmtId="0" fontId="7" fillId="3" borderId="4" xfId="3" applyFont="1" applyFill="1" applyBorder="1" applyAlignment="1">
      <alignment horizontal="left" vertical="top" wrapText="1"/>
    </xf>
    <xf numFmtId="0" fontId="7" fillId="3" borderId="9" xfId="3" applyFont="1" applyFill="1" applyBorder="1" applyAlignment="1">
      <alignment horizontal="left" vertical="top" wrapText="1"/>
    </xf>
    <xf numFmtId="0" fontId="7" fillId="3" borderId="12" xfId="3" applyFont="1" applyFill="1" applyBorder="1" applyAlignment="1">
      <alignment horizontal="left" vertical="top" wrapText="1"/>
    </xf>
    <xf numFmtId="0" fontId="7" fillId="3" borderId="6" xfId="3" applyFont="1" applyFill="1" applyBorder="1" applyAlignment="1">
      <alignment horizontal="left" vertical="top" wrapText="1"/>
    </xf>
    <xf numFmtId="0" fontId="7" fillId="3" borderId="7" xfId="3" applyFont="1" applyFill="1" applyBorder="1" applyAlignment="1">
      <alignment horizontal="left" vertical="top" wrapText="1"/>
    </xf>
    <xf numFmtId="0" fontId="7" fillId="0" borderId="8" xfId="3" applyFont="1" applyBorder="1" applyAlignment="1">
      <alignment horizontal="left" vertical="top" wrapText="1"/>
    </xf>
    <xf numFmtId="0" fontId="7" fillId="0" borderId="9" xfId="3" applyFont="1" applyBorder="1" applyAlignment="1">
      <alignment horizontal="left" vertical="top" wrapText="1"/>
    </xf>
    <xf numFmtId="0" fontId="7" fillId="0" borderId="10" xfId="3" applyFont="1" applyBorder="1" applyAlignment="1">
      <alignment horizontal="left" vertical="top" wrapText="1"/>
    </xf>
    <xf numFmtId="0" fontId="7" fillId="0" borderId="11" xfId="3" applyFont="1" applyBorder="1" applyAlignment="1">
      <alignment horizontal="left" vertical="top" wrapText="1"/>
    </xf>
    <xf numFmtId="0" fontId="7" fillId="0" borderId="12" xfId="3" applyFont="1" applyBorder="1" applyAlignment="1">
      <alignment horizontal="left" vertical="top" wrapText="1"/>
    </xf>
    <xf numFmtId="0" fontId="7" fillId="0" borderId="6" xfId="3" applyFont="1" applyBorder="1" applyAlignment="1">
      <alignment horizontal="left" vertical="top" wrapText="1"/>
    </xf>
    <xf numFmtId="0" fontId="7" fillId="0" borderId="7" xfId="3" applyFont="1" applyBorder="1" applyAlignment="1">
      <alignment horizontal="left" vertical="top" wrapText="1"/>
    </xf>
    <xf numFmtId="0" fontId="7" fillId="0" borderId="8" xfId="3" applyFont="1" applyFill="1" applyBorder="1" applyAlignment="1">
      <alignment horizontal="left" vertical="center" wrapText="1"/>
    </xf>
    <xf numFmtId="0" fontId="7" fillId="0" borderId="4" xfId="3" applyFont="1" applyFill="1" applyBorder="1" applyAlignment="1">
      <alignment horizontal="left" vertical="center" wrapText="1"/>
    </xf>
    <xf numFmtId="0" fontId="7" fillId="0" borderId="9" xfId="3" applyFont="1" applyFill="1" applyBorder="1" applyAlignment="1">
      <alignment horizontal="left" vertical="center" wrapText="1"/>
    </xf>
    <xf numFmtId="0" fontId="7" fillId="0" borderId="10" xfId="3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left" vertical="center" wrapText="1"/>
    </xf>
    <xf numFmtId="0" fontId="7" fillId="0" borderId="11" xfId="3" applyFont="1" applyFill="1" applyBorder="1" applyAlignment="1">
      <alignment horizontal="left" vertical="center" wrapText="1"/>
    </xf>
    <xf numFmtId="0" fontId="7" fillId="0" borderId="12" xfId="3" applyFont="1" applyFill="1" applyBorder="1" applyAlignment="1">
      <alignment horizontal="left" vertical="center" wrapText="1"/>
    </xf>
    <xf numFmtId="0" fontId="7" fillId="0" borderId="6" xfId="3" applyFont="1" applyFill="1" applyBorder="1" applyAlignment="1">
      <alignment horizontal="left" vertical="center" wrapText="1"/>
    </xf>
    <xf numFmtId="0" fontId="7" fillId="0" borderId="7" xfId="3" applyFont="1" applyFill="1" applyBorder="1" applyAlignment="1">
      <alignment horizontal="left" vertical="center" wrapText="1"/>
    </xf>
    <xf numFmtId="0" fontId="7" fillId="0" borderId="8" xfId="3" applyFont="1" applyFill="1" applyBorder="1" applyAlignment="1">
      <alignment horizontal="left" vertical="top" wrapText="1"/>
    </xf>
    <xf numFmtId="0" fontId="7" fillId="0" borderId="4" xfId="3" applyFont="1" applyFill="1" applyBorder="1" applyAlignment="1">
      <alignment horizontal="left" vertical="top" wrapText="1"/>
    </xf>
    <xf numFmtId="0" fontId="7" fillId="0" borderId="9" xfId="3" applyFont="1" applyFill="1" applyBorder="1" applyAlignment="1">
      <alignment horizontal="left" vertical="top" wrapText="1"/>
    </xf>
    <xf numFmtId="0" fontId="7" fillId="0" borderId="10" xfId="3" applyFont="1" applyFill="1" applyBorder="1" applyAlignment="1">
      <alignment horizontal="left" vertical="top" wrapText="1"/>
    </xf>
    <xf numFmtId="0" fontId="7" fillId="0" borderId="0" xfId="3" applyFont="1" applyFill="1" applyBorder="1" applyAlignment="1">
      <alignment horizontal="left" vertical="top" wrapText="1"/>
    </xf>
    <xf numFmtId="0" fontId="7" fillId="0" borderId="11" xfId="3" applyFont="1" applyFill="1" applyBorder="1" applyAlignment="1">
      <alignment horizontal="left" vertical="top" wrapText="1"/>
    </xf>
    <xf numFmtId="0" fontId="7" fillId="0" borderId="12" xfId="3" applyFont="1" applyFill="1" applyBorder="1" applyAlignment="1">
      <alignment horizontal="left" vertical="top" wrapText="1"/>
    </xf>
    <xf numFmtId="0" fontId="7" fillId="0" borderId="6" xfId="3" applyFont="1" applyFill="1" applyBorder="1" applyAlignment="1">
      <alignment horizontal="left" vertical="top" wrapText="1"/>
    </xf>
    <xf numFmtId="0" fontId="7" fillId="0" borderId="7" xfId="3" applyFont="1" applyFill="1" applyBorder="1" applyAlignment="1">
      <alignment horizontal="left" vertical="top" wrapText="1"/>
    </xf>
    <xf numFmtId="0" fontId="7" fillId="0" borderId="8" xfId="3" applyFont="1" applyBorder="1" applyAlignment="1">
      <alignment horizontal="left" vertical="center" wrapText="1"/>
    </xf>
    <xf numFmtId="0" fontId="7" fillId="0" borderId="4" xfId="3" applyFont="1" applyBorder="1" applyAlignment="1">
      <alignment horizontal="left" vertical="center" wrapText="1"/>
    </xf>
    <xf numFmtId="0" fontId="7" fillId="0" borderId="9" xfId="3" applyFont="1" applyBorder="1" applyAlignment="1">
      <alignment horizontal="left" vertical="center" wrapText="1"/>
    </xf>
    <xf numFmtId="0" fontId="7" fillId="0" borderId="10" xfId="3" applyFont="1" applyBorder="1" applyAlignment="1">
      <alignment horizontal="left" vertical="center" wrapText="1"/>
    </xf>
    <xf numFmtId="0" fontId="7" fillId="0" borderId="0" xfId="3" applyFont="1" applyBorder="1" applyAlignment="1">
      <alignment horizontal="left" vertical="center" wrapText="1"/>
    </xf>
    <xf numFmtId="0" fontId="7" fillId="0" borderId="11" xfId="3" applyFont="1" applyBorder="1" applyAlignment="1">
      <alignment horizontal="left" vertical="center" wrapText="1"/>
    </xf>
    <xf numFmtId="0" fontId="10" fillId="12" borderId="8" xfId="3" applyFont="1" applyFill="1" applyBorder="1" applyAlignment="1">
      <alignment horizontal="left"/>
    </xf>
    <xf numFmtId="0" fontId="10" fillId="12" borderId="4" xfId="3" applyFont="1" applyFill="1" applyBorder="1" applyAlignment="1">
      <alignment horizontal="left"/>
    </xf>
    <xf numFmtId="0" fontId="10" fillId="12" borderId="2" xfId="3" applyFont="1" applyFill="1" applyBorder="1" applyAlignment="1">
      <alignment horizontal="left"/>
    </xf>
    <xf numFmtId="0" fontId="10" fillId="12" borderId="3" xfId="3" applyFont="1" applyFill="1" applyBorder="1" applyAlignment="1">
      <alignment horizontal="left"/>
    </xf>
    <xf numFmtId="0" fontId="33" fillId="12" borderId="1" xfId="3" applyFont="1" applyFill="1" applyBorder="1" applyAlignment="1">
      <alignment horizontal="left"/>
    </xf>
    <xf numFmtId="0" fontId="33" fillId="12" borderId="2" xfId="3" applyFont="1" applyFill="1" applyBorder="1" applyAlignment="1">
      <alignment horizontal="left"/>
    </xf>
    <xf numFmtId="0" fontId="33" fillId="12" borderId="3" xfId="3" applyFont="1" applyFill="1" applyBorder="1" applyAlignment="1">
      <alignment horizontal="left"/>
    </xf>
    <xf numFmtId="0" fontId="33" fillId="12" borderId="1" xfId="3" applyFont="1" applyFill="1" applyBorder="1" applyAlignment="1">
      <alignment horizontal="center"/>
    </xf>
    <xf numFmtId="0" fontId="33" fillId="12" borderId="2" xfId="3" applyFont="1" applyFill="1" applyBorder="1" applyAlignment="1">
      <alignment horizontal="center"/>
    </xf>
    <xf numFmtId="0" fontId="33" fillId="12" borderId="3" xfId="3" applyFont="1" applyFill="1" applyBorder="1" applyAlignment="1">
      <alignment horizontal="center"/>
    </xf>
    <xf numFmtId="0" fontId="33" fillId="12" borderId="1" xfId="0" applyFont="1" applyFill="1" applyBorder="1" applyAlignment="1">
      <alignment horizontal="center"/>
    </xf>
    <xf numFmtId="0" fontId="33" fillId="12" borderId="2" xfId="0" applyFont="1" applyFill="1" applyBorder="1" applyAlignment="1">
      <alignment horizontal="center"/>
    </xf>
    <xf numFmtId="0" fontId="33" fillId="12" borderId="3" xfId="0" applyFont="1" applyFill="1" applyBorder="1" applyAlignment="1">
      <alignment horizontal="center"/>
    </xf>
    <xf numFmtId="0" fontId="33" fillId="11" borderId="1" xfId="3" applyFont="1" applyFill="1" applyBorder="1" applyAlignment="1">
      <alignment horizontal="center"/>
    </xf>
    <xf numFmtId="0" fontId="33" fillId="11" borderId="2" xfId="3" applyFont="1" applyFill="1" applyBorder="1" applyAlignment="1">
      <alignment horizontal="center"/>
    </xf>
    <xf numFmtId="0" fontId="33" fillId="11" borderId="3" xfId="3" applyFont="1" applyFill="1" applyBorder="1" applyAlignment="1">
      <alignment horizontal="center"/>
    </xf>
    <xf numFmtId="0" fontId="33" fillId="10" borderId="1" xfId="3" applyFont="1" applyFill="1" applyBorder="1" applyAlignment="1">
      <alignment horizontal="center"/>
    </xf>
    <xf numFmtId="0" fontId="33" fillId="10" borderId="2" xfId="3" applyFont="1" applyFill="1" applyBorder="1" applyAlignment="1">
      <alignment horizontal="center"/>
    </xf>
    <xf numFmtId="0" fontId="33" fillId="10" borderId="3" xfId="3" applyFont="1" applyFill="1" applyBorder="1" applyAlignment="1">
      <alignment horizontal="center"/>
    </xf>
    <xf numFmtId="0" fontId="7" fillId="0" borderId="0" xfId="3" quotePrefix="1" applyFont="1" applyAlignment="1">
      <alignment horizontal="left" wrapText="1"/>
    </xf>
    <xf numFmtId="0" fontId="33" fillId="13" borderId="1" xfId="3" applyFont="1" applyFill="1" applyBorder="1" applyAlignment="1">
      <alignment horizontal="center"/>
    </xf>
    <xf numFmtId="0" fontId="33" fillId="13" borderId="2" xfId="3" applyFont="1" applyFill="1" applyBorder="1" applyAlignment="1">
      <alignment horizontal="center"/>
    </xf>
    <xf numFmtId="0" fontId="7" fillId="0" borderId="0" xfId="3" applyFont="1" applyAlignment="1">
      <alignment horizontal="left" wrapText="1"/>
    </xf>
    <xf numFmtId="0" fontId="7" fillId="3" borderId="0" xfId="3" applyFont="1" applyFill="1" applyBorder="1" applyAlignment="1">
      <alignment horizontal="left" vertical="top" wrapText="1"/>
    </xf>
    <xf numFmtId="0" fontId="7" fillId="0" borderId="12" xfId="3" applyFont="1" applyBorder="1" applyAlignment="1">
      <alignment horizontal="left" vertical="center" wrapText="1"/>
    </xf>
    <xf numFmtId="0" fontId="7" fillId="0" borderId="6" xfId="3" applyFont="1" applyBorder="1" applyAlignment="1">
      <alignment horizontal="left" vertical="center" wrapText="1"/>
    </xf>
    <xf numFmtId="0" fontId="7" fillId="0" borderId="7" xfId="3" applyFont="1" applyBorder="1" applyAlignment="1">
      <alignment horizontal="left" vertical="center" wrapText="1"/>
    </xf>
    <xf numFmtId="0" fontId="16" fillId="12" borderId="8" xfId="3" applyFont="1" applyFill="1" applyBorder="1" applyAlignment="1">
      <alignment horizontal="center"/>
    </xf>
    <xf numFmtId="0" fontId="16" fillId="12" borderId="9" xfId="3" applyFont="1" applyFill="1" applyBorder="1" applyAlignment="1">
      <alignment horizontal="center"/>
    </xf>
    <xf numFmtId="0" fontId="16" fillId="12" borderId="8" xfId="0" applyFont="1" applyFill="1" applyBorder="1" applyAlignment="1">
      <alignment horizontal="center" vertical="center"/>
    </xf>
    <xf numFmtId="0" fontId="16" fillId="12" borderId="4" xfId="0" applyFont="1" applyFill="1" applyBorder="1" applyAlignment="1">
      <alignment horizontal="center" vertical="center"/>
    </xf>
    <xf numFmtId="0" fontId="16" fillId="12" borderId="9" xfId="0" applyFont="1" applyFill="1" applyBorder="1" applyAlignment="1">
      <alignment horizontal="center" vertical="center"/>
    </xf>
    <xf numFmtId="0" fontId="16" fillId="12" borderId="12" xfId="0" applyFont="1" applyFill="1" applyBorder="1" applyAlignment="1">
      <alignment horizontal="center" vertical="center"/>
    </xf>
    <xf numFmtId="0" fontId="16" fillId="12" borderId="6" xfId="0" applyFont="1" applyFill="1" applyBorder="1" applyAlignment="1">
      <alignment horizontal="center" vertical="center"/>
    </xf>
    <xf numFmtId="0" fontId="16" fillId="12" borderId="7" xfId="0" applyFont="1" applyFill="1" applyBorder="1" applyAlignment="1">
      <alignment horizontal="center" vertical="center"/>
    </xf>
    <xf numFmtId="0" fontId="16" fillId="12" borderId="1" xfId="3" applyFont="1" applyFill="1" applyBorder="1" applyAlignment="1">
      <alignment horizontal="center"/>
    </xf>
    <xf numFmtId="0" fontId="16" fillId="12" borderId="3" xfId="3" applyFont="1" applyFill="1" applyBorder="1" applyAlignment="1">
      <alignment horizontal="center"/>
    </xf>
    <xf numFmtId="0" fontId="11" fillId="3" borderId="12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left"/>
    </xf>
    <xf numFmtId="0" fontId="16" fillId="13" borderId="1" xfId="3" applyFont="1" applyFill="1" applyBorder="1" applyAlignment="1">
      <alignment horizontal="center"/>
    </xf>
    <xf numFmtId="0" fontId="16" fillId="13" borderId="3" xfId="3" applyFont="1" applyFill="1" applyBorder="1" applyAlignment="1">
      <alignment horizontal="center"/>
    </xf>
    <xf numFmtId="0" fontId="16" fillId="11" borderId="1" xfId="3" applyFont="1" applyFill="1" applyBorder="1" applyAlignment="1">
      <alignment horizontal="center"/>
    </xf>
    <xf numFmtId="0" fontId="16" fillId="11" borderId="2" xfId="3" applyFont="1" applyFill="1" applyBorder="1" applyAlignment="1">
      <alignment horizontal="center"/>
    </xf>
    <xf numFmtId="0" fontId="16" fillId="11" borderId="3" xfId="3" applyFont="1" applyFill="1" applyBorder="1" applyAlignment="1">
      <alignment horizontal="center"/>
    </xf>
    <xf numFmtId="0" fontId="16" fillId="10" borderId="1" xfId="3" applyFont="1" applyFill="1" applyBorder="1" applyAlignment="1">
      <alignment horizontal="center"/>
    </xf>
    <xf numFmtId="0" fontId="16" fillId="10" borderId="2" xfId="3" applyFont="1" applyFill="1" applyBorder="1" applyAlignment="1">
      <alignment horizontal="center"/>
    </xf>
    <xf numFmtId="0" fontId="16" fillId="10" borderId="3" xfId="3" applyFont="1" applyFill="1" applyBorder="1" applyAlignment="1">
      <alignment horizontal="center"/>
    </xf>
    <xf numFmtId="0" fontId="16" fillId="13" borderId="2" xfId="3" applyFont="1" applyFill="1" applyBorder="1" applyAlignment="1">
      <alignment horizontal="center"/>
    </xf>
    <xf numFmtId="0" fontId="16" fillId="12" borderId="8" xfId="0" applyFont="1" applyFill="1" applyBorder="1" applyAlignment="1">
      <alignment horizontal="center"/>
    </xf>
    <xf numFmtId="0" fontId="16" fillId="12" borderId="4" xfId="0" applyFont="1" applyFill="1" applyBorder="1" applyAlignment="1">
      <alignment horizontal="center"/>
    </xf>
    <xf numFmtId="0" fontId="16" fillId="12" borderId="20" xfId="0" applyFont="1" applyFill="1" applyBorder="1" applyAlignment="1">
      <alignment horizontal="center"/>
    </xf>
    <xf numFmtId="0" fontId="16" fillId="12" borderId="12" xfId="0" applyFont="1" applyFill="1" applyBorder="1" applyAlignment="1">
      <alignment horizontal="center"/>
    </xf>
    <xf numFmtId="0" fontId="16" fillId="12" borderId="6" xfId="0" applyFont="1" applyFill="1" applyBorder="1" applyAlignment="1">
      <alignment horizontal="center"/>
    </xf>
    <xf numFmtId="0" fontId="16" fillId="12" borderId="21" xfId="0" applyFont="1" applyFill="1" applyBorder="1" applyAlignment="1">
      <alignment horizontal="center"/>
    </xf>
    <xf numFmtId="0" fontId="16" fillId="12" borderId="1" xfId="0" applyFont="1" applyFill="1" applyBorder="1" applyAlignment="1">
      <alignment horizontal="center"/>
    </xf>
    <xf numFmtId="0" fontId="16" fillId="12" borderId="2" xfId="0" applyFont="1" applyFill="1" applyBorder="1" applyAlignment="1">
      <alignment horizontal="center"/>
    </xf>
    <xf numFmtId="0" fontId="16" fillId="12" borderId="3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7" fillId="3" borderId="4" xfId="3" quotePrefix="1" applyFont="1" applyFill="1" applyBorder="1" applyAlignment="1">
      <alignment horizontal="left" wrapText="1"/>
    </xf>
    <xf numFmtId="0" fontId="7" fillId="3" borderId="0" xfId="3" quotePrefix="1" applyFont="1" applyFill="1" applyBorder="1" applyAlignment="1">
      <alignment horizontal="left" wrapText="1"/>
    </xf>
  </cellXfs>
  <cellStyles count="28">
    <cellStyle name="Bold" xfId="6" xr:uid="{00000000-0005-0000-0000-000000000000}"/>
    <cellStyle name="Column Head" xfId="7" xr:uid="{00000000-0005-0000-0000-000001000000}"/>
    <cellStyle name="Comma" xfId="1" builtinId="3"/>
    <cellStyle name="Comma (0)" xfId="8" xr:uid="{00000000-0005-0000-0000-000003000000}"/>
    <cellStyle name="Comma (1)" xfId="9" xr:uid="{00000000-0005-0000-0000-000004000000}"/>
    <cellStyle name="Comma (2)" xfId="10" xr:uid="{00000000-0005-0000-0000-000005000000}"/>
    <cellStyle name="Comma 2" xfId="11" xr:uid="{00000000-0005-0000-0000-000006000000}"/>
    <cellStyle name="Comma 3" xfId="12" xr:uid="{00000000-0005-0000-0000-000007000000}"/>
    <cellStyle name="Currency" xfId="2" builtinId="4"/>
    <cellStyle name="Currency (0)" xfId="13" xr:uid="{00000000-0005-0000-0000-000009000000}"/>
    <cellStyle name="Currency (1)" xfId="14" xr:uid="{00000000-0005-0000-0000-00000A000000}"/>
    <cellStyle name="Currency (2)" xfId="15" xr:uid="{00000000-0005-0000-0000-00000B000000}"/>
    <cellStyle name="Currency 2" xfId="16" xr:uid="{00000000-0005-0000-0000-00000C000000}"/>
    <cellStyle name="Currency 3" xfId="17" xr:uid="{00000000-0005-0000-0000-00000D000000}"/>
    <cellStyle name="Normal" xfId="0" builtinId="0"/>
    <cellStyle name="Normal 10" xfId="18" xr:uid="{00000000-0005-0000-0000-00000F000000}"/>
    <cellStyle name="Normal 2" xfId="3" xr:uid="{00000000-0005-0000-0000-000010000000}"/>
    <cellStyle name="Normal 3" xfId="19" xr:uid="{00000000-0005-0000-0000-000011000000}"/>
    <cellStyle name="Normal 3 2" xfId="20" xr:uid="{00000000-0005-0000-0000-000012000000}"/>
    <cellStyle name="Normal 4" xfId="21" xr:uid="{00000000-0005-0000-0000-000013000000}"/>
    <cellStyle name="Normal 5" xfId="5" xr:uid="{00000000-0005-0000-0000-000014000000}"/>
    <cellStyle name="Number (0)" xfId="22" xr:uid="{00000000-0005-0000-0000-000015000000}"/>
    <cellStyle name="Percent" xfId="4" builtinId="5"/>
    <cellStyle name="Percent (0)" xfId="23" xr:uid="{00000000-0005-0000-0000-000017000000}"/>
    <cellStyle name="Percent (1)" xfId="24" xr:uid="{00000000-0005-0000-0000-000018000000}"/>
    <cellStyle name="Percent (2)" xfId="25" xr:uid="{00000000-0005-0000-0000-000019000000}"/>
    <cellStyle name="Percent 2" xfId="26" xr:uid="{00000000-0005-0000-0000-00001A000000}"/>
    <cellStyle name="Percent 3" xfId="27" xr:uid="{00000000-0005-0000-0000-00001B000000}"/>
  </cellStyles>
  <dxfs count="0"/>
  <tableStyles count="0" defaultTableStyle="TableStyleMedium9" defaultPivotStyle="PivotStyleLight16"/>
  <colors>
    <mruColors>
      <color rgb="FF44AB1F"/>
      <color rgb="FF29D9C2"/>
      <color rgb="FF004358"/>
      <color rgb="FFFEE003"/>
      <color rgb="FFCACDCF"/>
      <color rgb="FFC9E86B"/>
      <color rgb="FFF7941E"/>
      <color rgb="FFFD7400"/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355282</xdr:colOff>
      <xdr:row>133</xdr:row>
      <xdr:rowOff>16192</xdr:rowOff>
    </xdr:from>
    <xdr:to>
      <xdr:col>13</xdr:col>
      <xdr:colOff>1806966</xdr:colOff>
      <xdr:row>139</xdr:row>
      <xdr:rowOff>137120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BE8201C-F719-426F-92D4-361FE7CF2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14532" y="25543192"/>
          <a:ext cx="4424437" cy="12715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475903</xdr:colOff>
      <xdr:row>2</xdr:row>
      <xdr:rowOff>55067</xdr:rowOff>
    </xdr:from>
    <xdr:to>
      <xdr:col>12</xdr:col>
      <xdr:colOff>16936</xdr:colOff>
      <xdr:row>31</xdr:row>
      <xdr:rowOff>26125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2B0EE1F-A6D2-49CC-9A20-29ABF669FC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9" t="2117" r="3846" b="2815"/>
        <a:stretch/>
      </xdr:blipFill>
      <xdr:spPr>
        <a:xfrm rot="16200000">
          <a:off x="1463158" y="-593521"/>
          <a:ext cx="4881724" cy="6856233"/>
        </a:xfrm>
        <a:prstGeom prst="rect">
          <a:avLst/>
        </a:prstGeom>
      </xdr:spPr>
    </xdr:pic>
    <xdr:clientData/>
  </xdr:twoCellAnchor>
  <xdr:twoCellAnchor>
    <xdr:from>
      <xdr:col>11</xdr:col>
      <xdr:colOff>398935</xdr:colOff>
      <xdr:row>24</xdr:row>
      <xdr:rowOff>37106</xdr:rowOff>
    </xdr:from>
    <xdr:to>
      <xdr:col>11</xdr:col>
      <xdr:colOff>572117</xdr:colOff>
      <xdr:row>24</xdr:row>
      <xdr:rowOff>143786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BC24DF66-B16C-4135-AC8A-A0703EA0570F}"/>
            </a:ext>
          </a:extLst>
        </xdr:cNvPr>
        <xdr:cNvSpPr/>
      </xdr:nvSpPr>
      <xdr:spPr>
        <a:xfrm>
          <a:off x="7104535" y="4092271"/>
          <a:ext cx="173182" cy="106680"/>
        </a:xfrm>
        <a:prstGeom prst="rect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92D050"/>
            </a:solidFill>
          </a:endParaRPr>
        </a:p>
      </xdr:txBody>
    </xdr:sp>
    <xdr:clientData/>
  </xdr:twoCellAnchor>
  <xdr:twoCellAnchor>
    <xdr:from>
      <xdr:col>11</xdr:col>
      <xdr:colOff>399929</xdr:colOff>
      <xdr:row>25</xdr:row>
      <xdr:rowOff>40419</xdr:rowOff>
    </xdr:from>
    <xdr:to>
      <xdr:col>11</xdr:col>
      <xdr:colOff>573111</xdr:colOff>
      <xdr:row>25</xdr:row>
      <xdr:rowOff>147099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FA5B79C9-AD36-4B60-8514-7D9FE27E9A96}"/>
            </a:ext>
          </a:extLst>
        </xdr:cNvPr>
        <xdr:cNvSpPr/>
      </xdr:nvSpPr>
      <xdr:spPr>
        <a:xfrm>
          <a:off x="7105529" y="4264549"/>
          <a:ext cx="173182" cy="106680"/>
        </a:xfrm>
        <a:prstGeom prst="rect">
          <a:avLst/>
        </a:prstGeom>
        <a:solidFill>
          <a:srgbClr val="E63ADE"/>
        </a:solidFill>
        <a:ln>
          <a:solidFill>
            <a:srgbClr val="E63ADE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92D05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45"/>
  <sheetViews>
    <sheetView showGridLines="0" view="pageBreakPreview" topLeftCell="D65" zoomScale="85" zoomScaleNormal="100" zoomScaleSheetLayoutView="85" workbookViewId="0">
      <selection activeCell="H82" sqref="H82"/>
    </sheetView>
  </sheetViews>
  <sheetFormatPr defaultColWidth="9.109375" defaultRowHeight="15"/>
  <cols>
    <col min="1" max="1" width="19.33203125" style="21" customWidth="1"/>
    <col min="2" max="2" width="30.88671875" style="21" customWidth="1"/>
    <col min="3" max="3" width="21.88671875" style="21" customWidth="1"/>
    <col min="4" max="4" width="20.5546875" style="12" customWidth="1"/>
    <col min="5" max="5" width="20.5546875" style="21" customWidth="1"/>
    <col min="6" max="6" width="22.6640625" style="21" customWidth="1"/>
    <col min="7" max="11" width="20.5546875" style="21" customWidth="1"/>
    <col min="12" max="12" width="21" style="21" customWidth="1"/>
    <col min="13" max="13" width="21.5546875" style="21" customWidth="1"/>
    <col min="14" max="14" width="27" style="21" customWidth="1"/>
    <col min="15" max="15" width="9.109375" style="21"/>
    <col min="16" max="16" width="19.33203125" style="21" customWidth="1"/>
    <col min="17" max="16384" width="9.109375" style="21"/>
  </cols>
  <sheetData>
    <row r="1" spans="1:14" ht="18" thickBot="1">
      <c r="A1" s="785" t="s">
        <v>62</v>
      </c>
      <c r="B1" s="786"/>
      <c r="C1" s="786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87"/>
    </row>
    <row r="2" spans="1:14" ht="16.2" thickBot="1">
      <c r="A2" s="656"/>
      <c r="B2" s="657"/>
      <c r="C2" s="657"/>
      <c r="D2" s="658" t="s">
        <v>57</v>
      </c>
      <c r="E2" s="333" t="s">
        <v>36</v>
      </c>
      <c r="F2" s="337"/>
      <c r="G2" s="334"/>
      <c r="H2" s="333" t="s">
        <v>78</v>
      </c>
      <c r="I2" s="335"/>
      <c r="J2" s="334"/>
      <c r="K2" s="336" t="s">
        <v>79</v>
      </c>
      <c r="L2" s="336"/>
      <c r="M2" s="337"/>
      <c r="N2" s="334"/>
    </row>
    <row r="3" spans="1:14" ht="16.2" thickBot="1">
      <c r="A3" s="4"/>
      <c r="B3" s="5"/>
      <c r="C3" s="5"/>
      <c r="D3" s="6" t="s">
        <v>267</v>
      </c>
      <c r="E3" s="34">
        <v>2019</v>
      </c>
      <c r="F3" s="6">
        <f>E3+1</f>
        <v>2020</v>
      </c>
      <c r="G3" s="7">
        <f t="shared" ref="G3:L3" si="0">F3+1</f>
        <v>2021</v>
      </c>
      <c r="H3" s="34">
        <f t="shared" si="0"/>
        <v>2022</v>
      </c>
      <c r="I3" s="6">
        <f t="shared" si="0"/>
        <v>2023</v>
      </c>
      <c r="J3" s="7">
        <f t="shared" si="0"/>
        <v>2024</v>
      </c>
      <c r="K3" s="6">
        <f t="shared" si="0"/>
        <v>2025</v>
      </c>
      <c r="L3" s="6">
        <f t="shared" si="0"/>
        <v>2026</v>
      </c>
      <c r="M3" s="6">
        <f>L3+1</f>
        <v>2027</v>
      </c>
      <c r="N3" s="7">
        <f>M3+1</f>
        <v>2028</v>
      </c>
    </row>
    <row r="4" spans="1:14" ht="16.2" thickBot="1">
      <c r="A4" s="28" t="s">
        <v>0</v>
      </c>
      <c r="B4" s="29"/>
      <c r="C4" s="29"/>
      <c r="D4" s="17"/>
      <c r="E4" s="422"/>
      <c r="F4" s="18"/>
      <c r="G4" s="24"/>
      <c r="H4" s="422"/>
      <c r="I4" s="18"/>
      <c r="J4" s="24"/>
      <c r="K4" s="18"/>
      <c r="L4" s="18"/>
      <c r="M4" s="18"/>
      <c r="N4" s="24"/>
    </row>
    <row r="5" spans="1:14">
      <c r="A5" s="575" t="s">
        <v>63</v>
      </c>
      <c r="B5" s="604"/>
      <c r="C5" s="604"/>
      <c r="D5" s="788">
        <f>'2.Market-Rate Rental Housing'!C60</f>
        <v>0</v>
      </c>
      <c r="E5" s="580">
        <f>'2.Market-Rate Rental Housing'!D60</f>
        <v>0</v>
      </c>
      <c r="F5" s="616">
        <f>'2.Market-Rate Rental Housing'!E60</f>
        <v>1010570.904</v>
      </c>
      <c r="G5" s="617">
        <f>'2.Market-Rate Rental Housing'!F60</f>
        <v>2602220.0778000001</v>
      </c>
      <c r="H5" s="580">
        <f>'2.Market-Rate Rental Housing'!G60</f>
        <v>3931087.1308632004</v>
      </c>
      <c r="I5" s="616">
        <f>'2.Market-Rate Rental Housing'!H60</f>
        <v>5419142.5877227793</v>
      </c>
      <c r="J5" s="617">
        <f>'2.Market-Rate Rental Housing'!I60</f>
        <v>6613807.9083822686</v>
      </c>
      <c r="K5" s="616">
        <f>'2.Market-Rate Rental Housing'!J60</f>
        <v>7072561.8454668745</v>
      </c>
      <c r="L5" s="616">
        <f>'2.Market-Rate Rental Housing'!K60</f>
        <v>7284738.7008308787</v>
      </c>
      <c r="M5" s="616">
        <f>'2.Market-Rate Rental Housing'!L60</f>
        <v>7503280.8618558068</v>
      </c>
      <c r="N5" s="617">
        <f>'2.Market-Rate Rental Housing'!M60</f>
        <v>7728379.2877114806</v>
      </c>
    </row>
    <row r="6" spans="1:14">
      <c r="A6" s="575" t="s">
        <v>64</v>
      </c>
      <c r="B6" s="604"/>
      <c r="C6" s="604"/>
      <c r="D6" s="789">
        <f>'3.Market-Rate For-Sale Housing'!C27</f>
        <v>0</v>
      </c>
      <c r="E6" s="790">
        <f>'3.Market-Rate For-Sale Housing'!D27</f>
        <v>0</v>
      </c>
      <c r="F6" s="789">
        <f>'3.Market-Rate For-Sale Housing'!E27</f>
        <v>0</v>
      </c>
      <c r="G6" s="618">
        <f>'3.Market-Rate For-Sale Housing'!F27</f>
        <v>0</v>
      </c>
      <c r="H6" s="790">
        <f>'3.Market-Rate For-Sale Housing'!G27</f>
        <v>0</v>
      </c>
      <c r="I6" s="789">
        <f>'3.Market-Rate For-Sale Housing'!H27</f>
        <v>10321278.572554559</v>
      </c>
      <c r="J6" s="618">
        <f>'3.Market-Rate For-Sale Housing'!I27</f>
        <v>15194239.668830849</v>
      </c>
      <c r="K6" s="789">
        <f>'3.Market-Rate For-Sale Housing'!J27</f>
        <v>19938127.686515551</v>
      </c>
      <c r="L6" s="789">
        <f>'3.Market-Rate For-Sale Housing'!K27</f>
        <v>0</v>
      </c>
      <c r="M6" s="789">
        <f>'3.Market-Rate For-Sale Housing'!L27</f>
        <v>0</v>
      </c>
      <c r="N6" s="618">
        <f>'3.Market-Rate For-Sale Housing'!M27</f>
        <v>0</v>
      </c>
    </row>
    <row r="7" spans="1:14">
      <c r="A7" s="575" t="s">
        <v>65</v>
      </c>
      <c r="B7" s="604"/>
      <c r="C7" s="604"/>
      <c r="D7" s="789">
        <f>'4.Affordable Rental Housing'!C28</f>
        <v>0</v>
      </c>
      <c r="E7" s="581">
        <f>'4.Affordable Rental Housing'!D28</f>
        <v>575769.59999999998</v>
      </c>
      <c r="F7" s="619">
        <f>'4.Affordable Rental Housing'!E28</f>
        <v>1478699.7120000003</v>
      </c>
      <c r="G7" s="620">
        <f>'4.Affordable Rental Housing'!F28</f>
        <v>2011031.6083200001</v>
      </c>
      <c r="H7" s="581">
        <f>'4.Affordable Rental Housing'!G28</f>
        <v>2051252.2404864002</v>
      </c>
      <c r="I7" s="619">
        <f>'4.Affordable Rental Housing'!H28</f>
        <v>2403893.0511912955</v>
      </c>
      <c r="J7" s="620">
        <f>'4.Affordable Rental Housing'!I28</f>
        <v>2928743.034034729</v>
      </c>
      <c r="K7" s="619">
        <f>'4.Affordable Rental Housing'!J28</f>
        <v>3253629.1799032325</v>
      </c>
      <c r="L7" s="619">
        <f>'4.Affordable Rental Housing'!K28</f>
        <v>3318701.7635012977</v>
      </c>
      <c r="M7" s="619">
        <f>'4.Affordable Rental Housing'!L28</f>
        <v>3385075.7987713227</v>
      </c>
      <c r="N7" s="620">
        <f>'4.Affordable Rental Housing'!M28</f>
        <v>3452777.3147467496</v>
      </c>
    </row>
    <row r="8" spans="1:14">
      <c r="A8" s="575" t="s">
        <v>301</v>
      </c>
      <c r="B8" s="604"/>
      <c r="C8" s="604"/>
      <c r="D8" s="789">
        <f>'5.Affordable For-Sale Housing '!C19</f>
        <v>0</v>
      </c>
      <c r="E8" s="581">
        <f>'5.Affordable For-Sale Housing '!D19</f>
        <v>0</v>
      </c>
      <c r="F8" s="619">
        <f>'5.Affordable For-Sale Housing '!E19</f>
        <v>0</v>
      </c>
      <c r="G8" s="620">
        <f>'5.Affordable For-Sale Housing '!F19</f>
        <v>0</v>
      </c>
      <c r="H8" s="581">
        <f>'5.Affordable For-Sale Housing '!G19</f>
        <v>0</v>
      </c>
      <c r="I8" s="619">
        <f>'5.Affordable For-Sale Housing '!H19</f>
        <v>0</v>
      </c>
      <c r="J8" s="620">
        <f>'5.Affordable For-Sale Housing '!I19</f>
        <v>2167924.5960162599</v>
      </c>
      <c r="K8" s="619">
        <f>'5.Affordable For-Sale Housing '!J19</f>
        <v>2211283.0879365844</v>
      </c>
      <c r="L8" s="619">
        <f>'5.Affordable For-Sale Housing '!K19</f>
        <v>2255508.7496953164</v>
      </c>
      <c r="M8" s="619">
        <f>'5.Affordable For-Sale Housing '!L19</f>
        <v>0</v>
      </c>
      <c r="N8" s="620">
        <f>'5.Affordable For-Sale Housing '!M19</f>
        <v>0</v>
      </c>
    </row>
    <row r="9" spans="1:14">
      <c r="A9" s="575" t="s">
        <v>66</v>
      </c>
      <c r="B9" s="604"/>
      <c r="C9" s="604"/>
      <c r="D9" s="789">
        <f>'6.Office'!C29</f>
        <v>0</v>
      </c>
      <c r="E9" s="581">
        <f>'6.Office'!D29</f>
        <v>499343.0399999998</v>
      </c>
      <c r="F9" s="619">
        <f>'6.Office'!E29</f>
        <v>4705666.2994968006</v>
      </c>
      <c r="G9" s="620">
        <f>'6.Office'!F29</f>
        <v>5468926.6076635858</v>
      </c>
      <c r="H9" s="581">
        <f>'6.Office'!G29</f>
        <v>5578305.1398168588</v>
      </c>
      <c r="I9" s="619">
        <f>'6.Office'!H29</f>
        <v>5689871.2426131973</v>
      </c>
      <c r="J9" s="620">
        <f>'6.Office'!I29</f>
        <v>5803668.6674654614</v>
      </c>
      <c r="K9" s="619">
        <f>'6.Office'!J29</f>
        <v>5919742.0408147685</v>
      </c>
      <c r="L9" s="619">
        <f>'6.Office'!K29</f>
        <v>6038136.8816310642</v>
      </c>
      <c r="M9" s="619">
        <f>'6.Office'!L29</f>
        <v>6158899.6192636862</v>
      </c>
      <c r="N9" s="620">
        <f>'6.Office'!M29</f>
        <v>6282077.611648961</v>
      </c>
    </row>
    <row r="10" spans="1:14">
      <c r="A10" s="575" t="s">
        <v>306</v>
      </c>
      <c r="B10" s="604"/>
      <c r="C10" s="604"/>
      <c r="D10" s="789">
        <f>'7.Industrial (Brewery)'!C20</f>
        <v>0</v>
      </c>
      <c r="E10" s="581">
        <f>'7.Industrial (Brewery)'!D20</f>
        <v>0</v>
      </c>
      <c r="F10" s="619">
        <f>'7.Industrial (Brewery)'!E20</f>
        <v>0</v>
      </c>
      <c r="G10" s="620">
        <f>'7.Industrial (Brewery)'!F20</f>
        <v>1563020.8326835199</v>
      </c>
      <c r="H10" s="581">
        <f>'7.Industrial (Brewery)'!G20</f>
        <v>1594281.2493371905</v>
      </c>
      <c r="I10" s="619">
        <f>'7.Industrial (Brewery)'!H20</f>
        <v>1626166.8743239343</v>
      </c>
      <c r="J10" s="620">
        <f>'7.Industrial (Brewery)'!I20</f>
        <v>1658690.2118104133</v>
      </c>
      <c r="K10" s="619">
        <f>'7.Industrial (Brewery)'!J20</f>
        <v>1691864.0160466209</v>
      </c>
      <c r="L10" s="619">
        <f>'7.Industrial (Brewery)'!K20</f>
        <v>1725701.2963675535</v>
      </c>
      <c r="M10" s="619">
        <f>'7.Industrial (Brewery)'!L20</f>
        <v>1760215.3222949046</v>
      </c>
      <c r="N10" s="620">
        <f>'7.Industrial (Brewery)'!M20</f>
        <v>1795419.6287408026</v>
      </c>
    </row>
    <row r="11" spans="1:14">
      <c r="A11" s="575" t="s">
        <v>67</v>
      </c>
      <c r="B11" s="604"/>
      <c r="C11" s="604"/>
      <c r="D11" s="789">
        <f>'8.Market-Rate Retail'!C83</f>
        <v>0</v>
      </c>
      <c r="E11" s="581">
        <f>'8.Market-Rate Retail'!D83</f>
        <v>662796</v>
      </c>
      <c r="F11" s="619">
        <f>'8.Market-Rate Retail'!E83</f>
        <v>1780299.8166419999</v>
      </c>
      <c r="G11" s="620">
        <f>'8.Market-Rate Retail'!F83</f>
        <v>3822917.0528804362</v>
      </c>
      <c r="H11" s="581">
        <f>'8.Market-Rate Retail'!G83</f>
        <v>5527172.8832518468</v>
      </c>
      <c r="I11" s="619">
        <f>'8.Market-Rate Retail'!H83</f>
        <v>7425902.9761425778</v>
      </c>
      <c r="J11" s="620">
        <f>'8.Market-Rate Retail'!I83</f>
        <v>7990168.8344189161</v>
      </c>
      <c r="K11" s="619">
        <f>'8.Market-Rate Retail'!J83</f>
        <v>8149972.2111072922</v>
      </c>
      <c r="L11" s="619">
        <f>'8.Market-Rate Retail'!K83</f>
        <v>8312971.6553294407</v>
      </c>
      <c r="M11" s="619">
        <f>'8.Market-Rate Retail'!L83</f>
        <v>8479231.0884360261</v>
      </c>
      <c r="N11" s="620">
        <f>'8.Market-Rate Retail'!M83</f>
        <v>8648815.7102047484</v>
      </c>
    </row>
    <row r="12" spans="1:14">
      <c r="A12" s="575" t="s">
        <v>48</v>
      </c>
      <c r="B12" s="604"/>
      <c r="C12" s="604"/>
      <c r="D12" s="789">
        <f>'9.Hotel'!C15</f>
        <v>0</v>
      </c>
      <c r="E12" s="581">
        <f>'9.Hotel'!D15</f>
        <v>0</v>
      </c>
      <c r="F12" s="619">
        <f>'9.Hotel'!E15</f>
        <v>0</v>
      </c>
      <c r="G12" s="620">
        <f>'9.Hotel'!F15</f>
        <v>2082072.9242396159</v>
      </c>
      <c r="H12" s="581">
        <f>'9.Hotel'!G15</f>
        <v>6371143.1481732242</v>
      </c>
      <c r="I12" s="619">
        <f>'9.Hotel'!H15</f>
        <v>6498566.0111366883</v>
      </c>
      <c r="J12" s="620">
        <f>'9.Hotel'!I15</f>
        <v>6628537.3313594218</v>
      </c>
      <c r="K12" s="619">
        <f>'9.Hotel'!J15</f>
        <v>6761108.0779866092</v>
      </c>
      <c r="L12" s="619">
        <f>'9.Hotel'!K15</f>
        <v>6896330.2395463418</v>
      </c>
      <c r="M12" s="619">
        <f>'9.Hotel'!L15</f>
        <v>7034256.8443372697</v>
      </c>
      <c r="N12" s="620">
        <f>'9.Hotel'!M15</f>
        <v>7174941.9812240154</v>
      </c>
    </row>
    <row r="13" spans="1:14">
      <c r="A13" s="575" t="s">
        <v>284</v>
      </c>
      <c r="B13" s="604"/>
      <c r="C13" s="604"/>
      <c r="D13" s="789">
        <f>'10.Structured Parking'!C47</f>
        <v>0</v>
      </c>
      <c r="E13" s="581">
        <f>'10.Structured Parking'!D47</f>
        <v>0</v>
      </c>
      <c r="F13" s="619">
        <f>'10.Structured Parking'!E47</f>
        <v>11238810.301440002</v>
      </c>
      <c r="G13" s="620">
        <f>'10.Structured Parking'!F47</f>
        <v>24954426.843022078</v>
      </c>
      <c r="H13" s="581">
        <f>'10.Structured Parking'!G47</f>
        <v>25453515.379882526</v>
      </c>
      <c r="I13" s="619">
        <f>'10.Structured Parking'!H47</f>
        <v>26087514.638523854</v>
      </c>
      <c r="J13" s="620">
        <f>'10.Structured Parking'!I47</f>
        <v>26609264.931294337</v>
      </c>
      <c r="K13" s="619">
        <f>'10.Structured Parking'!J47</f>
        <v>27141450.22992022</v>
      </c>
      <c r="L13" s="619">
        <f>'10.Structured Parking'!K47</f>
        <v>27684279.234518629</v>
      </c>
      <c r="M13" s="619">
        <f>'10.Structured Parking'!L47</f>
        <v>28237964.819208998</v>
      </c>
      <c r="N13" s="620">
        <f>'10.Structured Parking'!M47</f>
        <v>28802724.11559318</v>
      </c>
    </row>
    <row r="14" spans="1:14" hidden="1">
      <c r="A14" s="582" t="s">
        <v>50</v>
      </c>
      <c r="B14" s="639"/>
      <c r="C14" s="639"/>
      <c r="D14" s="791" t="e">
        <f>#REF!</f>
        <v>#REF!</v>
      </c>
      <c r="E14" s="627" t="e">
        <f>#REF!</f>
        <v>#REF!</v>
      </c>
      <c r="F14" s="628" t="e">
        <f>#REF!</f>
        <v>#REF!</v>
      </c>
      <c r="G14" s="629" t="e">
        <f>#REF!</f>
        <v>#REF!</v>
      </c>
      <c r="H14" s="627" t="e">
        <f>#REF!</f>
        <v>#REF!</v>
      </c>
      <c r="I14" s="628" t="e">
        <f>#REF!</f>
        <v>#REF!</v>
      </c>
      <c r="J14" s="629" t="e">
        <f>#REF!</f>
        <v>#REF!</v>
      </c>
      <c r="K14" s="628" t="e">
        <f>#REF!</f>
        <v>#REF!</v>
      </c>
      <c r="L14" s="628" t="e">
        <f>#REF!</f>
        <v>#REF!</v>
      </c>
      <c r="M14" s="628" t="e">
        <f>#REF!</f>
        <v>#REF!</v>
      </c>
      <c r="N14" s="629" t="e">
        <f>#REF!</f>
        <v>#REF!</v>
      </c>
    </row>
    <row r="15" spans="1:14" ht="16.2" thickBot="1">
      <c r="A15" s="568" t="s">
        <v>1</v>
      </c>
      <c r="B15" s="569"/>
      <c r="C15" s="569"/>
      <c r="D15" s="646" t="e">
        <f t="shared" ref="D15:M15" si="1">SUM(D5:D14)</f>
        <v>#REF!</v>
      </c>
      <c r="E15" s="570" t="e">
        <f t="shared" si="1"/>
        <v>#REF!</v>
      </c>
      <c r="F15" s="647" t="e">
        <f t="shared" si="1"/>
        <v>#REF!</v>
      </c>
      <c r="G15" s="648" t="e">
        <f t="shared" si="1"/>
        <v>#REF!</v>
      </c>
      <c r="H15" s="570" t="e">
        <f t="shared" si="1"/>
        <v>#REF!</v>
      </c>
      <c r="I15" s="647" t="e">
        <f t="shared" si="1"/>
        <v>#REF!</v>
      </c>
      <c r="J15" s="648" t="e">
        <f t="shared" si="1"/>
        <v>#REF!</v>
      </c>
      <c r="K15" s="647" t="e">
        <f t="shared" si="1"/>
        <v>#REF!</v>
      </c>
      <c r="L15" s="647" t="e">
        <f t="shared" si="1"/>
        <v>#REF!</v>
      </c>
      <c r="M15" s="647" t="e">
        <f t="shared" si="1"/>
        <v>#REF!</v>
      </c>
      <c r="N15" s="648" t="e">
        <f>SUM(N5:N14)</f>
        <v>#REF!</v>
      </c>
    </row>
    <row r="16" spans="1:14" ht="16.2" thickBot="1">
      <c r="A16" s="28" t="s">
        <v>2</v>
      </c>
      <c r="B16" s="29"/>
      <c r="C16" s="29"/>
      <c r="D16" s="17"/>
      <c r="E16" s="422"/>
      <c r="F16" s="18"/>
      <c r="G16" s="24"/>
      <c r="H16" s="422"/>
      <c r="I16" s="18"/>
      <c r="J16" s="24"/>
      <c r="K16" s="18"/>
      <c r="L16" s="18"/>
      <c r="M16" s="18"/>
      <c r="N16" s="24"/>
    </row>
    <row r="17" spans="1:16">
      <c r="A17" s="575" t="s">
        <v>63</v>
      </c>
      <c r="B17" s="604"/>
      <c r="C17" s="604"/>
      <c r="D17" s="788">
        <f>'2.Market-Rate Rental Housing'!C66</f>
        <v>0</v>
      </c>
      <c r="E17" s="792">
        <f>'2.Market-Rate Rental Housing'!D66</f>
        <v>8810208</v>
      </c>
      <c r="F17" s="788">
        <f>'2.Market-Rate Rental Housing'!E66</f>
        <v>18149028.48</v>
      </c>
      <c r="G17" s="615">
        <f>'2.Market-Rate Rental Housing'!F66</f>
        <v>0</v>
      </c>
      <c r="H17" s="792">
        <f>'2.Market-Rate Rental Housing'!G66</f>
        <v>18387860.620282557</v>
      </c>
      <c r="I17" s="788">
        <f>'2.Market-Rate Rental Housing'!H66</f>
        <v>10907563.394125728</v>
      </c>
      <c r="J17" s="615">
        <f>'2.Market-Rate Rental Housing'!I66</f>
        <v>0</v>
      </c>
      <c r="K17" s="788">
        <f>'2.Market-Rate Rental Housing'!J66</f>
        <v>0</v>
      </c>
      <c r="L17" s="788">
        <f>'2.Market-Rate Rental Housing'!K66</f>
        <v>0</v>
      </c>
      <c r="M17" s="788">
        <f>'2.Market-Rate Rental Housing'!L66</f>
        <v>0</v>
      </c>
      <c r="N17" s="615">
        <f>'2.Market-Rate Rental Housing'!M66</f>
        <v>0</v>
      </c>
    </row>
    <row r="18" spans="1:16">
      <c r="A18" s="575" t="s">
        <v>64</v>
      </c>
      <c r="B18" s="604"/>
      <c r="C18" s="604"/>
      <c r="D18" s="789">
        <f>'3.Market-Rate For-Sale Housing'!C33</f>
        <v>0</v>
      </c>
      <c r="E18" s="581">
        <f>'3.Market-Rate For-Sale Housing'!D33</f>
        <v>0</v>
      </c>
      <c r="F18" s="619">
        <f>'3.Market-Rate For-Sale Housing'!E33</f>
        <v>0</v>
      </c>
      <c r="G18" s="620">
        <f>'3.Market-Rate For-Sale Housing'!F33</f>
        <v>0</v>
      </c>
      <c r="H18" s="581">
        <f>'3.Market-Rate For-Sale Housing'!G33</f>
        <v>0</v>
      </c>
      <c r="I18" s="619">
        <f>'3.Market-Rate For-Sale Housing'!H33</f>
        <v>14648484.799243467</v>
      </c>
      <c r="J18" s="620">
        <f>'3.Market-Rate For-Sale Housing'!I33</f>
        <v>17504834.403256409</v>
      </c>
      <c r="K18" s="619">
        <f>'3.Market-Rate For-Sale Housing'!J33</f>
        <v>0</v>
      </c>
      <c r="L18" s="619">
        <f>'3.Market-Rate For-Sale Housing'!K33</f>
        <v>0</v>
      </c>
      <c r="M18" s="619">
        <f>'3.Market-Rate For-Sale Housing'!L33</f>
        <v>0</v>
      </c>
      <c r="N18" s="620">
        <f>'3.Market-Rate For-Sale Housing'!M33</f>
        <v>0</v>
      </c>
    </row>
    <row r="19" spans="1:16">
      <c r="A19" s="575" t="s">
        <v>65</v>
      </c>
      <c r="B19" s="604"/>
      <c r="C19" s="604"/>
      <c r="D19" s="789">
        <f>'4.Affordable Rental Housing'!C34</f>
        <v>0</v>
      </c>
      <c r="E19" s="581">
        <f>'4.Affordable Rental Housing'!D34</f>
        <v>7270560</v>
      </c>
      <c r="F19" s="619">
        <f>'4.Affordable Rental Housing'!E34</f>
        <v>14831942.4</v>
      </c>
      <c r="G19" s="620">
        <f>'4.Affordable Rental Housing'!F34</f>
        <v>0</v>
      </c>
      <c r="H19" s="581">
        <f>'4.Affordable Rental Housing'!G34</f>
        <v>0</v>
      </c>
      <c r="I19" s="619">
        <f>'4.Affordable Rental Housing'!H34</f>
        <v>11804831.947814399</v>
      </c>
      <c r="J19" s="620">
        <f>'4.Affordable Rental Housing'!I34</f>
        <v>0</v>
      </c>
      <c r="K19" s="619">
        <f>'4.Affordable Rental Housing'!J34</f>
        <v>0</v>
      </c>
      <c r="L19" s="619">
        <f>'4.Affordable Rental Housing'!K34</f>
        <v>0</v>
      </c>
      <c r="M19" s="619">
        <f>'4.Affordable Rental Housing'!L34</f>
        <v>0</v>
      </c>
      <c r="N19" s="620">
        <f>'4.Affordable Rental Housing'!M34</f>
        <v>0</v>
      </c>
    </row>
    <row r="20" spans="1:16">
      <c r="A20" s="575" t="s">
        <v>301</v>
      </c>
      <c r="B20" s="604"/>
      <c r="C20" s="604"/>
      <c r="D20" s="789">
        <f>'5.Affordable For-Sale Housing '!C25</f>
        <v>0</v>
      </c>
      <c r="E20" s="581">
        <f>'5.Affordable For-Sale Housing '!D25</f>
        <v>0</v>
      </c>
      <c r="F20" s="619">
        <f>'5.Affordable For-Sale Housing '!E25</f>
        <v>0</v>
      </c>
      <c r="G20" s="620">
        <f>'5.Affordable For-Sale Housing '!F25</f>
        <v>0</v>
      </c>
      <c r="H20" s="581">
        <f>'5.Affordable For-Sale Housing '!G25</f>
        <v>0</v>
      </c>
      <c r="I20" s="619">
        <f>'5.Affordable For-Sale Housing '!H25</f>
        <v>0</v>
      </c>
      <c r="J20" s="620">
        <f>'5.Affordable For-Sale Housing '!I25</f>
        <v>8830014.2969651725</v>
      </c>
      <c r="K20" s="619">
        <f>'5.Affordable For-Sale Housing '!J25</f>
        <v>0</v>
      </c>
      <c r="L20" s="619">
        <f>'5.Affordable For-Sale Housing '!K25</f>
        <v>0</v>
      </c>
      <c r="M20" s="619">
        <f>'5.Affordable For-Sale Housing '!L25</f>
        <v>0</v>
      </c>
      <c r="N20" s="620">
        <f>'5.Affordable For-Sale Housing '!M25</f>
        <v>0</v>
      </c>
    </row>
    <row r="21" spans="1:16">
      <c r="A21" s="575" t="s">
        <v>66</v>
      </c>
      <c r="B21" s="604"/>
      <c r="C21" s="604"/>
      <c r="D21" s="789">
        <f>'6.Office'!C35</f>
        <v>0</v>
      </c>
      <c r="E21" s="581">
        <f>'6.Office'!D35</f>
        <v>14053902.720000001</v>
      </c>
      <c r="F21" s="619">
        <f>'6.Office'!E35</f>
        <v>35051542.099199995</v>
      </c>
      <c r="G21" s="620">
        <f>'6.Office'!F35</f>
        <v>0</v>
      </c>
      <c r="H21" s="581">
        <f>'6.Office'!G35</f>
        <v>0</v>
      </c>
      <c r="I21" s="619">
        <f>'6.Office'!H35</f>
        <v>0</v>
      </c>
      <c r="J21" s="620">
        <f>'6.Office'!I35</f>
        <v>0</v>
      </c>
      <c r="K21" s="619">
        <f>'6.Office'!J35</f>
        <v>0</v>
      </c>
      <c r="L21" s="619">
        <f>'6.Office'!K35</f>
        <v>0</v>
      </c>
      <c r="M21" s="619">
        <f>'6.Office'!L35</f>
        <v>0</v>
      </c>
      <c r="N21" s="620">
        <f>'6.Office'!M35</f>
        <v>0</v>
      </c>
    </row>
    <row r="22" spans="1:16">
      <c r="A22" s="575" t="s">
        <v>317</v>
      </c>
      <c r="B22" s="604"/>
      <c r="C22" s="604"/>
      <c r="D22" s="789">
        <f>'7.Industrial (Brewery)'!C26</f>
        <v>0</v>
      </c>
      <c r="E22" s="581">
        <f>'7.Industrial (Brewery)'!D26</f>
        <v>0</v>
      </c>
      <c r="F22" s="619">
        <f>'7.Industrial (Brewery)'!E26</f>
        <v>0</v>
      </c>
      <c r="G22" s="620">
        <f>'7.Industrial (Brewery)'!F26</f>
        <v>6054472.8397448054</v>
      </c>
      <c r="H22" s="581">
        <f>'7.Industrial (Brewery)'!G26</f>
        <v>12351124.593079403</v>
      </c>
      <c r="I22" s="619">
        <f>'7.Industrial (Brewery)'!H26</f>
        <v>0</v>
      </c>
      <c r="J22" s="620">
        <f>'7.Industrial (Brewery)'!I26</f>
        <v>0</v>
      </c>
      <c r="K22" s="619">
        <f>'7.Industrial (Brewery)'!J26</f>
        <v>0</v>
      </c>
      <c r="L22" s="619">
        <f>'7.Industrial (Brewery)'!K26</f>
        <v>0</v>
      </c>
      <c r="M22" s="619">
        <f>'7.Industrial (Brewery)'!L26</f>
        <v>0</v>
      </c>
      <c r="N22" s="620">
        <f>'7.Industrial (Brewery)'!M26</f>
        <v>0</v>
      </c>
    </row>
    <row r="23" spans="1:16">
      <c r="A23" s="575" t="s">
        <v>67</v>
      </c>
      <c r="B23" s="604"/>
      <c r="C23" s="604"/>
      <c r="D23" s="789">
        <f>'8.Market-Rate Retail'!C91</f>
        <v>0</v>
      </c>
      <c r="E23" s="581">
        <f>'8.Market-Rate Retail'!D91</f>
        <v>0</v>
      </c>
      <c r="F23" s="619">
        <f>'8.Market-Rate Retail'!E91</f>
        <v>4650088.608</v>
      </c>
      <c r="G23" s="620">
        <f>'8.Market-Rate Retail'!F91</f>
        <v>0</v>
      </c>
      <c r="H23" s="581">
        <f>'8.Market-Rate Retail'!G91</f>
        <v>0</v>
      </c>
      <c r="I23" s="619">
        <f>'8.Market-Rate Retail'!H91</f>
        <v>11336136.39788636</v>
      </c>
      <c r="J23" s="620">
        <f>'8.Market-Rate Retail'!I91</f>
        <v>8673928.1856551785</v>
      </c>
      <c r="K23" s="619">
        <f>'8.Market-Rate Retail'!J91</f>
        <v>0</v>
      </c>
      <c r="L23" s="619">
        <f>'8.Market-Rate Retail'!K91</f>
        <v>0</v>
      </c>
      <c r="M23" s="619">
        <f>'8.Market-Rate Retail'!L91</f>
        <v>0</v>
      </c>
      <c r="N23" s="620">
        <f>'8.Market-Rate Retail'!M91</f>
        <v>0</v>
      </c>
    </row>
    <row r="24" spans="1:16">
      <c r="A24" s="575" t="s">
        <v>48</v>
      </c>
      <c r="B24" s="604"/>
      <c r="C24" s="604"/>
      <c r="D24" s="789">
        <f>'9.Hotel'!C21</f>
        <v>0</v>
      </c>
      <c r="E24" s="581">
        <f>'9.Hotel'!D21</f>
        <v>0</v>
      </c>
      <c r="F24" s="619">
        <f>'9.Hotel'!E21</f>
        <v>0</v>
      </c>
      <c r="G24" s="620">
        <f>'9.Hotel'!F21</f>
        <v>19330217.837567996</v>
      </c>
      <c r="H24" s="581">
        <f>'9.Hotel'!G21</f>
        <v>39433644.388638712</v>
      </c>
      <c r="I24" s="619">
        <f>'9.Hotel'!H21</f>
        <v>0</v>
      </c>
      <c r="J24" s="620">
        <f>'9.Hotel'!I21</f>
        <v>0</v>
      </c>
      <c r="K24" s="619">
        <f>'9.Hotel'!J21</f>
        <v>0</v>
      </c>
      <c r="L24" s="619">
        <f>'9.Hotel'!K21</f>
        <v>0</v>
      </c>
      <c r="M24" s="619">
        <f>'9.Hotel'!L21</f>
        <v>0</v>
      </c>
      <c r="N24" s="620">
        <f>'9.Hotel'!M21</f>
        <v>0</v>
      </c>
    </row>
    <row r="25" spans="1:16">
      <c r="A25" s="575" t="s">
        <v>49</v>
      </c>
      <c r="B25" s="604"/>
      <c r="C25" s="604"/>
      <c r="D25" s="789">
        <f>'10.Structured Parking'!C53</f>
        <v>0</v>
      </c>
      <c r="E25" s="581">
        <f>'10.Structured Parking'!D53</f>
        <v>14822054.4384</v>
      </c>
      <c r="F25" s="619">
        <f>'10.Structured Parking'!E53</f>
        <v>0</v>
      </c>
      <c r="G25" s="620">
        <f>'10.Structured Parking'!F53</f>
        <v>18147935.929185215</v>
      </c>
      <c r="H25" s="581">
        <f>'10.Structured Parking'!G53</f>
        <v>0</v>
      </c>
      <c r="I25" s="619">
        <f>'10.Structured Parking'!H53</f>
        <v>0</v>
      </c>
      <c r="J25" s="620">
        <f>'10.Structured Parking'!I53</f>
        <v>0</v>
      </c>
      <c r="K25" s="619">
        <f>'10.Structured Parking'!J53</f>
        <v>0</v>
      </c>
      <c r="L25" s="619">
        <f>'10.Structured Parking'!K53</f>
        <v>0</v>
      </c>
      <c r="M25" s="619">
        <f>'10.Structured Parking'!L53</f>
        <v>0</v>
      </c>
      <c r="N25" s="620">
        <f>'10.Structured Parking'!M53</f>
        <v>0</v>
      </c>
    </row>
    <row r="26" spans="1:16" hidden="1">
      <c r="A26" s="575" t="s">
        <v>50</v>
      </c>
      <c r="B26" s="604"/>
      <c r="C26" s="604"/>
      <c r="D26" s="789" t="e">
        <f>#REF!</f>
        <v>#REF!</v>
      </c>
      <c r="E26" s="581" t="e">
        <f>#REF!</f>
        <v>#REF!</v>
      </c>
      <c r="F26" s="619" t="e">
        <f>#REF!</f>
        <v>#REF!</v>
      </c>
      <c r="G26" s="620" t="e">
        <f>#REF!</f>
        <v>#REF!</v>
      </c>
      <c r="H26" s="581" t="e">
        <f>#REF!</f>
        <v>#REF!</v>
      </c>
      <c r="I26" s="619" t="e">
        <f>#REF!</f>
        <v>#REF!</v>
      </c>
      <c r="J26" s="620" t="e">
        <f>#REF!</f>
        <v>#REF!</v>
      </c>
      <c r="K26" s="619" t="e">
        <f>#REF!</f>
        <v>#REF!</v>
      </c>
      <c r="L26" s="619" t="e">
        <f>#REF!</f>
        <v>#REF!</v>
      </c>
      <c r="M26" s="619" t="e">
        <f>#REF!</f>
        <v>#REF!</v>
      </c>
      <c r="N26" s="620" t="e">
        <f>#REF!</f>
        <v>#REF!</v>
      </c>
    </row>
    <row r="27" spans="1:16">
      <c r="A27" s="575" t="s">
        <v>68</v>
      </c>
      <c r="B27" s="604"/>
      <c r="C27" s="604"/>
      <c r="D27" s="789">
        <f>'Land Acquisition'!E11</f>
        <v>1921350</v>
      </c>
      <c r="E27" s="581">
        <f>'Land Acquisition'!E13</f>
        <v>5969681.4000000004</v>
      </c>
      <c r="F27" s="619">
        <v>0</v>
      </c>
      <c r="G27" s="620">
        <f t="shared" ref="G27:N29" si="2">F27</f>
        <v>0</v>
      </c>
      <c r="H27" s="581">
        <f t="shared" si="2"/>
        <v>0</v>
      </c>
      <c r="I27" s="619">
        <f t="shared" si="2"/>
        <v>0</v>
      </c>
      <c r="J27" s="620">
        <f t="shared" si="2"/>
        <v>0</v>
      </c>
      <c r="K27" s="619">
        <f t="shared" si="2"/>
        <v>0</v>
      </c>
      <c r="L27" s="619">
        <f t="shared" si="2"/>
        <v>0</v>
      </c>
      <c r="M27" s="619">
        <f t="shared" si="2"/>
        <v>0</v>
      </c>
      <c r="N27" s="620">
        <f t="shared" si="2"/>
        <v>0</v>
      </c>
    </row>
    <row r="28" spans="1:16">
      <c r="A28" s="575" t="s">
        <v>8</v>
      </c>
      <c r="B28" s="604"/>
      <c r="C28" s="604"/>
      <c r="D28" s="789">
        <f>'1.Infrastructure Costs'!D15</f>
        <v>0</v>
      </c>
      <c r="E28" s="581">
        <f>'1.Infrastructure Costs'!E15</f>
        <v>1342512.1</v>
      </c>
      <c r="F28" s="619">
        <f>'1.Infrastructure Costs'!F15</f>
        <v>3691704.2832959997</v>
      </c>
      <c r="G28" s="620">
        <f>'1.Infrastructure Costs'!G15</f>
        <v>3446115.0977185918</v>
      </c>
      <c r="H28" s="581">
        <f>'1.Infrastructure Costs'!H15</f>
        <v>4997334.0452166712</v>
      </c>
      <c r="I28" s="619">
        <f>'1.Infrastructure Costs'!I15</f>
        <v>6221249.6459716717</v>
      </c>
      <c r="J28" s="620">
        <f>'1.Infrastructure Costs'!J15</f>
        <v>5858652.3218708485</v>
      </c>
      <c r="K28" s="619">
        <f>'1.Infrastructure Costs'!K15</f>
        <v>332232.91979711666</v>
      </c>
      <c r="L28" s="619">
        <f>'1.Infrastructure Costs'!L15</f>
        <v>523531.09663901606</v>
      </c>
      <c r="M28" s="619">
        <f>'1.Infrastructure Costs'!M15</f>
        <v>691310.25951384031</v>
      </c>
      <c r="N28" s="620">
        <f>'1.Infrastructure Costs'!N15</f>
        <v>0</v>
      </c>
    </row>
    <row r="29" spans="1:16">
      <c r="A29" s="582" t="s">
        <v>327</v>
      </c>
      <c r="B29" s="639"/>
      <c r="C29" s="639"/>
      <c r="D29" s="791">
        <f>'Land Acquisition'!F22</f>
        <v>209742</v>
      </c>
      <c r="E29" s="627">
        <v>0</v>
      </c>
      <c r="F29" s="628">
        <f>E29</f>
        <v>0</v>
      </c>
      <c r="G29" s="629">
        <f t="shared" si="2"/>
        <v>0</v>
      </c>
      <c r="H29" s="627">
        <f t="shared" si="2"/>
        <v>0</v>
      </c>
      <c r="I29" s="628">
        <f t="shared" si="2"/>
        <v>0</v>
      </c>
      <c r="J29" s="629">
        <f t="shared" si="2"/>
        <v>0</v>
      </c>
      <c r="K29" s="628">
        <f t="shared" si="2"/>
        <v>0</v>
      </c>
      <c r="L29" s="628">
        <f t="shared" si="2"/>
        <v>0</v>
      </c>
      <c r="M29" s="628">
        <f t="shared" si="2"/>
        <v>0</v>
      </c>
      <c r="N29" s="629">
        <f t="shared" si="2"/>
        <v>0</v>
      </c>
    </row>
    <row r="30" spans="1:16">
      <c r="A30" s="575" t="s">
        <v>308</v>
      </c>
      <c r="B30" s="604"/>
      <c r="C30" s="604"/>
      <c r="D30" s="789">
        <f>F83</f>
        <v>2612513.486542841</v>
      </c>
      <c r="E30" s="581"/>
      <c r="F30" s="619"/>
      <c r="G30" s="620"/>
      <c r="H30" s="581"/>
      <c r="I30" s="619"/>
      <c r="J30" s="620"/>
      <c r="K30" s="619"/>
      <c r="L30" s="619"/>
      <c r="M30" s="619"/>
      <c r="N30" s="620"/>
    </row>
    <row r="31" spans="1:16" ht="16.2" thickBot="1">
      <c r="A31" s="568" t="s">
        <v>3</v>
      </c>
      <c r="B31" s="569"/>
      <c r="C31" s="559"/>
      <c r="D31" s="632" t="e">
        <f>SUM(D17:D30)</f>
        <v>#REF!</v>
      </c>
      <c r="E31" s="570" t="e">
        <f t="shared" ref="E31:N31" si="3">SUM(E17:E29)</f>
        <v>#REF!</v>
      </c>
      <c r="F31" s="647" t="e">
        <f t="shared" si="3"/>
        <v>#REF!</v>
      </c>
      <c r="G31" s="648" t="e">
        <f t="shared" si="3"/>
        <v>#REF!</v>
      </c>
      <c r="H31" s="570" t="e">
        <f t="shared" si="3"/>
        <v>#REF!</v>
      </c>
      <c r="I31" s="647" t="e">
        <f t="shared" si="3"/>
        <v>#REF!</v>
      </c>
      <c r="J31" s="648" t="e">
        <f t="shared" si="3"/>
        <v>#REF!</v>
      </c>
      <c r="K31" s="641" t="e">
        <f t="shared" si="3"/>
        <v>#REF!</v>
      </c>
      <c r="L31" s="641" t="e">
        <f t="shared" si="3"/>
        <v>#REF!</v>
      </c>
      <c r="M31" s="641" t="e">
        <f t="shared" si="3"/>
        <v>#REF!</v>
      </c>
      <c r="N31" s="642" t="e">
        <f t="shared" si="3"/>
        <v>#REF!</v>
      </c>
    </row>
    <row r="32" spans="1:16" ht="16.2" thickBot="1">
      <c r="A32" s="28" t="s">
        <v>4</v>
      </c>
      <c r="B32" s="29"/>
      <c r="C32" s="29"/>
      <c r="D32" s="494"/>
      <c r="E32" s="422"/>
      <c r="F32" s="18"/>
      <c r="G32" s="24"/>
      <c r="H32" s="422"/>
      <c r="I32" s="18"/>
      <c r="J32" s="24"/>
      <c r="K32" s="422"/>
      <c r="L32" s="18"/>
      <c r="M32" s="18"/>
      <c r="N32" s="24"/>
      <c r="P32" s="472"/>
    </row>
    <row r="33" spans="1:14">
      <c r="A33" s="613" t="s">
        <v>5</v>
      </c>
      <c r="B33" s="614"/>
      <c r="C33" s="560"/>
      <c r="D33" s="615" t="e">
        <f>D15</f>
        <v>#REF!</v>
      </c>
      <c r="E33" s="580" t="e">
        <f t="shared" ref="E33:N33" si="4">E15</f>
        <v>#REF!</v>
      </c>
      <c r="F33" s="616" t="e">
        <f t="shared" si="4"/>
        <v>#REF!</v>
      </c>
      <c r="G33" s="617" t="e">
        <f t="shared" si="4"/>
        <v>#REF!</v>
      </c>
      <c r="H33" s="580" t="e">
        <f t="shared" si="4"/>
        <v>#REF!</v>
      </c>
      <c r="I33" s="616" t="e">
        <f t="shared" si="4"/>
        <v>#REF!</v>
      </c>
      <c r="J33" s="617" t="e">
        <f t="shared" si="4"/>
        <v>#REF!</v>
      </c>
      <c r="K33" s="580" t="e">
        <f t="shared" si="4"/>
        <v>#REF!</v>
      </c>
      <c r="L33" s="616" t="e">
        <f t="shared" si="4"/>
        <v>#REF!</v>
      </c>
      <c r="M33" s="616" t="e">
        <f t="shared" si="4"/>
        <v>#REF!</v>
      </c>
      <c r="N33" s="617" t="e">
        <f t="shared" si="4"/>
        <v>#REF!</v>
      </c>
    </row>
    <row r="34" spans="1:14" ht="15.6">
      <c r="A34" s="575" t="s">
        <v>58</v>
      </c>
      <c r="B34" s="585" t="s">
        <v>231</v>
      </c>
      <c r="C34" s="782" t="e">
        <f>N33/N34</f>
        <v>#REF!</v>
      </c>
      <c r="D34" s="618"/>
      <c r="E34" s="781">
        <f>D115*1.03</f>
        <v>1372475</v>
      </c>
      <c r="F34" s="619"/>
      <c r="G34" s="620"/>
      <c r="H34" s="581"/>
      <c r="I34" s="619"/>
      <c r="J34" s="620"/>
      <c r="K34" s="581"/>
      <c r="L34" s="621"/>
      <c r="M34" s="622"/>
      <c r="N34" s="620" t="e">
        <f>SUM('2.Market-Rate Rental Housing'!M69+'4.Affordable Rental Housing'!M37+'6.Office'!M38+'7.Industrial (Brewery)'!M29+'8.Market-Rate Retail'!M94+'9.Hotel'!M24+'10.Structured Parking'!M56+#REF!)</f>
        <v>#REF!</v>
      </c>
    </row>
    <row r="35" spans="1:14">
      <c r="A35" s="575" t="s">
        <v>28</v>
      </c>
      <c r="B35" s="560"/>
      <c r="C35" s="793">
        <v>0.03</v>
      </c>
      <c r="D35" s="618"/>
      <c r="E35" s="581">
        <f>-E34*C35</f>
        <v>-41174.25</v>
      </c>
      <c r="F35" s="619"/>
      <c r="G35" s="620"/>
      <c r="H35" s="581"/>
      <c r="I35" s="619"/>
      <c r="J35" s="620"/>
      <c r="K35" s="581"/>
      <c r="L35" s="619"/>
      <c r="M35" s="619"/>
      <c r="N35" s="620" t="e">
        <f>N34*-C35</f>
        <v>#REF!</v>
      </c>
    </row>
    <row r="36" spans="1:14">
      <c r="A36" s="582" t="s">
        <v>201</v>
      </c>
      <c r="B36" s="567"/>
      <c r="C36" s="567"/>
      <c r="D36" s="626" t="e">
        <f>-D31</f>
        <v>#REF!</v>
      </c>
      <c r="E36" s="627" t="e">
        <f t="shared" ref="E36:N36" si="5">-E31</f>
        <v>#REF!</v>
      </c>
      <c r="F36" s="628" t="e">
        <f t="shared" si="5"/>
        <v>#REF!</v>
      </c>
      <c r="G36" s="629" t="e">
        <f t="shared" si="5"/>
        <v>#REF!</v>
      </c>
      <c r="H36" s="627" t="e">
        <f t="shared" si="5"/>
        <v>#REF!</v>
      </c>
      <c r="I36" s="628" t="e">
        <f t="shared" si="5"/>
        <v>#REF!</v>
      </c>
      <c r="J36" s="629" t="e">
        <f t="shared" si="5"/>
        <v>#REF!</v>
      </c>
      <c r="K36" s="627" t="e">
        <f t="shared" si="5"/>
        <v>#REF!</v>
      </c>
      <c r="L36" s="628" t="e">
        <f t="shared" si="5"/>
        <v>#REF!</v>
      </c>
      <c r="M36" s="628" t="e">
        <f t="shared" si="5"/>
        <v>#REF!</v>
      </c>
      <c r="N36" s="629" t="e">
        <f t="shared" si="5"/>
        <v>#REF!</v>
      </c>
    </row>
    <row r="37" spans="1:14" ht="15.6">
      <c r="A37" s="584" t="s">
        <v>6</v>
      </c>
      <c r="B37" s="585"/>
      <c r="C37" s="585"/>
      <c r="D37" s="630" t="e">
        <f>SUM(D33:D36)</f>
        <v>#REF!</v>
      </c>
      <c r="E37" s="631" t="e">
        <f t="shared" ref="E37:N37" si="6">SUM(E33:E36)</f>
        <v>#REF!</v>
      </c>
      <c r="F37" s="632" t="e">
        <f t="shared" si="6"/>
        <v>#REF!</v>
      </c>
      <c r="G37" s="630" t="e">
        <f t="shared" si="6"/>
        <v>#REF!</v>
      </c>
      <c r="H37" s="631" t="e">
        <f t="shared" si="6"/>
        <v>#REF!</v>
      </c>
      <c r="I37" s="632" t="e">
        <f t="shared" si="6"/>
        <v>#REF!</v>
      </c>
      <c r="J37" s="630" t="e">
        <f t="shared" si="6"/>
        <v>#REF!</v>
      </c>
      <c r="K37" s="631" t="e">
        <f t="shared" si="6"/>
        <v>#REF!</v>
      </c>
      <c r="L37" s="632" t="e">
        <f t="shared" si="6"/>
        <v>#REF!</v>
      </c>
      <c r="M37" s="632" t="e">
        <f t="shared" si="6"/>
        <v>#REF!</v>
      </c>
      <c r="N37" s="630" t="e">
        <f t="shared" si="6"/>
        <v>#REF!</v>
      </c>
    </row>
    <row r="38" spans="1:14" ht="16.2" thickBot="1">
      <c r="A38" s="633" t="s">
        <v>265</v>
      </c>
      <c r="B38" s="600"/>
      <c r="C38" s="600"/>
      <c r="D38" s="794">
        <f>-Financing!B19</f>
        <v>0</v>
      </c>
      <c r="E38" s="795">
        <f>-Financing!C19</f>
        <v>0</v>
      </c>
      <c r="F38" s="796">
        <f>-Financing!D19</f>
        <v>-420092.7185254686</v>
      </c>
      <c r="G38" s="797">
        <f>-Financing!E19</f>
        <v>-2596724.0488503696</v>
      </c>
      <c r="H38" s="795">
        <f>-Financing!F19</f>
        <v>-6105355.5289504034</v>
      </c>
      <c r="I38" s="796">
        <f>-Financing!G19</f>
        <v>-8540206.3559038993</v>
      </c>
      <c r="J38" s="797">
        <f>-Financing!H19</f>
        <v>-10290645.20019774</v>
      </c>
      <c r="K38" s="795">
        <f>-Financing!I19</f>
        <v>-10290645.20019774</v>
      </c>
      <c r="L38" s="796">
        <f>-Financing!J19</f>
        <v>-10290645.20019774</v>
      </c>
      <c r="M38" s="796">
        <f>-Financing!K19</f>
        <v>-10290645.20019774</v>
      </c>
      <c r="N38" s="797">
        <f>-Financing!L19</f>
        <v>-10290645.20019774</v>
      </c>
    </row>
    <row r="39" spans="1:14" ht="16.2" thickBot="1">
      <c r="A39" s="784" t="s">
        <v>325</v>
      </c>
      <c r="B39" s="585"/>
      <c r="C39" s="585"/>
      <c r="D39" s="789">
        <f>Financing!B34</f>
        <v>-35897268.64654284</v>
      </c>
      <c r="E39" s="619">
        <f>Financing!C34</f>
        <v>-43218816.518399999</v>
      </c>
      <c r="F39" s="619">
        <f>Financing!D34</f>
        <v>-44406895.682752296</v>
      </c>
      <c r="G39" s="619">
        <f>Financing!E34</f>
        <v>40118088.181173086</v>
      </c>
      <c r="H39" s="619">
        <f>Financing!F34</f>
        <v>44913313.202064075</v>
      </c>
      <c r="I39" s="619">
        <f>Financing!G34</f>
        <v>57750630.947661996</v>
      </c>
      <c r="J39" s="619">
        <f>Financing!H34</f>
        <v>66448907.323840544</v>
      </c>
      <c r="K39" s="619">
        <f>Financing!I34</f>
        <v>73016490.662734181</v>
      </c>
      <c r="L39" s="619">
        <f>Financing!J34</f>
        <v>54416468.758201621</v>
      </c>
      <c r="M39" s="619">
        <f>Financing!K34</f>
        <v>53482839.499688685</v>
      </c>
      <c r="N39" s="619">
        <f>Financing!L34</f>
        <v>786563678.77901411</v>
      </c>
    </row>
    <row r="40" spans="1:14" ht="15.6">
      <c r="A40" s="649"/>
      <c r="B40" s="650"/>
      <c r="C40" s="650"/>
      <c r="D40" s="651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.6">
      <c r="A41" s="25" t="s">
        <v>202</v>
      </c>
      <c r="B41" s="25"/>
      <c r="C41" s="475" t="e">
        <f>D37+NPV(0.09,E37:N37)</f>
        <v>#REF!</v>
      </c>
      <c r="D41" s="9"/>
      <c r="E41" s="11"/>
      <c r="F41" s="11"/>
      <c r="G41" s="11"/>
      <c r="H41" s="10"/>
      <c r="I41" s="11"/>
      <c r="J41" s="11"/>
      <c r="K41" s="11"/>
      <c r="L41" s="11"/>
      <c r="M41" s="11"/>
      <c r="N41" s="11"/>
    </row>
    <row r="42" spans="1:14" ht="16.2" thickBot="1">
      <c r="A42" s="652" t="s">
        <v>69</v>
      </c>
      <c r="B42" s="25"/>
      <c r="C42" s="706" t="e">
        <f>M76/N34</f>
        <v>#REF!</v>
      </c>
      <c r="D42" s="9"/>
      <c r="E42" s="11"/>
      <c r="F42" s="11"/>
      <c r="G42" s="11"/>
      <c r="H42" s="26"/>
      <c r="I42" s="11"/>
      <c r="J42" s="11"/>
      <c r="K42" s="11"/>
      <c r="L42" s="11"/>
      <c r="M42" s="11"/>
      <c r="N42" s="11"/>
    </row>
    <row r="43" spans="1:14" ht="15.6">
      <c r="A43" s="25" t="s">
        <v>70</v>
      </c>
      <c r="B43" s="25"/>
      <c r="C43" s="706" t="e">
        <f>IRR(D37:N37,0)</f>
        <v>#VALUE!</v>
      </c>
      <c r="D43" s="9"/>
      <c r="E43" s="11"/>
      <c r="F43" s="11"/>
      <c r="G43" s="31" t="s">
        <v>71</v>
      </c>
      <c r="H43" s="32"/>
      <c r="I43" s="32"/>
      <c r="J43" s="473">
        <f>D27</f>
        <v>1921350</v>
      </c>
      <c r="K43" s="11"/>
      <c r="L43" s="11"/>
      <c r="M43" s="11"/>
      <c r="N43" s="11"/>
    </row>
    <row r="44" spans="1:14" ht="16.2" thickBot="1">
      <c r="A44" s="25" t="s">
        <v>230</v>
      </c>
      <c r="B44" s="25"/>
      <c r="C44" s="706">
        <f>Financing!$B$36</f>
        <v>0.39133068934514537</v>
      </c>
      <c r="D44" s="654" t="s">
        <v>229</v>
      </c>
      <c r="E44" s="11"/>
      <c r="F44" s="11"/>
      <c r="G44" s="439" t="s">
        <v>72</v>
      </c>
      <c r="H44" s="20"/>
      <c r="I44" s="20"/>
      <c r="J44" s="474" t="e">
        <f>N34</f>
        <v>#REF!</v>
      </c>
      <c r="K44" s="11"/>
      <c r="L44" s="11"/>
      <c r="M44" s="11"/>
      <c r="N44" s="11"/>
    </row>
    <row r="45" spans="1:14" s="10" customFormat="1" ht="16.2" thickBot="1">
      <c r="A45" s="653"/>
      <c r="B45" s="30"/>
      <c r="C45" s="30"/>
      <c r="D45" s="19"/>
      <c r="E45" s="20"/>
      <c r="F45" s="20"/>
      <c r="G45" s="477"/>
      <c r="H45" s="20"/>
      <c r="I45" s="20"/>
      <c r="J45" s="20"/>
      <c r="K45" s="20"/>
      <c r="L45" s="20"/>
      <c r="M45" s="20"/>
      <c r="N45" s="20"/>
    </row>
    <row r="46" spans="1:14" ht="16.2" thickBot="1">
      <c r="A46" s="798" t="s">
        <v>73</v>
      </c>
      <c r="B46" s="799"/>
      <c r="C46" s="799"/>
      <c r="D46" s="799"/>
      <c r="E46" s="799"/>
      <c r="F46" s="799"/>
      <c r="G46" s="799"/>
      <c r="H46" s="799"/>
      <c r="I46" s="799"/>
      <c r="J46" s="799"/>
      <c r="K46" s="799"/>
      <c r="L46" s="799"/>
      <c r="M46" s="799"/>
      <c r="N46" s="787"/>
    </row>
    <row r="47" spans="1:14" ht="16.2" thickBot="1">
      <c r="A47" s="33"/>
      <c r="B47" s="16"/>
      <c r="C47" s="16"/>
      <c r="D47" s="8" t="s">
        <v>57</v>
      </c>
      <c r="E47" s="333" t="s">
        <v>36</v>
      </c>
      <c r="F47" s="337"/>
      <c r="G47" s="334"/>
      <c r="H47" s="333" t="s">
        <v>78</v>
      </c>
      <c r="I47" s="335"/>
      <c r="J47" s="334"/>
      <c r="K47" s="336" t="s">
        <v>79</v>
      </c>
      <c r="L47" s="336"/>
      <c r="M47" s="337"/>
      <c r="N47" s="334"/>
    </row>
    <row r="48" spans="1:14" s="12" customFormat="1" ht="16.2" thickBot="1">
      <c r="A48" s="4"/>
      <c r="B48" s="5"/>
      <c r="C48" s="6" t="s">
        <v>29</v>
      </c>
      <c r="D48" s="6" t="s">
        <v>267</v>
      </c>
      <c r="E48" s="34">
        <v>2019</v>
      </c>
      <c r="F48" s="6">
        <f t="shared" ref="F48:N48" si="7">E48+1</f>
        <v>2020</v>
      </c>
      <c r="G48" s="7">
        <f t="shared" si="7"/>
        <v>2021</v>
      </c>
      <c r="H48" s="34">
        <f t="shared" si="7"/>
        <v>2022</v>
      </c>
      <c r="I48" s="6">
        <f t="shared" si="7"/>
        <v>2023</v>
      </c>
      <c r="J48" s="7">
        <f t="shared" si="7"/>
        <v>2024</v>
      </c>
      <c r="K48" s="6">
        <f t="shared" si="7"/>
        <v>2025</v>
      </c>
      <c r="L48" s="6">
        <f t="shared" si="7"/>
        <v>2026</v>
      </c>
      <c r="M48" s="6">
        <f t="shared" si="7"/>
        <v>2027</v>
      </c>
      <c r="N48" s="7">
        <f t="shared" si="7"/>
        <v>2028</v>
      </c>
    </row>
    <row r="49" spans="1:14" ht="16.2" thickBot="1">
      <c r="A49" s="23" t="s">
        <v>298</v>
      </c>
      <c r="B49" s="23"/>
      <c r="C49" s="23"/>
      <c r="D49" s="35"/>
      <c r="E49" s="422"/>
      <c r="F49" s="18"/>
      <c r="G49" s="24"/>
      <c r="H49" s="422"/>
      <c r="I49" s="18"/>
      <c r="J49" s="24"/>
      <c r="K49" s="18"/>
      <c r="L49" s="18"/>
      <c r="M49" s="18"/>
      <c r="N49" s="24"/>
    </row>
    <row r="50" spans="1:14">
      <c r="A50" s="575" t="s">
        <v>63</v>
      </c>
      <c r="B50" s="604"/>
      <c r="C50" s="800">
        <f>SUM('2.Market-Rate Rental Housing'!C78:C82)</f>
        <v>350.25</v>
      </c>
      <c r="D50" s="610">
        <f>SUM('2.Market-Rate Rental Housing'!C9,'2.Market-Rate Rental Housing'!C19,'2.Market-Rate Rental Housing'!C29,'2.Market-Rate Rental Housing'!C39,'2.Market-Rate Rental Housing'!C49)</f>
        <v>0</v>
      </c>
      <c r="E50" s="801">
        <f>SUM('2.Market-Rate Rental Housing'!D9,'2.Market-Rate Rental Housing'!D19,'2.Market-Rate Rental Housing'!D29,'2.Market-Rate Rental Housing'!D39,'2.Market-Rate Rental Housing'!D49)</f>
        <v>60</v>
      </c>
      <c r="F50" s="802">
        <f>SUM('2.Market-Rate Rental Housing'!E9,'2.Market-Rate Rental Housing'!E19,'2.Market-Rate Rental Housing'!E29,'2.Market-Rate Rental Housing'!E39,'2.Market-Rate Rental Housing'!E49)</f>
        <v>180</v>
      </c>
      <c r="G50" s="803">
        <f>SUM('2.Market-Rate Rental Housing'!F9,'2.Market-Rate Rental Housing'!F19,'2.Market-Rate Rental Housing'!F29,'2.Market-Rate Rental Housing'!F39,'2.Market-Rate Rental Housing'!F49)</f>
        <v>74</v>
      </c>
      <c r="H50" s="801">
        <f>SUM('2.Market-Rate Rental Housing'!G9,'2.Market-Rate Rental Housing'!G19,'2.Market-Rate Rental Housing'!G29,'2.Market-Rate Rental Housing'!G39,'2.Market-Rate Rental Housing'!G49)</f>
        <v>104</v>
      </c>
      <c r="I50" s="802">
        <f>SUM('2.Market-Rate Rental Housing'!H9,'2.Market-Rate Rental Housing'!H19,'2.Market-Rate Rental Housing'!H29,'2.Market-Rate Rental Housing'!H39,'2.Market-Rate Rental Housing'!H49)</f>
        <v>66</v>
      </c>
      <c r="J50" s="803">
        <f>SUM('2.Market-Rate Rental Housing'!I9,'2.Market-Rate Rental Housing'!I19,'2.Market-Rate Rental Housing'!I29,'2.Market-Rate Rental Housing'!I39,'2.Market-Rate Rental Housing'!I49)</f>
        <v>0</v>
      </c>
      <c r="K50" s="610">
        <f>SUM('2.Market-Rate Rental Housing'!J9,'2.Market-Rate Rental Housing'!J19,'2.Market-Rate Rental Housing'!J29,'2.Market-Rate Rental Housing'!J39,'2.Market-Rate Rental Housing'!J49)</f>
        <v>0</v>
      </c>
      <c r="L50" s="610">
        <f>SUM('2.Market-Rate Rental Housing'!K9,'2.Market-Rate Rental Housing'!K19,'2.Market-Rate Rental Housing'!K29,'2.Market-Rate Rental Housing'!K39,'2.Market-Rate Rental Housing'!K49)</f>
        <v>0</v>
      </c>
      <c r="M50" s="610">
        <f>SUM('2.Market-Rate Rental Housing'!L9,'2.Market-Rate Rental Housing'!L19,'2.Market-Rate Rental Housing'!L29,'2.Market-Rate Rental Housing'!L39,'2.Market-Rate Rental Housing'!L49)</f>
        <v>0</v>
      </c>
      <c r="N50" s="612">
        <f>SUM('2.Market-Rate Rental Housing'!M9,'2.Market-Rate Rental Housing'!M19,'2.Market-Rate Rental Housing'!M29,'2.Market-Rate Rental Housing'!M39,'2.Market-Rate Rental Housing'!M49)</f>
        <v>0</v>
      </c>
    </row>
    <row r="51" spans="1:14">
      <c r="A51" s="575" t="s">
        <v>64</v>
      </c>
      <c r="B51" s="604"/>
      <c r="C51" s="800">
        <f>SUM('3.Market-Rate For-Sale Housing'!C43:C44)</f>
        <v>202.1</v>
      </c>
      <c r="D51" s="804" t="e">
        <f>SUM('3.Market-Rate For-Sale Housing'!C17,'3.Market-Rate For-Sale Housing'!#REF!,'3.Market-Rate For-Sale Housing'!C9)</f>
        <v>#REF!</v>
      </c>
      <c r="E51" s="805" t="e">
        <f>SUM('3.Market-Rate For-Sale Housing'!D17,'3.Market-Rate For-Sale Housing'!#REF!,'3.Market-Rate For-Sale Housing'!D9)</f>
        <v>#REF!</v>
      </c>
      <c r="F51" s="806" t="e">
        <f>SUM('3.Market-Rate For-Sale Housing'!E17,'3.Market-Rate For-Sale Housing'!#REF!,'3.Market-Rate For-Sale Housing'!E9)</f>
        <v>#REF!</v>
      </c>
      <c r="G51" s="807" t="e">
        <f>SUM('3.Market-Rate For-Sale Housing'!F17,'3.Market-Rate For-Sale Housing'!#REF!,'3.Market-Rate For-Sale Housing'!F9)</f>
        <v>#REF!</v>
      </c>
      <c r="H51" s="808" t="e">
        <f>SUM('3.Market-Rate For-Sale Housing'!G17,'3.Market-Rate For-Sale Housing'!#REF!,'3.Market-Rate For-Sale Housing'!G9)</f>
        <v>#REF!</v>
      </c>
      <c r="I51" s="806" t="e">
        <f>SUM('3.Market-Rate For-Sale Housing'!H17,'3.Market-Rate For-Sale Housing'!#REF!,'3.Market-Rate For-Sale Housing'!H9)</f>
        <v>#REF!</v>
      </c>
      <c r="J51" s="807" t="e">
        <f>SUM('3.Market-Rate For-Sale Housing'!I17,'3.Market-Rate For-Sale Housing'!#REF!,'3.Market-Rate For-Sale Housing'!I9)</f>
        <v>#REF!</v>
      </c>
      <c r="K51" s="806" t="e">
        <f>SUM('3.Market-Rate For-Sale Housing'!J17,'3.Market-Rate For-Sale Housing'!#REF!,'3.Market-Rate For-Sale Housing'!J9)</f>
        <v>#REF!</v>
      </c>
      <c r="L51" s="806" t="e">
        <f>SUM('3.Market-Rate For-Sale Housing'!K17,'3.Market-Rate For-Sale Housing'!#REF!,'3.Market-Rate For-Sale Housing'!K9)</f>
        <v>#REF!</v>
      </c>
      <c r="M51" s="806" t="e">
        <f>SUM('3.Market-Rate For-Sale Housing'!L17,'3.Market-Rate For-Sale Housing'!#REF!,'3.Market-Rate For-Sale Housing'!L9)</f>
        <v>#REF!</v>
      </c>
      <c r="N51" s="807" t="e">
        <f>SUM('3.Market-Rate For-Sale Housing'!M17,'3.Market-Rate For-Sale Housing'!#REF!,'3.Market-Rate For-Sale Housing'!M9)</f>
        <v>#REF!</v>
      </c>
    </row>
    <row r="52" spans="1:14">
      <c r="A52" s="575" t="s">
        <v>65</v>
      </c>
      <c r="B52" s="604"/>
      <c r="C52" s="800">
        <f>SUM('4.Affordable Rental Housing'!C46:C47)</f>
        <v>280.5</v>
      </c>
      <c r="D52" s="610" t="e">
        <f>SUM('4.Affordable Rental Housing'!C9,'4.Affordable Rental Housing'!C18,'4.Affordable Rental Housing'!#REF!)</f>
        <v>#REF!</v>
      </c>
      <c r="E52" s="611" t="e">
        <f>SUM('4.Affordable Rental Housing'!D9,'4.Affordable Rental Housing'!D18,'4.Affordable Rental Housing'!#REF!)</f>
        <v>#REF!</v>
      </c>
      <c r="F52" s="610" t="e">
        <f>SUM('4.Affordable Rental Housing'!E9,'4.Affordable Rental Housing'!E18,'4.Affordable Rental Housing'!#REF!)</f>
        <v>#REF!</v>
      </c>
      <c r="G52" s="612" t="e">
        <f>SUM('4.Affordable Rental Housing'!F9,'4.Affordable Rental Housing'!F18,'4.Affordable Rental Housing'!#REF!)</f>
        <v>#REF!</v>
      </c>
      <c r="H52" s="611" t="e">
        <f>SUM('4.Affordable Rental Housing'!G9,'4.Affordable Rental Housing'!G18,'4.Affordable Rental Housing'!#REF!)</f>
        <v>#REF!</v>
      </c>
      <c r="I52" s="610" t="e">
        <f>SUM('4.Affordable Rental Housing'!H9,'4.Affordable Rental Housing'!H18,'4.Affordable Rental Housing'!#REF!)</f>
        <v>#REF!</v>
      </c>
      <c r="J52" s="612" t="e">
        <f>SUM('4.Affordable Rental Housing'!I9,'4.Affordable Rental Housing'!I18,'4.Affordable Rental Housing'!#REF!)</f>
        <v>#REF!</v>
      </c>
      <c r="K52" s="610" t="e">
        <f>SUM('4.Affordable Rental Housing'!J9,'4.Affordable Rental Housing'!J18,'4.Affordable Rental Housing'!#REF!)</f>
        <v>#REF!</v>
      </c>
      <c r="L52" s="610" t="e">
        <f>SUM('4.Affordable Rental Housing'!K9,'4.Affordable Rental Housing'!K18,'4.Affordable Rental Housing'!#REF!)</f>
        <v>#REF!</v>
      </c>
      <c r="M52" s="610" t="e">
        <f>SUM('4.Affordable Rental Housing'!L9,'4.Affordable Rental Housing'!L18,'4.Affordable Rental Housing'!#REF!)</f>
        <v>#REF!</v>
      </c>
      <c r="N52" s="612" t="e">
        <f>SUM('4.Affordable Rental Housing'!M9,'4.Affordable Rental Housing'!M18,'4.Affordable Rental Housing'!#REF!)</f>
        <v>#REF!</v>
      </c>
    </row>
    <row r="53" spans="1:14">
      <c r="A53" s="575" t="s">
        <v>301</v>
      </c>
      <c r="B53" s="604"/>
      <c r="C53" s="800">
        <f>SUM('5.Affordable For-Sale Housing '!C35:C35)</f>
        <v>68.75</v>
      </c>
      <c r="D53" s="610" t="e">
        <f>SUM('5.Affordable For-Sale Housing '!C9,'5.Affordable For-Sale Housing '!#REF!,'5.Affordable For-Sale Housing '!#REF!)</f>
        <v>#REF!</v>
      </c>
      <c r="E53" s="611" t="e">
        <f>SUM('5.Affordable For-Sale Housing '!D9,'5.Affordable For-Sale Housing '!#REF!,'5.Affordable For-Sale Housing '!#REF!)</f>
        <v>#REF!</v>
      </c>
      <c r="F53" s="610" t="e">
        <f>SUM('5.Affordable For-Sale Housing '!E9,'5.Affordable For-Sale Housing '!#REF!,'5.Affordable For-Sale Housing '!#REF!)</f>
        <v>#REF!</v>
      </c>
      <c r="G53" s="612" t="e">
        <f>SUM('5.Affordable For-Sale Housing '!F9,'5.Affordable For-Sale Housing '!#REF!,'5.Affordable For-Sale Housing '!#REF!)</f>
        <v>#REF!</v>
      </c>
      <c r="H53" s="611" t="e">
        <f>SUM('5.Affordable For-Sale Housing '!G9,'5.Affordable For-Sale Housing '!#REF!,'5.Affordable For-Sale Housing '!#REF!)</f>
        <v>#REF!</v>
      </c>
      <c r="I53" s="610" t="e">
        <f>SUM('5.Affordable For-Sale Housing '!H9,'5.Affordable For-Sale Housing '!#REF!,'5.Affordable For-Sale Housing '!#REF!)</f>
        <v>#REF!</v>
      </c>
      <c r="J53" s="612" t="e">
        <f>SUM('5.Affordable For-Sale Housing '!I9,'5.Affordable For-Sale Housing '!#REF!,'5.Affordable For-Sale Housing '!#REF!)</f>
        <v>#REF!</v>
      </c>
      <c r="K53" s="610" t="e">
        <f>SUM('5.Affordable For-Sale Housing '!J9,'5.Affordable For-Sale Housing '!#REF!,'5.Affordable For-Sale Housing '!#REF!)</f>
        <v>#REF!</v>
      </c>
      <c r="L53" s="610" t="e">
        <f>SUM('5.Affordable For-Sale Housing '!K9,'5.Affordable For-Sale Housing '!#REF!,'5.Affordable For-Sale Housing '!#REF!)</f>
        <v>#REF!</v>
      </c>
      <c r="M53" s="610" t="e">
        <f>SUM('5.Affordable For-Sale Housing '!L9,'5.Affordable For-Sale Housing '!#REF!,'5.Affordable For-Sale Housing '!#REF!)</f>
        <v>#REF!</v>
      </c>
      <c r="N53" s="612" t="e">
        <f>SUM('5.Affordable For-Sale Housing '!M9,'5.Affordable For-Sale Housing '!#REF!,'5.Affordable For-Sale Housing '!#REF!)</f>
        <v>#REF!</v>
      </c>
    </row>
    <row r="54" spans="1:14">
      <c r="A54" s="561" t="s">
        <v>48</v>
      </c>
      <c r="B54" s="560"/>
      <c r="C54" s="809">
        <f>'9.Hotel'!C33</f>
        <v>335</v>
      </c>
      <c r="D54" s="610">
        <f>'9.Hotel'!C8</f>
        <v>0</v>
      </c>
      <c r="E54" s="611">
        <f>'9.Hotel'!D8</f>
        <v>0</v>
      </c>
      <c r="F54" s="610">
        <f>'9.Hotel'!E8</f>
        <v>0</v>
      </c>
      <c r="G54" s="612">
        <f>'9.Hotel'!F8</f>
        <v>111.61333333333333</v>
      </c>
      <c r="H54" s="611">
        <f>'9.Hotel'!G8</f>
        <v>223.22666666666666</v>
      </c>
      <c r="I54" s="610">
        <f>'9.Hotel'!H8</f>
        <v>0</v>
      </c>
      <c r="J54" s="612">
        <f>'9.Hotel'!I8</f>
        <v>0</v>
      </c>
      <c r="K54" s="610">
        <f>'9.Hotel'!J8</f>
        <v>0</v>
      </c>
      <c r="L54" s="610">
        <f>'9.Hotel'!K8</f>
        <v>0</v>
      </c>
      <c r="M54" s="610">
        <f>'9.Hotel'!L8</f>
        <v>0</v>
      </c>
      <c r="N54" s="612">
        <f>'9.Hotel'!M8</f>
        <v>0</v>
      </c>
    </row>
    <row r="55" spans="1:14" ht="15.6" thickBot="1">
      <c r="A55" s="561" t="s">
        <v>49</v>
      </c>
      <c r="B55" s="560"/>
      <c r="C55" s="810">
        <f>SUM('10.Structured Parking'!C65:C68)</f>
        <v>5220.9400000000005</v>
      </c>
      <c r="D55" s="610" t="e">
        <f>D66/'10.Structured Parking'!$D$71</f>
        <v>#REF!</v>
      </c>
      <c r="E55" s="611" t="e">
        <f>E66/'10.Structured Parking'!$D$71</f>
        <v>#REF!</v>
      </c>
      <c r="F55" s="610" t="e">
        <f>F66/'10.Structured Parking'!$D$71</f>
        <v>#REF!</v>
      </c>
      <c r="G55" s="612" t="e">
        <f>G66/'10.Structured Parking'!$D$71</f>
        <v>#REF!</v>
      </c>
      <c r="H55" s="611" t="e">
        <f>H66/'10.Structured Parking'!$D$71</f>
        <v>#REF!</v>
      </c>
      <c r="I55" s="610" t="e">
        <f>I66/'10.Structured Parking'!$D$71</f>
        <v>#REF!</v>
      </c>
      <c r="J55" s="612" t="e">
        <f>J66/'10.Structured Parking'!$D$71</f>
        <v>#REF!</v>
      </c>
      <c r="K55" s="610" t="e">
        <f>K66/'10.Structured Parking'!$D$71</f>
        <v>#REF!</v>
      </c>
      <c r="L55" s="610" t="e">
        <f>L66/'10.Structured Parking'!$D$71</f>
        <v>#REF!</v>
      </c>
      <c r="M55" s="610" t="e">
        <f>M66/'10.Structured Parking'!$D$71</f>
        <v>#REF!</v>
      </c>
      <c r="N55" s="612" t="e">
        <f>N66/'10.Structured Parking'!$D$71</f>
        <v>#REF!</v>
      </c>
    </row>
    <row r="56" spans="1:14" ht="15.6" hidden="1" thickBot="1">
      <c r="A56" s="561" t="s">
        <v>50</v>
      </c>
      <c r="B56" s="560"/>
      <c r="C56" s="810" t="e">
        <f>SUM(#REF!)</f>
        <v>#REF!</v>
      </c>
      <c r="D56" s="610" t="e">
        <f>D67/#REF!</f>
        <v>#REF!</v>
      </c>
      <c r="E56" s="611" t="e">
        <f>E67/#REF!</f>
        <v>#REF!</v>
      </c>
      <c r="F56" s="610" t="e">
        <f>F67/#REF!</f>
        <v>#REF!</v>
      </c>
      <c r="G56" s="612" t="e">
        <f>G67/#REF!</f>
        <v>#REF!</v>
      </c>
      <c r="H56" s="611" t="e">
        <f>H67/#REF!</f>
        <v>#REF!</v>
      </c>
      <c r="I56" s="610" t="e">
        <f>I67/#REF!</f>
        <v>#REF!</v>
      </c>
      <c r="J56" s="612" t="e">
        <f>J67/#REF!</f>
        <v>#REF!</v>
      </c>
      <c r="K56" s="610" t="e">
        <f>K67/#REF!</f>
        <v>#REF!</v>
      </c>
      <c r="L56" s="610" t="e">
        <f>L67/#REF!</f>
        <v>#REF!</v>
      </c>
      <c r="M56" s="610" t="e">
        <f>M67/#REF!</f>
        <v>#REF!</v>
      </c>
      <c r="N56" s="612" t="e">
        <f>N67/#REF!</f>
        <v>#REF!</v>
      </c>
    </row>
    <row r="57" spans="1:14" ht="16.2" thickBot="1">
      <c r="A57" s="22" t="s">
        <v>30</v>
      </c>
      <c r="B57" s="23"/>
      <c r="C57" s="17"/>
      <c r="D57" s="17"/>
      <c r="E57" s="422"/>
      <c r="F57" s="18"/>
      <c r="G57" s="24"/>
      <c r="H57" s="422"/>
      <c r="I57" s="18"/>
      <c r="J57" s="24"/>
      <c r="K57" s="18"/>
      <c r="L57" s="18"/>
      <c r="M57" s="18"/>
      <c r="N57" s="24"/>
    </row>
    <row r="58" spans="1:14">
      <c r="A58" s="575" t="s">
        <v>63</v>
      </c>
      <c r="B58" s="576"/>
      <c r="C58" s="811">
        <f>SUM('2.Market-Rate Rental Housing'!D78:D82)</f>
        <v>360600</v>
      </c>
      <c r="D58" s="610">
        <f>D50*'2.Market-Rate Rental Housing'!$B$12</f>
        <v>0</v>
      </c>
      <c r="E58" s="611">
        <f>E50*'2.Market-Rate Rental Housing'!$B$12</f>
        <v>60000</v>
      </c>
      <c r="F58" s="610">
        <f>F50*'2.Market-Rate Rental Housing'!$B$12</f>
        <v>180000</v>
      </c>
      <c r="G58" s="612">
        <f>G50*'2.Market-Rate Rental Housing'!$B$12</f>
        <v>74000</v>
      </c>
      <c r="H58" s="611">
        <f>H50*'2.Market-Rate Rental Housing'!$B$12</f>
        <v>104000</v>
      </c>
      <c r="I58" s="610">
        <f>I50*'2.Market-Rate Rental Housing'!$B$12</f>
        <v>66000</v>
      </c>
      <c r="J58" s="612">
        <f>J50*'2.Market-Rate Rental Housing'!$B$12</f>
        <v>0</v>
      </c>
      <c r="K58" s="610">
        <f>K50*'2.Market-Rate Rental Housing'!$B$12</f>
        <v>0</v>
      </c>
      <c r="L58" s="610">
        <f>L50*'2.Market-Rate Rental Housing'!$B$12</f>
        <v>0</v>
      </c>
      <c r="M58" s="610">
        <f>M50*'2.Market-Rate Rental Housing'!$B$12</f>
        <v>0</v>
      </c>
      <c r="N58" s="612">
        <f>N50*'2.Market-Rate Rental Housing'!$B$12</f>
        <v>0</v>
      </c>
    </row>
    <row r="59" spans="1:14">
      <c r="A59" s="575" t="s">
        <v>64</v>
      </c>
      <c r="B59" s="576"/>
      <c r="C59" s="811">
        <f>SUM('3.Market-Rate For-Sale Housing'!D43:D44)</f>
        <v>202100</v>
      </c>
      <c r="D59" s="610" t="e">
        <f>D51*'3.Market-Rate For-Sale Housing'!$B$20</f>
        <v>#REF!</v>
      </c>
      <c r="E59" s="611" t="e">
        <f>E51*'3.Market-Rate For-Sale Housing'!$B$20</f>
        <v>#REF!</v>
      </c>
      <c r="F59" s="610" t="e">
        <f>F51*'3.Market-Rate For-Sale Housing'!$B$20</f>
        <v>#REF!</v>
      </c>
      <c r="G59" s="612" t="e">
        <f>G51*'3.Market-Rate For-Sale Housing'!$B$20</f>
        <v>#REF!</v>
      </c>
      <c r="H59" s="611" t="e">
        <f>H51*'3.Market-Rate For-Sale Housing'!$B$20</f>
        <v>#REF!</v>
      </c>
      <c r="I59" s="610" t="e">
        <f>I51*'3.Market-Rate For-Sale Housing'!$B$20</f>
        <v>#REF!</v>
      </c>
      <c r="J59" s="612" t="e">
        <f>J51*'3.Market-Rate For-Sale Housing'!$B$20</f>
        <v>#REF!</v>
      </c>
      <c r="K59" s="610" t="e">
        <f>K51*'3.Market-Rate For-Sale Housing'!$B$20</f>
        <v>#REF!</v>
      </c>
      <c r="L59" s="610" t="e">
        <f>L51*'3.Market-Rate For-Sale Housing'!$B$20</f>
        <v>#REF!</v>
      </c>
      <c r="M59" s="610" t="e">
        <f>M51*'3.Market-Rate For-Sale Housing'!$B$20</f>
        <v>#REF!</v>
      </c>
      <c r="N59" s="612" t="e">
        <f>N51*'3.Market-Rate For-Sale Housing'!$B$20</f>
        <v>#REF!</v>
      </c>
    </row>
    <row r="60" spans="1:14">
      <c r="A60" s="575" t="s">
        <v>65</v>
      </c>
      <c r="B60" s="576"/>
      <c r="C60" s="811">
        <f>SUM('4.Affordable Rental Housing'!D46:D47)</f>
        <v>225000</v>
      </c>
      <c r="D60" s="610" t="e">
        <f>D52*'4.Affordable Rental Housing'!$B$12</f>
        <v>#REF!</v>
      </c>
      <c r="E60" s="611" t="e">
        <f>E52*'4.Affordable Rental Housing'!$B$12</f>
        <v>#REF!</v>
      </c>
      <c r="F60" s="610" t="e">
        <f>F52*'4.Affordable Rental Housing'!$B$12</f>
        <v>#REF!</v>
      </c>
      <c r="G60" s="612" t="e">
        <f>G52*'4.Affordable Rental Housing'!$B$12</f>
        <v>#REF!</v>
      </c>
      <c r="H60" s="611" t="e">
        <f>H52*'4.Affordable Rental Housing'!$B$12</f>
        <v>#REF!</v>
      </c>
      <c r="I60" s="610" t="e">
        <f>I52*'4.Affordable Rental Housing'!$B$12</f>
        <v>#REF!</v>
      </c>
      <c r="J60" s="612" t="e">
        <f>J52*'4.Affordable Rental Housing'!$B$12</f>
        <v>#REF!</v>
      </c>
      <c r="K60" s="610" t="e">
        <f>K52*'4.Affordable Rental Housing'!$B$12</f>
        <v>#REF!</v>
      </c>
      <c r="L60" s="610" t="e">
        <f>L52*'4.Affordable Rental Housing'!$B$12</f>
        <v>#REF!</v>
      </c>
      <c r="M60" s="610" t="e">
        <f>M52*'4.Affordable Rental Housing'!$B$12</f>
        <v>#REF!</v>
      </c>
      <c r="N60" s="612" t="e">
        <f>N52*'4.Affordable Rental Housing'!$B$12</f>
        <v>#REF!</v>
      </c>
    </row>
    <row r="61" spans="1:14">
      <c r="A61" s="575" t="s">
        <v>301</v>
      </c>
      <c r="B61" s="576"/>
      <c r="C61" s="811">
        <f>SUM('5.Affordable For-Sale Housing '!D35:D35)</f>
        <v>55000</v>
      </c>
      <c r="D61" s="610" t="e">
        <f>D53*'5.Affordable For-Sale Housing '!$B$12</f>
        <v>#REF!</v>
      </c>
      <c r="E61" s="611" t="e">
        <f>E53*'5.Affordable For-Sale Housing '!$B$12</f>
        <v>#REF!</v>
      </c>
      <c r="F61" s="610" t="e">
        <f>F53*'5.Affordable For-Sale Housing '!$B$12</f>
        <v>#REF!</v>
      </c>
      <c r="G61" s="612" t="e">
        <f>G53*'5.Affordable For-Sale Housing '!$B$12</f>
        <v>#REF!</v>
      </c>
      <c r="H61" s="611" t="e">
        <f>H53*'5.Affordable For-Sale Housing '!$B$12</f>
        <v>#REF!</v>
      </c>
      <c r="I61" s="610" t="e">
        <f>I53*'5.Affordable For-Sale Housing '!$B$12</f>
        <v>#REF!</v>
      </c>
      <c r="J61" s="612" t="e">
        <f>J53*'5.Affordable For-Sale Housing '!$B$12</f>
        <v>#REF!</v>
      </c>
      <c r="K61" s="610" t="e">
        <f>K53*'5.Affordable For-Sale Housing '!$B$12</f>
        <v>#REF!</v>
      </c>
      <c r="L61" s="610" t="e">
        <f>L53*'5.Affordable For-Sale Housing '!$B$12</f>
        <v>#REF!</v>
      </c>
      <c r="M61" s="610" t="e">
        <f>M53*'5.Affordable For-Sale Housing '!$B$12</f>
        <v>#REF!</v>
      </c>
      <c r="N61" s="612" t="e">
        <f>N53*'5.Affordable For-Sale Housing '!$B$12</f>
        <v>#REF!</v>
      </c>
    </row>
    <row r="62" spans="1:14">
      <c r="A62" s="575" t="s">
        <v>66</v>
      </c>
      <c r="B62" s="560"/>
      <c r="C62" s="811">
        <f>SUM('6.Office'!C47:C48)</f>
        <v>359612</v>
      </c>
      <c r="D62" s="610">
        <f>'Development Schedule'!D98</f>
        <v>0</v>
      </c>
      <c r="E62" s="611">
        <f>'Development Schedule'!E98</f>
        <v>104381.33333333333</v>
      </c>
      <c r="F62" s="610">
        <f>'Development Schedule'!F98</f>
        <v>255230.66666666666</v>
      </c>
      <c r="G62" s="612">
        <f>'Development Schedule'!G98</f>
        <v>0</v>
      </c>
      <c r="H62" s="611">
        <f>'Development Schedule'!H98</f>
        <v>0</v>
      </c>
      <c r="I62" s="610">
        <f>'Development Schedule'!I98</f>
        <v>0</v>
      </c>
      <c r="J62" s="612">
        <f>'Development Schedule'!J98</f>
        <v>0</v>
      </c>
      <c r="K62" s="610">
        <f>'Development Schedule'!K98</f>
        <v>0</v>
      </c>
      <c r="L62" s="610">
        <f>'Development Schedule'!L98</f>
        <v>0</v>
      </c>
      <c r="M62" s="610">
        <f>'Development Schedule'!M98</f>
        <v>0</v>
      </c>
      <c r="N62" s="612">
        <f>'Development Schedule'!N98</f>
        <v>0</v>
      </c>
    </row>
    <row r="63" spans="1:14">
      <c r="A63" s="575" t="s">
        <v>318</v>
      </c>
      <c r="B63" s="560"/>
      <c r="C63" s="811">
        <f>SUM('7.Industrial (Brewery)'!C38:C39)</f>
        <v>146118</v>
      </c>
      <c r="D63" s="610">
        <f>'Development Schedule'!D97</f>
        <v>0</v>
      </c>
      <c r="E63" s="611">
        <f>'Development Schedule'!E97</f>
        <v>0</v>
      </c>
      <c r="F63" s="610">
        <f>'Development Schedule'!F97</f>
        <v>0</v>
      </c>
      <c r="G63" s="612">
        <f>'Development Schedule'!G97</f>
        <v>48706</v>
      </c>
      <c r="H63" s="611">
        <f>'Development Schedule'!H97</f>
        <v>97412</v>
      </c>
      <c r="I63" s="610">
        <f>'Development Schedule'!I97</f>
        <v>0</v>
      </c>
      <c r="J63" s="612">
        <f>'Development Schedule'!J97</f>
        <v>0</v>
      </c>
      <c r="K63" s="610">
        <f>'Development Schedule'!K97</f>
        <v>0</v>
      </c>
      <c r="L63" s="610">
        <f>'Development Schedule'!L97</f>
        <v>0</v>
      </c>
      <c r="M63" s="610">
        <f>'Development Schedule'!M97</f>
        <v>0</v>
      </c>
      <c r="N63" s="612">
        <f>'Development Schedule'!N97</f>
        <v>0</v>
      </c>
    </row>
    <row r="64" spans="1:14">
      <c r="A64" s="575" t="s">
        <v>120</v>
      </c>
      <c r="B64" s="560"/>
      <c r="C64" s="811">
        <f>SUM('8.Market-Rate Retail'!C103:C110)</f>
        <v>314728</v>
      </c>
      <c r="D64" s="610">
        <f>'Development Schedule'!D90</f>
        <v>0</v>
      </c>
      <c r="E64" s="611">
        <f>'Development Schedule'!E90</f>
        <v>33860</v>
      </c>
      <c r="F64" s="610">
        <f>'Development Schedule'!F90</f>
        <v>0</v>
      </c>
      <c r="G64" s="612">
        <f>'Development Schedule'!G90</f>
        <v>0</v>
      </c>
      <c r="H64" s="611">
        <f>'Development Schedule'!H90</f>
        <v>77784</v>
      </c>
      <c r="I64" s="610">
        <f>'Development Schedule'!I90</f>
        <v>58350</v>
      </c>
      <c r="J64" s="612">
        <f>'Development Schedule'!J90</f>
        <v>0</v>
      </c>
      <c r="K64" s="610">
        <f>'Development Schedule'!K90</f>
        <v>0</v>
      </c>
      <c r="L64" s="610">
        <f>'Development Schedule'!L90</f>
        <v>0</v>
      </c>
      <c r="M64" s="610">
        <f>'Development Schedule'!M90</f>
        <v>0</v>
      </c>
      <c r="N64" s="612">
        <f>'Development Schedule'!N90</f>
        <v>0</v>
      </c>
    </row>
    <row r="65" spans="1:14">
      <c r="A65" s="575" t="s">
        <v>48</v>
      </c>
      <c r="B65" s="560"/>
      <c r="C65" s="811">
        <f>SUM('9.Hotel'!D33)</f>
        <v>167420</v>
      </c>
      <c r="D65" s="610">
        <f>'Development Schedule'!D89</f>
        <v>0</v>
      </c>
      <c r="E65" s="611">
        <f>'Development Schedule'!E89</f>
        <v>0</v>
      </c>
      <c r="F65" s="610">
        <f>'Development Schedule'!F89</f>
        <v>0</v>
      </c>
      <c r="G65" s="612">
        <f>'Development Schedule'!G89</f>
        <v>55806.666666666664</v>
      </c>
      <c r="H65" s="611">
        <f>'Development Schedule'!H89</f>
        <v>111613.33333333333</v>
      </c>
      <c r="I65" s="610">
        <f>'Development Schedule'!I89</f>
        <v>0</v>
      </c>
      <c r="J65" s="612">
        <f>'Development Schedule'!J89</f>
        <v>0</v>
      </c>
      <c r="K65" s="610">
        <f>'Development Schedule'!K89</f>
        <v>0</v>
      </c>
      <c r="L65" s="610">
        <f>'Development Schedule'!L89</f>
        <v>0</v>
      </c>
      <c r="M65" s="610">
        <f>'Development Schedule'!M89</f>
        <v>0</v>
      </c>
      <c r="N65" s="612">
        <f>'Development Schedule'!N89</f>
        <v>0</v>
      </c>
    </row>
    <row r="66" spans="1:14">
      <c r="A66" s="575" t="s">
        <v>49</v>
      </c>
      <c r="B66" s="560"/>
      <c r="C66" s="811">
        <f>SUM('10.Structured Parking'!D65:D68)</f>
        <v>1044188</v>
      </c>
      <c r="D66" s="610" t="e">
        <f>'Development Schedule'!#REF!</f>
        <v>#REF!</v>
      </c>
      <c r="E66" s="611" t="e">
        <f>'Development Schedule'!#REF!</f>
        <v>#REF!</v>
      </c>
      <c r="F66" s="610" t="e">
        <f>'Development Schedule'!#REF!</f>
        <v>#REF!</v>
      </c>
      <c r="G66" s="612" t="e">
        <f>'Development Schedule'!#REF!</f>
        <v>#REF!</v>
      </c>
      <c r="H66" s="611" t="e">
        <f>'Development Schedule'!#REF!</f>
        <v>#REF!</v>
      </c>
      <c r="I66" s="610" t="e">
        <f>'Development Schedule'!#REF!</f>
        <v>#REF!</v>
      </c>
      <c r="J66" s="612" t="e">
        <f>'Development Schedule'!#REF!</f>
        <v>#REF!</v>
      </c>
      <c r="K66" s="610" t="e">
        <f>'Development Schedule'!#REF!</f>
        <v>#REF!</v>
      </c>
      <c r="L66" s="610" t="e">
        <f>'Development Schedule'!#REF!</f>
        <v>#REF!</v>
      </c>
      <c r="M66" s="610" t="e">
        <f>'Development Schedule'!#REF!</f>
        <v>#REF!</v>
      </c>
      <c r="N66" s="612" t="e">
        <f>'Development Schedule'!#REF!</f>
        <v>#REF!</v>
      </c>
    </row>
    <row r="67" spans="1:14" hidden="1">
      <c r="A67" s="582" t="s">
        <v>50</v>
      </c>
      <c r="B67" s="567"/>
      <c r="C67" s="812" t="e">
        <f>SUM(#REF!)</f>
        <v>#REF!</v>
      </c>
      <c r="D67" s="813" t="e">
        <f>'Development Schedule'!#REF!</f>
        <v>#REF!</v>
      </c>
      <c r="E67" s="814" t="e">
        <f>'Development Schedule'!#REF!</f>
        <v>#REF!</v>
      </c>
      <c r="F67" s="813" t="e">
        <f>'Development Schedule'!#REF!</f>
        <v>#REF!</v>
      </c>
      <c r="G67" s="815" t="e">
        <f>'Development Schedule'!#REF!</f>
        <v>#REF!</v>
      </c>
      <c r="H67" s="814" t="e">
        <f>'Development Schedule'!#REF!</f>
        <v>#REF!</v>
      </c>
      <c r="I67" s="813" t="e">
        <f>'Development Schedule'!#REF!</f>
        <v>#REF!</v>
      </c>
      <c r="J67" s="815" t="e">
        <f>'Development Schedule'!#REF!</f>
        <v>#REF!</v>
      </c>
      <c r="K67" s="813" t="e">
        <f>'Development Schedule'!#REF!</f>
        <v>#REF!</v>
      </c>
      <c r="L67" s="813" t="e">
        <f>'Development Schedule'!#REF!</f>
        <v>#REF!</v>
      </c>
      <c r="M67" s="813" t="e">
        <f>'Development Schedule'!#REF!</f>
        <v>#REF!</v>
      </c>
      <c r="N67" s="815" t="e">
        <f>'Development Schedule'!#REF!</f>
        <v>#REF!</v>
      </c>
    </row>
    <row r="68" spans="1:14" ht="16.2" thickBot="1">
      <c r="A68" s="599" t="s">
        <v>31</v>
      </c>
      <c r="B68" s="569"/>
      <c r="C68" s="600"/>
      <c r="D68" s="601" t="e">
        <f>SUM(D58:D67)</f>
        <v>#REF!</v>
      </c>
      <c r="E68" s="602" t="e">
        <f t="shared" ref="E68:N68" si="8">SUM(E58:E67)</f>
        <v>#REF!</v>
      </c>
      <c r="F68" s="601" t="e">
        <f t="shared" si="8"/>
        <v>#REF!</v>
      </c>
      <c r="G68" s="603" t="e">
        <f t="shared" si="8"/>
        <v>#REF!</v>
      </c>
      <c r="H68" s="602" t="e">
        <f t="shared" si="8"/>
        <v>#REF!</v>
      </c>
      <c r="I68" s="601" t="e">
        <f t="shared" si="8"/>
        <v>#REF!</v>
      </c>
      <c r="J68" s="603" t="e">
        <f t="shared" si="8"/>
        <v>#REF!</v>
      </c>
      <c r="K68" s="601" t="e">
        <f t="shared" si="8"/>
        <v>#REF!</v>
      </c>
      <c r="L68" s="601" t="e">
        <f t="shared" si="8"/>
        <v>#REF!</v>
      </c>
      <c r="M68" s="601" t="e">
        <f t="shared" si="8"/>
        <v>#REF!</v>
      </c>
      <c r="N68" s="603" t="e">
        <f t="shared" si="8"/>
        <v>#REF!</v>
      </c>
    </row>
    <row r="69" spans="1:14" s="10" customFormat="1" ht="16.2" thickBot="1">
      <c r="A69" s="476"/>
      <c r="B69" s="441"/>
      <c r="C69" s="442"/>
      <c r="D69" s="443"/>
      <c r="E69" s="443"/>
      <c r="F69" s="443"/>
      <c r="G69" s="443"/>
      <c r="H69" s="443"/>
      <c r="I69" s="443"/>
      <c r="J69" s="443"/>
      <c r="K69" s="443"/>
      <c r="L69" s="443"/>
      <c r="M69" s="443"/>
      <c r="N69" s="443"/>
    </row>
    <row r="70" spans="1:14" ht="16.2" thickBot="1">
      <c r="A70" s="798" t="s">
        <v>123</v>
      </c>
      <c r="B70" s="799"/>
      <c r="C70" s="799"/>
      <c r="D70" s="799"/>
      <c r="E70" s="799"/>
      <c r="F70" s="787"/>
      <c r="G70" s="784"/>
      <c r="H70" s="10"/>
      <c r="I70" s="816" t="s">
        <v>210</v>
      </c>
      <c r="J70" s="786"/>
      <c r="K70" s="786"/>
      <c r="L70" s="786"/>
      <c r="M70" s="786"/>
      <c r="N70" s="817"/>
    </row>
    <row r="71" spans="1:14" s="14" customFormat="1" ht="16.5" customHeight="1" thickBot="1">
      <c r="A71" s="572" t="s">
        <v>2</v>
      </c>
      <c r="B71" s="555"/>
      <c r="C71" s="573"/>
      <c r="D71" s="574"/>
      <c r="E71" s="556" t="s">
        <v>52</v>
      </c>
      <c r="F71" s="557" t="s">
        <v>34</v>
      </c>
      <c r="G71" s="8"/>
      <c r="H71" s="13"/>
      <c r="I71" s="818"/>
      <c r="J71" s="574"/>
      <c r="K71" s="574"/>
      <c r="L71" s="555"/>
      <c r="M71" s="556" t="s">
        <v>51</v>
      </c>
      <c r="N71" s="557" t="s">
        <v>74</v>
      </c>
    </row>
    <row r="72" spans="1:14" ht="15.6">
      <c r="A72" s="575" t="s">
        <v>63</v>
      </c>
      <c r="B72" s="576"/>
      <c r="C72" s="576"/>
      <c r="D72" s="560"/>
      <c r="E72" s="773">
        <f>F72/C50</f>
        <v>160612.87792836057</v>
      </c>
      <c r="F72" s="778">
        <f t="shared" ref="F72:F80" si="9">SUM(D17:N17)</f>
        <v>56254660.494408287</v>
      </c>
      <c r="G72" s="11"/>
      <c r="H72" s="10"/>
      <c r="I72" s="865" t="s">
        <v>75</v>
      </c>
      <c r="J72" s="441"/>
      <c r="K72" s="441"/>
      <c r="L72" s="866"/>
      <c r="M72" s="767"/>
      <c r="N72" s="871"/>
    </row>
    <row r="73" spans="1:14">
      <c r="A73" s="575" t="s">
        <v>64</v>
      </c>
      <c r="B73" s="576"/>
      <c r="C73" s="576"/>
      <c r="D73" s="560"/>
      <c r="E73" s="774">
        <f>F73/C51</f>
        <v>159096.08709797068</v>
      </c>
      <c r="F73" s="759">
        <f t="shared" si="9"/>
        <v>32153319.202499874</v>
      </c>
      <c r="G73" s="11"/>
      <c r="H73" s="10"/>
      <c r="I73" s="561" t="s">
        <v>313</v>
      </c>
      <c r="J73" s="560"/>
      <c r="K73" s="560"/>
      <c r="L73" s="867"/>
      <c r="M73" s="580" t="e">
        <f>Budget!#REF!</f>
        <v>#REF!</v>
      </c>
      <c r="N73" s="564" t="e">
        <f>M73/$M$83</f>
        <v>#REF!</v>
      </c>
    </row>
    <row r="74" spans="1:14">
      <c r="A74" s="575" t="s">
        <v>65</v>
      </c>
      <c r="B74" s="576"/>
      <c r="C74" s="576"/>
      <c r="D74" s="560"/>
      <c r="E74" s="775">
        <f>F74/C52</f>
        <v>120881.76238079999</v>
      </c>
      <c r="F74" s="759">
        <f t="shared" si="9"/>
        <v>33907334.347814396</v>
      </c>
      <c r="G74" s="11"/>
      <c r="H74" s="10"/>
      <c r="I74" s="561" t="s">
        <v>312</v>
      </c>
      <c r="J74" s="560"/>
      <c r="K74" s="560"/>
      <c r="L74" s="868"/>
      <c r="M74" s="580">
        <f>Budget!C12</f>
        <v>125700000</v>
      </c>
      <c r="N74" s="564" t="e">
        <f>M74/$M$83</f>
        <v>#REF!</v>
      </c>
    </row>
    <row r="75" spans="1:14" ht="15.6">
      <c r="A75" s="604" t="s">
        <v>301</v>
      </c>
      <c r="B75" s="576"/>
      <c r="C75" s="576"/>
      <c r="D75" s="560"/>
      <c r="E75" s="774">
        <f>F75/C53</f>
        <v>128436.57159222069</v>
      </c>
      <c r="F75" s="759">
        <f t="shared" si="9"/>
        <v>8830014.2969651725</v>
      </c>
      <c r="G75" s="11"/>
      <c r="H75" s="10"/>
      <c r="I75" s="558" t="s">
        <v>76</v>
      </c>
      <c r="J75" s="559"/>
      <c r="K75" s="559"/>
      <c r="L75" s="868"/>
      <c r="M75" s="561"/>
      <c r="N75" s="564"/>
    </row>
    <row r="76" spans="1:14">
      <c r="A76" s="21" t="s">
        <v>285</v>
      </c>
      <c r="E76" s="776">
        <f>F76/C62</f>
        <v>136.55118521962558</v>
      </c>
      <c r="F76" s="779">
        <f t="shared" si="9"/>
        <v>49105444.819199994</v>
      </c>
      <c r="G76" s="11"/>
      <c r="H76" s="10"/>
      <c r="I76" s="561" t="s">
        <v>209</v>
      </c>
      <c r="J76" s="560"/>
      <c r="K76" s="560"/>
      <c r="L76" s="868"/>
      <c r="M76" s="581">
        <f>Budget!C10</f>
        <v>145134741.02163348</v>
      </c>
      <c r="N76" s="564" t="e">
        <f>M76/$M$83</f>
        <v>#REF!</v>
      </c>
    </row>
    <row r="77" spans="1:14">
      <c r="A77" s="575" t="s">
        <v>319</v>
      </c>
      <c r="B77" s="560"/>
      <c r="C77" s="576"/>
      <c r="D77" s="560"/>
      <c r="E77" s="774">
        <f>F77/C63</f>
        <v>125.96392937779198</v>
      </c>
      <c r="F77" s="759">
        <f t="shared" si="9"/>
        <v>18405597.432824209</v>
      </c>
      <c r="G77" s="11"/>
      <c r="H77" s="10"/>
      <c r="I77" s="561"/>
      <c r="J77" s="560"/>
      <c r="K77" s="560"/>
      <c r="L77" s="868"/>
      <c r="M77" s="561"/>
      <c r="N77" s="562"/>
    </row>
    <row r="78" spans="1:14" ht="15.6">
      <c r="A78" s="575" t="s">
        <v>67</v>
      </c>
      <c r="B78" s="560"/>
      <c r="C78" s="576"/>
      <c r="D78" s="560"/>
      <c r="E78" s="774">
        <f>F78/C64</f>
        <v>78.353858543064291</v>
      </c>
      <c r="F78" s="759">
        <f t="shared" si="9"/>
        <v>24660153.191541538</v>
      </c>
      <c r="G78" s="11"/>
      <c r="H78" s="10"/>
      <c r="I78" s="558" t="s">
        <v>77</v>
      </c>
      <c r="J78" s="559"/>
      <c r="K78" s="559"/>
      <c r="L78" s="868"/>
      <c r="M78" s="561"/>
      <c r="N78" s="562"/>
    </row>
    <row r="79" spans="1:14">
      <c r="A79" s="575" t="s">
        <v>48</v>
      </c>
      <c r="B79" s="560"/>
      <c r="C79" s="576"/>
      <c r="D79" s="560"/>
      <c r="E79" s="777">
        <f>F79/C54</f>
        <v>175414.51410807972</v>
      </c>
      <c r="F79" s="759">
        <f t="shared" si="9"/>
        <v>58763862.226206705</v>
      </c>
      <c r="G79" s="11"/>
      <c r="H79" s="10"/>
      <c r="I79" s="748" t="s">
        <v>303</v>
      </c>
      <c r="J79" s="560"/>
      <c r="K79" s="560"/>
      <c r="L79" s="868"/>
      <c r="M79" s="581">
        <f>Budget!C13</f>
        <v>5500000</v>
      </c>
      <c r="N79" s="564" t="e">
        <f>M79/$M$83</f>
        <v>#REF!</v>
      </c>
    </row>
    <row r="80" spans="1:14">
      <c r="A80" s="575" t="s">
        <v>173</v>
      </c>
      <c r="B80" s="560"/>
      <c r="C80" s="576"/>
      <c r="D80" s="560"/>
      <c r="E80" s="777">
        <f>F80/(C55)</f>
        <v>6314.9529333003657</v>
      </c>
      <c r="F80" s="759">
        <f t="shared" si="9"/>
        <v>32969990.367585216</v>
      </c>
      <c r="G80" s="11"/>
      <c r="H80" s="10"/>
      <c r="I80" s="748" t="s">
        <v>307</v>
      </c>
      <c r="J80" s="560"/>
      <c r="K80" s="560"/>
      <c r="L80" s="868"/>
      <c r="M80" s="581">
        <f>Budget!C14</f>
        <v>14562044.801073438</v>
      </c>
      <c r="N80" s="564" t="e">
        <f>M80/$M$83</f>
        <v>#REF!</v>
      </c>
    </row>
    <row r="81" spans="1:14">
      <c r="A81" s="575" t="s">
        <v>203</v>
      </c>
      <c r="B81" s="560"/>
      <c r="C81" s="576"/>
      <c r="D81" s="560"/>
      <c r="E81" s="774">
        <f>F81/'Land Acquisition'!D14</f>
        <v>6.9742705150651956</v>
      </c>
      <c r="F81" s="577">
        <f>SUM(D27:N27)</f>
        <v>7891031.4000000004</v>
      </c>
      <c r="G81" s="11"/>
      <c r="H81" s="10"/>
      <c r="I81" s="36" t="s">
        <v>315</v>
      </c>
      <c r="J81" s="10"/>
      <c r="K81" s="10"/>
      <c r="L81" s="758"/>
      <c r="M81" s="581">
        <f>Budget!C22</f>
        <v>22440000</v>
      </c>
      <c r="N81" s="564" t="e">
        <f>M81/$M$83</f>
        <v>#REF!</v>
      </c>
    </row>
    <row r="82" spans="1:14" ht="16.2" thickBot="1">
      <c r="A82" s="575" t="s">
        <v>200</v>
      </c>
      <c r="B82" s="560"/>
      <c r="C82" s="576"/>
      <c r="D82" s="560"/>
      <c r="E82" s="819">
        <v>2</v>
      </c>
      <c r="F82" s="780">
        <f>SUM(D29:N29)</f>
        <v>209742</v>
      </c>
      <c r="G82" s="8"/>
      <c r="H82" s="10"/>
      <c r="I82" s="869"/>
      <c r="J82" s="870"/>
      <c r="K82" s="870"/>
      <c r="L82" s="864"/>
      <c r="M82" s="869"/>
      <c r="N82" s="872"/>
    </row>
    <row r="83" spans="1:14" ht="18.600000000000001" thickBot="1">
      <c r="A83" s="572" t="s">
        <v>308</v>
      </c>
      <c r="B83" s="763"/>
      <c r="C83" s="764"/>
      <c r="D83" s="763"/>
      <c r="E83" s="820"/>
      <c r="F83" s="765">
        <f>Budget!C7</f>
        <v>2612513.486542841</v>
      </c>
      <c r="G83" s="10"/>
      <c r="H83" s="10"/>
      <c r="I83" s="568" t="s">
        <v>302</v>
      </c>
      <c r="J83" s="569"/>
      <c r="K83" s="569"/>
      <c r="L83" s="864"/>
      <c r="M83" s="570" t="e">
        <f>SUM(M73:M81)</f>
        <v>#REF!</v>
      </c>
      <c r="N83" s="571" t="e">
        <f>SUM(N73:N81)</f>
        <v>#REF!</v>
      </c>
    </row>
    <row r="84" spans="1:14" ht="16.2" thickBot="1">
      <c r="A84" s="572" t="s">
        <v>122</v>
      </c>
      <c r="B84" s="578"/>
      <c r="C84" s="578"/>
      <c r="D84" s="579"/>
      <c r="E84" s="556" t="s">
        <v>54</v>
      </c>
      <c r="F84" s="557" t="s">
        <v>55</v>
      </c>
      <c r="G84" s="10"/>
      <c r="H84" s="10"/>
      <c r="I84" s="21" t="s">
        <v>305</v>
      </c>
    </row>
    <row r="85" spans="1:14">
      <c r="A85" s="575" t="s">
        <v>279</v>
      </c>
      <c r="B85" s="560"/>
      <c r="C85" s="576"/>
      <c r="D85" s="560"/>
      <c r="E85" s="861">
        <f>SUM('1.Infrastructure Costs'!D9:N9)</f>
        <v>0</v>
      </c>
      <c r="F85" s="859"/>
      <c r="G85" s="655"/>
      <c r="H85" s="10"/>
      <c r="I85" s="770" t="s">
        <v>316</v>
      </c>
    </row>
    <row r="86" spans="1:14">
      <c r="A86" s="575" t="s">
        <v>280</v>
      </c>
      <c r="B86" s="560"/>
      <c r="C86" s="576"/>
      <c r="D86" s="560"/>
      <c r="E86" s="577">
        <f>SUM('1.Infrastructure Costs'!D10:N10)</f>
        <v>5422479.617991169</v>
      </c>
      <c r="F86" s="860"/>
      <c r="G86" s="10"/>
      <c r="H86" s="10"/>
      <c r="I86" s="21" t="s">
        <v>304</v>
      </c>
    </row>
    <row r="87" spans="1:14" ht="15.6" thickBot="1">
      <c r="A87" s="575" t="s">
        <v>322</v>
      </c>
      <c r="B87" s="560"/>
      <c r="C87" s="576"/>
      <c r="D87" s="560"/>
      <c r="E87" s="577">
        <f>SUM('1.Infrastructure Costs'!D11:N11)</f>
        <v>8017818.9371751603</v>
      </c>
      <c r="F87" s="860"/>
      <c r="G87" s="10"/>
      <c r="H87" s="10"/>
    </row>
    <row r="88" spans="1:14" ht="16.2" thickBot="1">
      <c r="A88" s="575" t="s">
        <v>278</v>
      </c>
      <c r="B88" s="560"/>
      <c r="C88" s="576"/>
      <c r="D88" s="560"/>
      <c r="E88" s="577" t="e">
        <f>SUM('1.Infrastructure Costs'!#REF!)</f>
        <v>#REF!</v>
      </c>
      <c r="F88" s="860"/>
      <c r="G88" s="10"/>
      <c r="H88" s="10"/>
      <c r="I88" s="821" t="s">
        <v>242</v>
      </c>
      <c r="J88" s="822"/>
      <c r="K88" s="822"/>
      <c r="L88" s="822"/>
      <c r="M88" s="822"/>
      <c r="N88" s="823"/>
    </row>
    <row r="89" spans="1:14" ht="15.6">
      <c r="A89" s="575" t="s">
        <v>321</v>
      </c>
      <c r="B89" s="560"/>
      <c r="C89" s="576"/>
      <c r="D89" s="560"/>
      <c r="E89" s="577" t="e">
        <f>SUM('1.Infrastructure Costs'!#REF!)</f>
        <v>#REF!</v>
      </c>
      <c r="F89" s="860"/>
      <c r="G89" s="10"/>
      <c r="H89" s="10"/>
      <c r="I89" s="656"/>
      <c r="J89" s="657"/>
      <c r="K89" s="658" t="s">
        <v>244</v>
      </c>
      <c r="L89" s="656"/>
      <c r="M89" s="657"/>
      <c r="N89" s="675"/>
    </row>
    <row r="90" spans="1:14" ht="18.600000000000001" thickBot="1">
      <c r="A90" s="771" t="s">
        <v>53</v>
      </c>
      <c r="B90" s="567"/>
      <c r="C90" s="583"/>
      <c r="D90" s="567"/>
      <c r="E90" s="862"/>
      <c r="F90" s="577">
        <f>SUM('1.Infrastructure Costs'!D8:N8)</f>
        <v>0</v>
      </c>
      <c r="G90" s="10"/>
      <c r="H90" s="10"/>
      <c r="I90" s="37" t="s">
        <v>243</v>
      </c>
      <c r="J90" s="653"/>
      <c r="K90" s="674" t="s">
        <v>245</v>
      </c>
      <c r="L90" s="714" t="s">
        <v>246</v>
      </c>
      <c r="M90" s="703"/>
      <c r="N90" s="704"/>
    </row>
    <row r="91" spans="1:14" ht="16.5" customHeight="1" thickBot="1">
      <c r="A91" s="584" t="s">
        <v>33</v>
      </c>
      <c r="B91" s="585"/>
      <c r="C91" s="585"/>
      <c r="D91" s="560"/>
      <c r="E91" s="586" t="e">
        <f>SUM(E85:E90)</f>
        <v>#REF!</v>
      </c>
      <c r="F91" s="586">
        <f>SUM(F85:F90)</f>
        <v>0</v>
      </c>
      <c r="G91" s="10"/>
      <c r="H91" s="655"/>
      <c r="I91" s="656" t="s">
        <v>291</v>
      </c>
      <c r="J91" s="657"/>
      <c r="K91" s="824">
        <f>3.03*1.03^2</f>
        <v>3.2145269999999995</v>
      </c>
      <c r="L91" s="1151" t="s">
        <v>268</v>
      </c>
      <c r="M91" s="1152"/>
      <c r="N91" s="1153"/>
    </row>
    <row r="92" spans="1:14" ht="16.2" customHeight="1" thickBot="1">
      <c r="A92" s="572" t="s">
        <v>3</v>
      </c>
      <c r="B92" s="587"/>
      <c r="C92" s="587"/>
      <c r="D92" s="763"/>
      <c r="E92" s="825"/>
      <c r="F92" s="590">
        <f>SUM(F72:F83,F91)</f>
        <v>325763663.26558822</v>
      </c>
      <c r="I92" s="665"/>
      <c r="J92" s="653"/>
      <c r="K92" s="653"/>
      <c r="L92" s="1154"/>
      <c r="M92" s="1155"/>
      <c r="N92" s="1156"/>
    </row>
    <row r="93" spans="1:14" ht="16.5" customHeight="1" thickBot="1">
      <c r="D93" s="15"/>
      <c r="E93" s="27"/>
      <c r="G93" s="762"/>
      <c r="I93" s="33" t="s">
        <v>247</v>
      </c>
      <c r="J93" s="16"/>
      <c r="K93" s="826">
        <v>5.8999999999999997E-2</v>
      </c>
      <c r="L93" s="33" t="s">
        <v>269</v>
      </c>
      <c r="M93" s="16"/>
      <c r="N93" s="676"/>
    </row>
    <row r="94" spans="1:14" ht="16.5" customHeight="1" thickBot="1">
      <c r="A94" s="821" t="s">
        <v>232</v>
      </c>
      <c r="B94" s="822"/>
      <c r="C94" s="822"/>
      <c r="D94" s="822"/>
      <c r="E94" s="822"/>
      <c r="F94" s="823"/>
      <c r="I94" s="769" t="s">
        <v>290</v>
      </c>
      <c r="J94" s="16"/>
      <c r="K94" s="827">
        <v>1.36</v>
      </c>
      <c r="L94" s="767" t="s">
        <v>310</v>
      </c>
      <c r="M94" s="657"/>
      <c r="N94" s="675"/>
    </row>
    <row r="95" spans="1:14" ht="15.6" customHeight="1">
      <c r="A95" s="659"/>
      <c r="B95" s="657"/>
      <c r="C95" s="660" t="s">
        <v>125</v>
      </c>
      <c r="D95" s="660" t="s">
        <v>126</v>
      </c>
      <c r="E95" s="660" t="s">
        <v>127</v>
      </c>
      <c r="F95" s="661" t="s">
        <v>31</v>
      </c>
      <c r="I95" s="656" t="s">
        <v>248</v>
      </c>
      <c r="J95" s="657"/>
      <c r="K95" s="824">
        <f>437*1.03^2</f>
        <v>463.61329999999998</v>
      </c>
      <c r="L95" s="1157" t="s">
        <v>270</v>
      </c>
      <c r="M95" s="1149"/>
      <c r="N95" s="1158"/>
    </row>
    <row r="96" spans="1:14" ht="18.600000000000001" thickBot="1">
      <c r="A96" s="662" t="s">
        <v>128</v>
      </c>
      <c r="B96" s="653"/>
      <c r="C96" s="663" t="s">
        <v>233</v>
      </c>
      <c r="D96" s="663" t="s">
        <v>234</v>
      </c>
      <c r="E96" s="663" t="s">
        <v>235</v>
      </c>
      <c r="F96" s="664" t="s">
        <v>240</v>
      </c>
      <c r="I96" s="36"/>
      <c r="J96" s="10"/>
      <c r="K96" s="10"/>
      <c r="L96" s="1159"/>
      <c r="M96" s="1150"/>
      <c r="N96" s="1160"/>
    </row>
    <row r="97" spans="1:14" ht="15" customHeight="1" thickBot="1">
      <c r="A97" s="575" t="s">
        <v>237</v>
      </c>
      <c r="B97" s="10"/>
      <c r="C97" s="828">
        <f>193.05*1.03</f>
        <v>198.84150000000002</v>
      </c>
      <c r="D97" s="668">
        <f>C97*0.2</f>
        <v>39.768300000000011</v>
      </c>
      <c r="E97" s="669">
        <f t="shared" ref="E97:E102" si="10">C97*0.04</f>
        <v>7.9536600000000011</v>
      </c>
      <c r="F97" s="666">
        <f t="shared" ref="F97:F104" si="11">SUM(C97:E97)</f>
        <v>246.56346000000005</v>
      </c>
      <c r="I97" s="665"/>
      <c r="J97" s="653"/>
      <c r="K97" s="653"/>
      <c r="L97" s="1161"/>
      <c r="M97" s="1162"/>
      <c r="N97" s="1163"/>
    </row>
    <row r="98" spans="1:14" ht="15.6" thickBot="1">
      <c r="A98" s="36" t="s">
        <v>236</v>
      </c>
      <c r="B98" s="10"/>
      <c r="C98" s="669">
        <f>172.2*1.03</f>
        <v>177.36599999999999</v>
      </c>
      <c r="D98" s="668">
        <f t="shared" ref="D98:D104" si="12">C98*0.2</f>
        <v>35.473199999999999</v>
      </c>
      <c r="E98" s="669">
        <f t="shared" si="10"/>
        <v>7.0946399999999992</v>
      </c>
      <c r="F98" s="667">
        <f t="shared" si="11"/>
        <v>219.93383999999998</v>
      </c>
      <c r="I98" s="33" t="s">
        <v>300</v>
      </c>
      <c r="J98" s="16"/>
      <c r="K98" s="829">
        <v>251.35</v>
      </c>
      <c r="L98" s="27" t="s">
        <v>311</v>
      </c>
    </row>
    <row r="99" spans="1:14">
      <c r="A99" s="36" t="s">
        <v>238</v>
      </c>
      <c r="B99" s="10"/>
      <c r="C99" s="669">
        <f>156.87*1.03</f>
        <v>161.5761</v>
      </c>
      <c r="D99" s="668">
        <f t="shared" si="12"/>
        <v>32.315220000000004</v>
      </c>
      <c r="E99" s="669">
        <f t="shared" si="10"/>
        <v>6.463044</v>
      </c>
      <c r="F99" s="667">
        <f t="shared" si="11"/>
        <v>200.354364</v>
      </c>
      <c r="I99" s="656" t="s">
        <v>249</v>
      </c>
      <c r="J99" s="657"/>
      <c r="K99" s="824">
        <f>21.46*1.03^2</f>
        <v>22.766914</v>
      </c>
      <c r="L99" s="1157" t="s">
        <v>271</v>
      </c>
      <c r="M99" s="1149"/>
      <c r="N99" s="1158"/>
    </row>
    <row r="100" spans="1:14" ht="15.6" thickBot="1">
      <c r="A100" s="772" t="s">
        <v>239</v>
      </c>
      <c r="B100" s="10"/>
      <c r="C100" s="669">
        <f>250.47*1.03</f>
        <v>257.98410000000001</v>
      </c>
      <c r="D100" s="668">
        <f t="shared" si="12"/>
        <v>51.596820000000008</v>
      </c>
      <c r="E100" s="669">
        <f t="shared" si="10"/>
        <v>10.319364</v>
      </c>
      <c r="F100" s="667">
        <f t="shared" si="11"/>
        <v>319.900284</v>
      </c>
      <c r="I100" s="665"/>
      <c r="J100" s="653"/>
      <c r="K100" s="653"/>
      <c r="L100" s="1161"/>
      <c r="M100" s="1162"/>
      <c r="N100" s="1163"/>
    </row>
    <row r="101" spans="1:14" ht="15.6" thickBot="1">
      <c r="A101" s="772" t="s">
        <v>87</v>
      </c>
      <c r="B101" s="10"/>
      <c r="C101" s="669">
        <f>124.18*1.03</f>
        <v>127.90540000000001</v>
      </c>
      <c r="D101" s="668">
        <f t="shared" si="12"/>
        <v>25.581080000000004</v>
      </c>
      <c r="E101" s="669">
        <f t="shared" si="10"/>
        <v>5.1162160000000005</v>
      </c>
      <c r="F101" s="667">
        <f t="shared" si="11"/>
        <v>158.60269600000004</v>
      </c>
      <c r="I101" s="33" t="s">
        <v>184</v>
      </c>
      <c r="J101" s="16"/>
      <c r="K101" s="830">
        <v>0.115</v>
      </c>
      <c r="L101" s="33" t="s">
        <v>272</v>
      </c>
      <c r="M101" s="16"/>
      <c r="N101" s="676"/>
    </row>
    <row r="102" spans="1:14" ht="15" customHeight="1">
      <c r="A102" s="772" t="s">
        <v>48</v>
      </c>
      <c r="B102" s="10"/>
      <c r="C102" s="669">
        <f>202.59*1.03</f>
        <v>208.6677</v>
      </c>
      <c r="D102" s="668">
        <f t="shared" si="12"/>
        <v>41.733540000000005</v>
      </c>
      <c r="E102" s="669">
        <f t="shared" si="10"/>
        <v>8.3467079999999996</v>
      </c>
      <c r="F102" s="667">
        <f t="shared" si="11"/>
        <v>258.74794800000001</v>
      </c>
      <c r="I102" s="656" t="s">
        <v>250</v>
      </c>
      <c r="J102" s="657"/>
      <c r="K102" s="831">
        <v>20</v>
      </c>
      <c r="L102" s="1164" t="s">
        <v>297</v>
      </c>
      <c r="M102" s="1165"/>
      <c r="N102" s="1166"/>
    </row>
    <row r="103" spans="1:14">
      <c r="A103" s="772" t="s">
        <v>49</v>
      </c>
      <c r="B103" s="10"/>
      <c r="C103" s="669">
        <v>37.5</v>
      </c>
      <c r="D103" s="668">
        <f t="shared" si="12"/>
        <v>7.5</v>
      </c>
      <c r="E103" s="669">
        <f>C103*0.04</f>
        <v>1.5</v>
      </c>
      <c r="F103" s="667">
        <f t="shared" si="11"/>
        <v>46.5</v>
      </c>
      <c r="I103" s="36" t="s">
        <v>251</v>
      </c>
      <c r="J103" s="10"/>
      <c r="K103" s="832">
        <v>30</v>
      </c>
      <c r="L103" s="1167"/>
      <c r="M103" s="1168"/>
      <c r="N103" s="1169"/>
    </row>
    <row r="104" spans="1:14" ht="15" customHeight="1" thickBot="1">
      <c r="A104" s="783" t="s">
        <v>320</v>
      </c>
      <c r="B104" s="653"/>
      <c r="C104" s="671">
        <f>121.65*1.03</f>
        <v>125.29950000000001</v>
      </c>
      <c r="D104" s="670">
        <f t="shared" si="12"/>
        <v>25.059900000000003</v>
      </c>
      <c r="E104" s="671">
        <f>C104*0.04</f>
        <v>5.0119800000000003</v>
      </c>
      <c r="F104" s="672">
        <f t="shared" si="11"/>
        <v>155.37138000000002</v>
      </c>
      <c r="I104" s="36" t="s">
        <v>252</v>
      </c>
      <c r="J104" s="10"/>
      <c r="K104" s="832">
        <v>15</v>
      </c>
      <c r="L104" s="1167"/>
      <c r="M104" s="1168"/>
      <c r="N104" s="1169"/>
    </row>
    <row r="105" spans="1:14" ht="15.6" thickBot="1">
      <c r="A105" s="673" t="s">
        <v>273</v>
      </c>
      <c r="I105" s="665" t="s">
        <v>185</v>
      </c>
      <c r="J105" s="653"/>
      <c r="K105" s="833">
        <v>0.05</v>
      </c>
      <c r="L105" s="1170"/>
      <c r="M105" s="1171"/>
      <c r="N105" s="1172"/>
    </row>
    <row r="106" spans="1:14">
      <c r="A106" s="21" t="s">
        <v>309</v>
      </c>
      <c r="I106" s="656" t="s">
        <v>253</v>
      </c>
      <c r="J106" s="657"/>
      <c r="K106" s="824">
        <v>110</v>
      </c>
      <c r="L106" s="1173" t="s">
        <v>324</v>
      </c>
      <c r="M106" s="1174"/>
      <c r="N106" s="1175"/>
    </row>
    <row r="107" spans="1:14">
      <c r="A107" s="21" t="s">
        <v>241</v>
      </c>
      <c r="I107" s="36" t="s">
        <v>254</v>
      </c>
      <c r="J107" s="10"/>
      <c r="K107" s="834">
        <v>0.67</v>
      </c>
      <c r="L107" s="1176"/>
      <c r="M107" s="1177"/>
      <c r="N107" s="1178"/>
    </row>
    <row r="108" spans="1:14" ht="15.6" thickBot="1">
      <c r="A108" s="677" t="s">
        <v>262</v>
      </c>
      <c r="B108" s="677"/>
      <c r="C108" s="677"/>
      <c r="D108" s="677"/>
      <c r="E108" s="677"/>
      <c r="F108" s="677"/>
      <c r="I108" s="665" t="s">
        <v>255</v>
      </c>
      <c r="J108" s="653"/>
      <c r="K108" s="835">
        <v>0.35</v>
      </c>
      <c r="L108" s="1179"/>
      <c r="M108" s="1180"/>
      <c r="N108" s="1181"/>
    </row>
    <row r="109" spans="1:14">
      <c r="A109" s="21" t="s">
        <v>261</v>
      </c>
      <c r="I109" s="656" t="s">
        <v>276</v>
      </c>
      <c r="J109" s="657"/>
      <c r="K109" s="836">
        <v>7</v>
      </c>
      <c r="L109" s="656" t="s">
        <v>296</v>
      </c>
      <c r="M109" s="657"/>
      <c r="N109" s="675"/>
    </row>
    <row r="110" spans="1:14" ht="15.6" thickBot="1">
      <c r="I110" s="665" t="s">
        <v>186</v>
      </c>
      <c r="J110" s="653"/>
      <c r="K110" s="837">
        <v>7.0000000000000007E-2</v>
      </c>
      <c r="L110" s="665"/>
      <c r="M110" s="653"/>
      <c r="N110" s="724"/>
    </row>
    <row r="111" spans="1:14" ht="16.2" thickBot="1">
      <c r="B111" s="1146" t="s">
        <v>199</v>
      </c>
      <c r="C111" s="1147"/>
      <c r="D111" s="1147"/>
      <c r="E111" s="1147"/>
      <c r="F111" s="1148"/>
      <c r="I111" s="656" t="s">
        <v>292</v>
      </c>
      <c r="J111" s="657"/>
      <c r="K111" s="838">
        <v>200</v>
      </c>
      <c r="L111" s="36" t="s">
        <v>293</v>
      </c>
      <c r="M111" s="10"/>
      <c r="N111" s="758"/>
    </row>
    <row r="112" spans="1:14" ht="16.2" thickBot="1">
      <c r="B112" s="678"/>
      <c r="C112" s="660" t="s">
        <v>329</v>
      </c>
      <c r="D112" s="660" t="s">
        <v>190</v>
      </c>
      <c r="E112" s="679" t="s">
        <v>191</v>
      </c>
      <c r="F112" s="661" t="s">
        <v>176</v>
      </c>
      <c r="I112" s="665" t="s">
        <v>294</v>
      </c>
      <c r="J112" s="653"/>
      <c r="K112" s="839">
        <v>3</v>
      </c>
      <c r="L112" s="36"/>
      <c r="M112" s="10"/>
      <c r="N112" s="758"/>
    </row>
    <row r="113" spans="2:14" ht="15" customHeight="1" thickBot="1">
      <c r="B113" s="662" t="s">
        <v>187</v>
      </c>
      <c r="C113" s="663" t="s">
        <v>189</v>
      </c>
      <c r="D113" s="663" t="s">
        <v>176</v>
      </c>
      <c r="E113" s="680" t="s">
        <v>95</v>
      </c>
      <c r="F113" s="664" t="s">
        <v>178</v>
      </c>
      <c r="G113" s="749"/>
      <c r="I113" s="656" t="s">
        <v>256</v>
      </c>
      <c r="J113" s="657"/>
      <c r="K113" s="840">
        <v>0.06</v>
      </c>
      <c r="L113" s="1182" t="s">
        <v>323</v>
      </c>
      <c r="M113" s="1183"/>
      <c r="N113" s="1184"/>
    </row>
    <row r="114" spans="2:14" ht="15.6">
      <c r="B114" s="681" t="s">
        <v>192</v>
      </c>
      <c r="C114" s="682" t="s">
        <v>330</v>
      </c>
      <c r="D114" s="752">
        <f>'Land Values'!D8</f>
        <v>2641020</v>
      </c>
      <c r="E114" s="843">
        <v>936540</v>
      </c>
      <c r="F114" s="684">
        <f>D114/E114</f>
        <v>2.8199756550707926</v>
      </c>
      <c r="G114" s="750"/>
      <c r="I114" s="36" t="s">
        <v>257</v>
      </c>
      <c r="J114" s="10"/>
      <c r="K114" s="841">
        <v>6.2E-2</v>
      </c>
      <c r="L114" s="1185"/>
      <c r="M114" s="1186"/>
      <c r="N114" s="1187"/>
    </row>
    <row r="115" spans="2:14" ht="15.6">
      <c r="B115" s="681" t="s">
        <v>193</v>
      </c>
      <c r="C115" s="682" t="s">
        <v>328</v>
      </c>
      <c r="D115" s="753">
        <f>'Land Values'!D12</f>
        <v>1332500</v>
      </c>
      <c r="E115" s="843">
        <v>117612</v>
      </c>
      <c r="F115" s="686">
        <f t="shared" ref="F115" si="13">D115/E115</f>
        <v>11.329626228616128</v>
      </c>
      <c r="G115" s="750"/>
      <c r="I115" s="36" t="s">
        <v>258</v>
      </c>
      <c r="J115" s="10"/>
      <c r="K115" s="841">
        <v>6.2E-2</v>
      </c>
      <c r="L115" s="1185"/>
      <c r="M115" s="1186"/>
      <c r="N115" s="1187"/>
    </row>
    <row r="116" spans="2:14">
      <c r="B116" s="681" t="s">
        <v>194</v>
      </c>
      <c r="C116" s="682" t="s">
        <v>328</v>
      </c>
      <c r="D116" s="753">
        <f>'Land Values'!D16</f>
        <v>2548580</v>
      </c>
      <c r="E116" s="843">
        <v>283140</v>
      </c>
      <c r="F116" s="686">
        <f>D116/E116</f>
        <v>9.0011301829483656</v>
      </c>
      <c r="G116" s="752"/>
      <c r="I116" s="36" t="s">
        <v>259</v>
      </c>
      <c r="J116" s="10"/>
      <c r="K116" s="841">
        <v>0.08</v>
      </c>
      <c r="L116" s="1185"/>
      <c r="M116" s="1186"/>
      <c r="N116" s="1187"/>
    </row>
    <row r="117" spans="2:14">
      <c r="B117" s="681" t="s">
        <v>288</v>
      </c>
      <c r="C117" s="682" t="s">
        <v>330</v>
      </c>
      <c r="D117" s="753">
        <f>'Land Values'!D20</f>
        <v>720150</v>
      </c>
      <c r="E117" s="843">
        <f>'Land Values'!E20</f>
        <v>27975</v>
      </c>
      <c r="F117" s="686">
        <f>D117/E117</f>
        <v>25.742627345844504</v>
      </c>
      <c r="G117" s="753"/>
      <c r="I117" s="36" t="s">
        <v>275</v>
      </c>
      <c r="J117" s="10"/>
      <c r="K117" s="841">
        <v>6.9000000000000006E-2</v>
      </c>
      <c r="L117" s="716"/>
      <c r="M117" s="717"/>
      <c r="N117" s="718"/>
    </row>
    <row r="118" spans="2:14" ht="15.6" thickBot="1">
      <c r="B118" s="681"/>
      <c r="C118" s="682"/>
      <c r="D118" s="753"/>
      <c r="E118" s="843"/>
      <c r="F118" s="686"/>
      <c r="G118" s="753"/>
      <c r="I118" s="665" t="s">
        <v>260</v>
      </c>
      <c r="J118" s="653"/>
      <c r="K118" s="842">
        <v>0.11</v>
      </c>
      <c r="L118" s="665"/>
      <c r="M118" s="653"/>
      <c r="N118" s="724"/>
    </row>
    <row r="119" spans="2:14" ht="16.2" thickBot="1">
      <c r="B119" s="662" t="s">
        <v>31</v>
      </c>
      <c r="C119" s="687"/>
      <c r="D119" s="688">
        <f>SUM(D114:D118)</f>
        <v>7242250</v>
      </c>
      <c r="E119" s="689">
        <f>SUM(E114:E118)</f>
        <v>1365267</v>
      </c>
      <c r="F119" s="691">
        <f>K135/E119</f>
        <v>0</v>
      </c>
      <c r="G119" s="753"/>
      <c r="I119" s="1149" t="s">
        <v>266</v>
      </c>
      <c r="J119" s="1149"/>
      <c r="K119" s="1149"/>
      <c r="L119" s="1149"/>
      <c r="M119" s="1149"/>
      <c r="N119" s="1149"/>
    </row>
    <row r="120" spans="2:14">
      <c r="B120" s="742" t="s">
        <v>287</v>
      </c>
      <c r="C120" s="743"/>
      <c r="D120" s="844"/>
      <c r="E120" s="845"/>
      <c r="F120" s="845"/>
      <c r="G120" s="753"/>
      <c r="I120" s="1150"/>
      <c r="J120" s="1150"/>
      <c r="K120" s="1150"/>
      <c r="L120" s="1150"/>
      <c r="M120" s="1150"/>
      <c r="N120" s="1150"/>
    </row>
    <row r="121" spans="2:14" ht="15.6">
      <c r="B121" s="742" t="s">
        <v>289</v>
      </c>
      <c r="C121" s="743"/>
      <c r="D121" s="844"/>
      <c r="E121" s="845"/>
      <c r="F121" s="845"/>
      <c r="G121" s="751"/>
      <c r="H121" s="749"/>
    </row>
    <row r="122" spans="2:14" ht="16.2" thickBot="1">
      <c r="B122" s="39"/>
      <c r="C122" s="57"/>
      <c r="D122" s="846"/>
      <c r="E122" s="847"/>
      <c r="F122" s="847"/>
      <c r="G122" s="693"/>
      <c r="H122" s="750"/>
    </row>
    <row r="123" spans="2:14" ht="16.2" thickBot="1">
      <c r="B123" s="848" t="s">
        <v>195</v>
      </c>
      <c r="C123" s="849"/>
      <c r="D123" s="850"/>
      <c r="E123" s="851"/>
      <c r="F123" s="852"/>
      <c r="G123" s="693"/>
      <c r="H123" s="750"/>
    </row>
    <row r="124" spans="2:14">
      <c r="B124" s="744" t="s">
        <v>82</v>
      </c>
      <c r="C124" s="745"/>
      <c r="D124" s="853"/>
      <c r="E124" s="854"/>
      <c r="F124" s="855">
        <f>'Land Acquisition'!D14</f>
        <v>1131449</v>
      </c>
      <c r="G124" s="846"/>
      <c r="H124" s="752"/>
    </row>
    <row r="125" spans="2:14">
      <c r="B125" s="695" t="s">
        <v>274</v>
      </c>
      <c r="C125" s="696"/>
      <c r="D125" s="696"/>
      <c r="E125" s="696"/>
      <c r="F125" s="856">
        <v>0</v>
      </c>
      <c r="H125" s="753"/>
    </row>
    <row r="126" spans="2:14" ht="15.6">
      <c r="B126" s="697" t="s">
        <v>196</v>
      </c>
      <c r="C126" s="698"/>
      <c r="D126" s="698"/>
      <c r="E126" s="698"/>
      <c r="F126" s="699">
        <f>SUM(F124:F125)</f>
        <v>1131449</v>
      </c>
      <c r="H126" s="753"/>
    </row>
    <row r="127" spans="2:14">
      <c r="B127" s="695" t="s">
        <v>326</v>
      </c>
      <c r="C127" s="696"/>
      <c r="D127" s="696"/>
      <c r="E127" s="702" t="s">
        <v>197</v>
      </c>
      <c r="F127" s="857">
        <v>2</v>
      </c>
      <c r="H127" s="753"/>
      <c r="I127" s="749"/>
      <c r="J127" s="749"/>
      <c r="K127" s="749"/>
      <c r="L127" s="749"/>
      <c r="M127" s="10"/>
    </row>
    <row r="128" spans="2:14" ht="18.600000000000001" thickBot="1">
      <c r="B128" s="662" t="s">
        <v>263</v>
      </c>
      <c r="C128" s="700"/>
      <c r="D128" s="700"/>
      <c r="E128" s="700"/>
      <c r="F128" s="690">
        <f>F126*F127</f>
        <v>2262898</v>
      </c>
      <c r="H128" s="753"/>
      <c r="I128" s="750"/>
      <c r="J128" s="750"/>
      <c r="K128" s="750"/>
      <c r="L128" s="10"/>
    </row>
    <row r="129" spans="2:12" ht="15.6">
      <c r="B129" s="673" t="s">
        <v>295</v>
      </c>
      <c r="C129" s="673"/>
      <c r="D129" s="673"/>
      <c r="E129" s="673"/>
      <c r="F129" s="673"/>
      <c r="H129" s="751"/>
      <c r="I129" s="750"/>
      <c r="J129" s="750"/>
      <c r="K129" s="750"/>
      <c r="L129" s="10"/>
    </row>
    <row r="130" spans="2:12">
      <c r="H130" s="693"/>
      <c r="I130" s="752"/>
      <c r="J130" s="752"/>
      <c r="K130" s="752"/>
      <c r="L130" s="10"/>
    </row>
    <row r="131" spans="2:12">
      <c r="G131" s="39"/>
      <c r="H131" s="693"/>
      <c r="I131" s="753"/>
      <c r="J131" s="753"/>
      <c r="K131" s="753"/>
      <c r="L131" s="10"/>
    </row>
    <row r="132" spans="2:12">
      <c r="H132" s="846"/>
      <c r="I132" s="753"/>
      <c r="J132" s="753"/>
      <c r="K132" s="753"/>
      <c r="L132" s="10"/>
    </row>
    <row r="133" spans="2:12">
      <c r="H133" s="846"/>
      <c r="I133" s="753"/>
      <c r="J133" s="753"/>
      <c r="K133" s="753"/>
      <c r="L133" s="10"/>
    </row>
    <row r="134" spans="2:12">
      <c r="H134" s="846"/>
      <c r="I134" s="753"/>
      <c r="J134" s="753"/>
      <c r="K134" s="753"/>
      <c r="L134" s="10"/>
    </row>
    <row r="135" spans="2:12" ht="15.6">
      <c r="H135" s="39"/>
      <c r="I135" s="751"/>
      <c r="J135" s="751"/>
      <c r="K135" s="751"/>
      <c r="L135" s="10"/>
    </row>
    <row r="136" spans="2:12">
      <c r="H136" s="39"/>
      <c r="I136" s="693"/>
      <c r="J136" s="693"/>
      <c r="K136" s="693"/>
      <c r="L136" s="694"/>
    </row>
    <row r="137" spans="2:12">
      <c r="H137" s="39"/>
      <c r="I137" s="693"/>
      <c r="J137" s="693"/>
      <c r="K137" s="693"/>
      <c r="L137" s="694"/>
    </row>
    <row r="138" spans="2:12">
      <c r="H138" s="39"/>
      <c r="I138" s="846"/>
      <c r="J138" s="846"/>
      <c r="K138" s="846"/>
      <c r="L138" s="858"/>
    </row>
    <row r="139" spans="2:12">
      <c r="H139" s="39"/>
      <c r="I139" s="846"/>
      <c r="J139" s="846"/>
      <c r="K139" s="846"/>
      <c r="L139" s="858"/>
    </row>
    <row r="140" spans="2:12">
      <c r="I140" s="846"/>
      <c r="J140" s="846"/>
      <c r="K140" s="846"/>
      <c r="L140" s="858"/>
    </row>
    <row r="141" spans="2:12">
      <c r="I141" s="39"/>
      <c r="J141" s="39"/>
      <c r="K141" s="39"/>
      <c r="L141" s="39"/>
    </row>
    <row r="142" spans="2:12">
      <c r="I142" s="39"/>
      <c r="J142" s="39"/>
      <c r="K142" s="39"/>
      <c r="L142" s="39"/>
    </row>
    <row r="143" spans="2:12">
      <c r="I143" s="39"/>
      <c r="J143" s="39"/>
      <c r="K143" s="39"/>
      <c r="L143" s="39"/>
    </row>
    <row r="144" spans="2:12">
      <c r="I144" s="39"/>
      <c r="J144" s="39"/>
      <c r="K144" s="39"/>
      <c r="L144" s="39"/>
    </row>
    <row r="145" spans="9:12">
      <c r="I145" s="39"/>
      <c r="J145" s="39"/>
      <c r="K145" s="39"/>
      <c r="L145" s="39"/>
    </row>
  </sheetData>
  <mergeCells count="8">
    <mergeCell ref="B111:F111"/>
    <mergeCell ref="I119:N120"/>
    <mergeCell ref="L91:N92"/>
    <mergeCell ref="L95:N97"/>
    <mergeCell ref="L99:N100"/>
    <mergeCell ref="L102:N105"/>
    <mergeCell ref="L106:N108"/>
    <mergeCell ref="L113:N116"/>
  </mergeCells>
  <pageMargins left="0.19791666666666699" right="0.25" top="0.75" bottom="0.75" header="0.3" footer="0.3"/>
  <pageSetup paperSize="17" scale="44" orientation="portrait" r:id="rId1"/>
  <headerFooter alignWithMargins="0">
    <oddHeader xml:space="preserve">&amp;L&amp;"Arial,Bold"2013 ULI Hines Student Urban Design Competition&amp;RTeam &amp;A 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57"/>
  <sheetViews>
    <sheetView view="pageBreakPreview" topLeftCell="A3" zoomScale="80" zoomScaleNormal="100" zoomScaleSheetLayoutView="80" workbookViewId="0">
      <selection activeCell="J45" sqref="J45"/>
    </sheetView>
  </sheetViews>
  <sheetFormatPr defaultColWidth="9.109375" defaultRowHeight="13.2" outlineLevelRow="1"/>
  <cols>
    <col min="1" max="1" width="23.44140625" style="96" customWidth="1"/>
    <col min="2" max="2" width="12.88671875" style="97" customWidth="1"/>
    <col min="3" max="3" width="15.44140625" style="97" bestFit="1" customWidth="1"/>
    <col min="4" max="4" width="13.6640625" style="96" customWidth="1"/>
    <col min="5" max="5" width="14.44140625" style="96" bestFit="1" customWidth="1"/>
    <col min="6" max="12" width="13.6640625" style="96" customWidth="1"/>
    <col min="13" max="13" width="14.5546875" style="96" bestFit="1" customWidth="1"/>
    <col min="14" max="16384" width="9.109375" style="96"/>
  </cols>
  <sheetData>
    <row r="1" spans="1:13" ht="14.1" customHeight="1" thickBot="1">
      <c r="A1" s="39"/>
      <c r="B1" s="57"/>
      <c r="C1" s="57"/>
      <c r="D1" s="39"/>
      <c r="E1" s="39"/>
      <c r="F1" s="39"/>
      <c r="G1" s="39"/>
      <c r="H1" s="39"/>
      <c r="I1" s="39"/>
      <c r="J1" s="39"/>
      <c r="K1" s="39"/>
      <c r="L1" s="134" t="s">
        <v>93</v>
      </c>
      <c r="M1" s="306">
        <v>191863</v>
      </c>
    </row>
    <row r="2" spans="1:13" ht="14.1" customHeight="1" thickBot="1">
      <c r="A2" s="39"/>
      <c r="B2" s="57"/>
      <c r="C2" s="57"/>
      <c r="D2" s="39"/>
      <c r="E2" s="39"/>
      <c r="F2" s="39"/>
      <c r="G2" s="118"/>
      <c r="H2" s="39"/>
      <c r="I2" s="39"/>
      <c r="J2" s="39"/>
      <c r="K2" s="39"/>
      <c r="L2" s="343"/>
      <c r="M2" s="344"/>
    </row>
    <row r="3" spans="1:13" ht="14.1" customHeight="1" thickBot="1">
      <c r="A3" s="123"/>
      <c r="B3" s="190"/>
      <c r="C3" s="45" t="s">
        <v>57</v>
      </c>
      <c r="D3" s="1227" t="s">
        <v>36</v>
      </c>
      <c r="E3" s="1228"/>
      <c r="F3" s="1229" t="s">
        <v>78</v>
      </c>
      <c r="G3" s="1230"/>
      <c r="H3" s="1230"/>
      <c r="I3" s="1231"/>
      <c r="J3" s="1080" t="s">
        <v>79</v>
      </c>
      <c r="K3" s="1079"/>
      <c r="L3" s="1077"/>
      <c r="M3" s="1078"/>
    </row>
    <row r="4" spans="1:13" ht="14.1" customHeight="1" thickBot="1">
      <c r="A4" s="63"/>
      <c r="B4" s="64"/>
      <c r="C4" s="276">
        <v>0</v>
      </c>
      <c r="D4" s="101">
        <f>C4+1</f>
        <v>1</v>
      </c>
      <c r="E4" s="100">
        <f t="shared" ref="E4:M5" si="0">D4+1</f>
        <v>2</v>
      </c>
      <c r="F4" s="101">
        <f t="shared" si="0"/>
        <v>3</v>
      </c>
      <c r="G4" s="910">
        <f t="shared" si="0"/>
        <v>4</v>
      </c>
      <c r="H4" s="135">
        <f t="shared" si="0"/>
        <v>5</v>
      </c>
      <c r="I4" s="102">
        <f t="shared" si="0"/>
        <v>6</v>
      </c>
      <c r="J4" s="101">
        <f t="shared" si="0"/>
        <v>7</v>
      </c>
      <c r="K4" s="100">
        <f t="shared" si="0"/>
        <v>8</v>
      </c>
      <c r="L4" s="100">
        <f t="shared" si="0"/>
        <v>9</v>
      </c>
      <c r="M4" s="102">
        <f t="shared" si="0"/>
        <v>10</v>
      </c>
    </row>
    <row r="5" spans="1:13" ht="14.1" customHeight="1" thickBot="1">
      <c r="A5" s="63"/>
      <c r="B5" s="345"/>
      <c r="C5" s="348" t="s">
        <v>337</v>
      </c>
      <c r="D5" s="339">
        <v>2021</v>
      </c>
      <c r="E5" s="340">
        <f>D5+1</f>
        <v>2022</v>
      </c>
      <c r="F5" s="341">
        <f t="shared" si="0"/>
        <v>2023</v>
      </c>
      <c r="G5" s="910">
        <f t="shared" si="0"/>
        <v>2024</v>
      </c>
      <c r="H5" s="340">
        <f t="shared" si="0"/>
        <v>2025</v>
      </c>
      <c r="I5" s="342">
        <f t="shared" si="0"/>
        <v>2026</v>
      </c>
      <c r="J5" s="341">
        <f t="shared" si="0"/>
        <v>2027</v>
      </c>
      <c r="K5" s="340">
        <f t="shared" si="0"/>
        <v>2028</v>
      </c>
      <c r="L5" s="340">
        <f>K5+1</f>
        <v>2029</v>
      </c>
      <c r="M5" s="342">
        <f>L5+1</f>
        <v>2030</v>
      </c>
    </row>
    <row r="6" spans="1:13" ht="13.8" thickBot="1">
      <c r="A6" s="185" t="s">
        <v>9</v>
      </c>
      <c r="B6" s="182"/>
      <c r="C6" s="277"/>
      <c r="D6" s="194"/>
      <c r="E6" s="183"/>
      <c r="F6" s="194"/>
      <c r="G6" s="183"/>
      <c r="H6" s="183"/>
      <c r="I6" s="184"/>
      <c r="J6" s="194"/>
      <c r="K6" s="183"/>
      <c r="L6" s="183"/>
      <c r="M6" s="184"/>
    </row>
    <row r="7" spans="1:13">
      <c r="A7" s="62" t="s">
        <v>453</v>
      </c>
      <c r="B7" s="64"/>
      <c r="C7" s="196"/>
      <c r="D7" s="63"/>
      <c r="E7" s="73"/>
      <c r="F7" s="63"/>
      <c r="G7" s="73"/>
      <c r="H7" s="73"/>
      <c r="I7" s="111"/>
      <c r="J7" s="63"/>
      <c r="K7" s="73"/>
      <c r="L7" s="73"/>
      <c r="M7" s="111"/>
    </row>
    <row r="8" spans="1:13" ht="14.1" customHeight="1">
      <c r="A8" s="160" t="s">
        <v>10</v>
      </c>
      <c r="B8" s="122">
        <v>0.02</v>
      </c>
      <c r="C8" s="278"/>
      <c r="D8" s="132"/>
      <c r="E8" s="106"/>
      <c r="F8" s="132"/>
      <c r="G8" s="106"/>
      <c r="H8" s="106"/>
      <c r="I8" s="110"/>
      <c r="J8" s="132"/>
      <c r="K8" s="106"/>
      <c r="L8" s="106"/>
      <c r="M8" s="110"/>
    </row>
    <row r="9" spans="1:13" ht="14.1" customHeight="1">
      <c r="A9" s="160" t="s">
        <v>110</v>
      </c>
      <c r="B9" s="64"/>
      <c r="C9" s="305">
        <v>0</v>
      </c>
      <c r="D9" s="198">
        <f>'Development Schedule'!E13</f>
        <v>67440</v>
      </c>
      <c r="E9" s="171">
        <f>D9+'Development Schedule'!F12+'Development Schedule'!F14</f>
        <v>185460</v>
      </c>
      <c r="F9" s="1036">
        <f>E9</f>
        <v>185460</v>
      </c>
      <c r="G9" s="171">
        <f t="shared" ref="G9:M9" si="1">F9</f>
        <v>185460</v>
      </c>
      <c r="H9" s="171">
        <f t="shared" si="1"/>
        <v>185460</v>
      </c>
      <c r="I9" s="176">
        <f t="shared" si="1"/>
        <v>185460</v>
      </c>
      <c r="J9" s="198">
        <f t="shared" si="1"/>
        <v>185460</v>
      </c>
      <c r="K9" s="171">
        <f t="shared" si="1"/>
        <v>185460</v>
      </c>
      <c r="L9" s="171">
        <f t="shared" si="1"/>
        <v>185460</v>
      </c>
      <c r="M9" s="176">
        <f t="shared" si="1"/>
        <v>185460</v>
      </c>
    </row>
    <row r="10" spans="1:13" ht="14.1" customHeight="1">
      <c r="A10" s="160" t="s">
        <v>39</v>
      </c>
      <c r="B10" s="122">
        <v>0.9</v>
      </c>
      <c r="C10" s="305">
        <v>0</v>
      </c>
      <c r="D10" s="198">
        <f>D9*B10</f>
        <v>60696</v>
      </c>
      <c r="E10" s="171">
        <f>E9*B10</f>
        <v>166914</v>
      </c>
      <c r="F10" s="198">
        <f>F9*B10</f>
        <v>166914</v>
      </c>
      <c r="G10" s="171">
        <f t="shared" ref="G10:M10" si="2">F10</f>
        <v>166914</v>
      </c>
      <c r="H10" s="171">
        <f t="shared" si="2"/>
        <v>166914</v>
      </c>
      <c r="I10" s="176">
        <f t="shared" si="2"/>
        <v>166914</v>
      </c>
      <c r="J10" s="198">
        <f t="shared" si="2"/>
        <v>166914</v>
      </c>
      <c r="K10" s="171">
        <f t="shared" si="2"/>
        <v>166914</v>
      </c>
      <c r="L10" s="171">
        <f t="shared" si="2"/>
        <v>166914</v>
      </c>
      <c r="M10" s="176">
        <f t="shared" si="2"/>
        <v>166914</v>
      </c>
    </row>
    <row r="11" spans="1:13" ht="14.1" customHeight="1">
      <c r="A11" s="160" t="s">
        <v>44</v>
      </c>
      <c r="B11" s="105"/>
      <c r="C11" s="205">
        <v>1</v>
      </c>
      <c r="D11" s="205">
        <v>0.3</v>
      </c>
      <c r="E11" s="122">
        <v>0.151</v>
      </c>
      <c r="F11" s="205">
        <f>'Summary Board'!K110</f>
        <v>0.151</v>
      </c>
      <c r="G11" s="108">
        <f>F11</f>
        <v>0.151</v>
      </c>
      <c r="H11" s="108">
        <f t="shared" ref="H11:M11" si="3">G11</f>
        <v>0.151</v>
      </c>
      <c r="I11" s="206">
        <f t="shared" si="3"/>
        <v>0.151</v>
      </c>
      <c r="J11" s="255">
        <f t="shared" si="3"/>
        <v>0.151</v>
      </c>
      <c r="K11" s="108">
        <f t="shared" si="3"/>
        <v>0.151</v>
      </c>
      <c r="L11" s="108">
        <f t="shared" si="3"/>
        <v>0.151</v>
      </c>
      <c r="M11" s="206">
        <f t="shared" si="3"/>
        <v>0.151</v>
      </c>
    </row>
    <row r="12" spans="1:13" s="347" customFormat="1" ht="13.5" customHeight="1" thickBot="1">
      <c r="A12" s="133" t="s">
        <v>111</v>
      </c>
      <c r="B12" s="67"/>
      <c r="C12" s="279">
        <f>'Summary Board'!K109</f>
        <v>20</v>
      </c>
      <c r="D12" s="199">
        <f t="shared" ref="D12:M12" si="4">$C$12*(1+$B$8)^D$4</f>
        <v>20.399999999999999</v>
      </c>
      <c r="E12" s="186">
        <f t="shared" si="4"/>
        <v>20.808</v>
      </c>
      <c r="F12" s="285">
        <f t="shared" si="4"/>
        <v>21.224159999999998</v>
      </c>
      <c r="G12" s="273">
        <f t="shared" si="4"/>
        <v>21.648643199999999</v>
      </c>
      <c r="H12" s="273">
        <f t="shared" si="4"/>
        <v>22.081616064000002</v>
      </c>
      <c r="I12" s="274">
        <f t="shared" si="4"/>
        <v>22.523248385280002</v>
      </c>
      <c r="J12" s="285">
        <f t="shared" si="4"/>
        <v>22.973713352985598</v>
      </c>
      <c r="K12" s="273">
        <f t="shared" si="4"/>
        <v>23.43318762004531</v>
      </c>
      <c r="L12" s="273">
        <f t="shared" si="4"/>
        <v>23.901851372446217</v>
      </c>
      <c r="M12" s="274">
        <f t="shared" si="4"/>
        <v>24.379888399895144</v>
      </c>
    </row>
    <row r="13" spans="1:13" ht="14.1" customHeight="1" outlineLevel="1">
      <c r="A13" s="307" t="s">
        <v>16</v>
      </c>
      <c r="B13" s="190"/>
      <c r="C13" s="421">
        <f>C10*(1-C11)*C12</f>
        <v>0</v>
      </c>
      <c r="D13" s="234">
        <f t="shared" ref="D13:M13" si="5">D10*(1-D11)*D12</f>
        <v>866738.87999999989</v>
      </c>
      <c r="E13" s="236">
        <f>E10*(1-E11)*E12</f>
        <v>2948701.3886879999</v>
      </c>
      <c r="F13" s="234">
        <f>F10*(1-F11)*F12</f>
        <v>3007675.4164617597</v>
      </c>
      <c r="G13" s="217">
        <f t="shared" si="5"/>
        <v>3067828.9247909952</v>
      </c>
      <c r="H13" s="235">
        <f t="shared" si="5"/>
        <v>3129185.5032868157</v>
      </c>
      <c r="I13" s="236">
        <f t="shared" si="5"/>
        <v>3191769.2133525517</v>
      </c>
      <c r="J13" s="234">
        <f t="shared" si="5"/>
        <v>3255604.5976196025</v>
      </c>
      <c r="K13" s="235">
        <f t="shared" si="5"/>
        <v>3320716.6895719944</v>
      </c>
      <c r="L13" s="235">
        <f t="shared" si="5"/>
        <v>3387131.0233634342</v>
      </c>
      <c r="M13" s="236">
        <f t="shared" si="5"/>
        <v>3454873.6438307036</v>
      </c>
    </row>
    <row r="14" spans="1:13" ht="14.1" customHeight="1" outlineLevel="1">
      <c r="A14" s="160" t="s">
        <v>166</v>
      </c>
      <c r="B14" s="64"/>
      <c r="C14" s="239">
        <f t="shared" ref="C14:M14" si="6">C10*(1-C11)*($D$51*(1+$B$8)^C$4)</f>
        <v>0</v>
      </c>
      <c r="D14" s="237">
        <f t="shared" si="6"/>
        <v>303358.60800000001</v>
      </c>
      <c r="E14" s="238">
        <f t="shared" ref="E14" si="7">E10*(1-E11)*($D$51*(1+$B$8)^E$4)</f>
        <v>1032045.4860408</v>
      </c>
      <c r="F14" s="237">
        <f t="shared" si="6"/>
        <v>1052686.3957616161</v>
      </c>
      <c r="G14" s="226">
        <f t="shared" si="6"/>
        <v>1073740.1236768484</v>
      </c>
      <c r="H14" s="226">
        <f t="shared" si="6"/>
        <v>1095214.9261503853</v>
      </c>
      <c r="I14" s="238">
        <f t="shared" si="6"/>
        <v>1117119.2246733929</v>
      </c>
      <c r="J14" s="237">
        <f t="shared" si="6"/>
        <v>1139461.6091668606</v>
      </c>
      <c r="K14" s="226">
        <f t="shared" si="6"/>
        <v>1162250.841350198</v>
      </c>
      <c r="L14" s="226">
        <f t="shared" si="6"/>
        <v>1185495.8581772021</v>
      </c>
      <c r="M14" s="238">
        <f t="shared" si="6"/>
        <v>1209205.7753407459</v>
      </c>
    </row>
    <row r="15" spans="1:13" ht="14.1" customHeight="1" outlineLevel="1" thickBot="1">
      <c r="A15" s="133" t="s">
        <v>167</v>
      </c>
      <c r="B15" s="67"/>
      <c r="C15" s="417">
        <f t="shared" ref="C15:M15" si="8">C10*($D$51*(1+$B$8)^C$4)</f>
        <v>0</v>
      </c>
      <c r="D15" s="418">
        <f t="shared" si="8"/>
        <v>433369.44000000006</v>
      </c>
      <c r="E15" s="420">
        <f t="shared" ref="E15" si="9">E10*($D$51*(1+$B$8)^E$4)</f>
        <v>1215601.2792</v>
      </c>
      <c r="F15" s="418">
        <f t="shared" si="8"/>
        <v>1239913.3047839999</v>
      </c>
      <c r="G15" s="419">
        <f t="shared" si="8"/>
        <v>1264711.5708796801</v>
      </c>
      <c r="H15" s="419">
        <f t="shared" si="8"/>
        <v>1290005.8022972737</v>
      </c>
      <c r="I15" s="420">
        <f t="shared" si="8"/>
        <v>1315805.9183432192</v>
      </c>
      <c r="J15" s="418">
        <f t="shared" si="8"/>
        <v>1342122.0367100833</v>
      </c>
      <c r="K15" s="419">
        <f t="shared" si="8"/>
        <v>1368964.4774442848</v>
      </c>
      <c r="L15" s="419">
        <f t="shared" si="8"/>
        <v>1396343.7669931708</v>
      </c>
      <c r="M15" s="420">
        <f t="shared" si="8"/>
        <v>1424270.6423330342</v>
      </c>
    </row>
    <row r="16" spans="1:13">
      <c r="A16" s="62" t="s">
        <v>454</v>
      </c>
      <c r="B16" s="64"/>
      <c r="C16" s="196"/>
      <c r="D16" s="63"/>
      <c r="E16" s="73"/>
      <c r="F16" s="63"/>
      <c r="G16" s="73"/>
      <c r="H16" s="73"/>
      <c r="I16" s="111"/>
      <c r="J16" s="63"/>
      <c r="K16" s="73"/>
      <c r="L16" s="73"/>
      <c r="M16" s="111"/>
    </row>
    <row r="17" spans="1:13" ht="14.1" customHeight="1">
      <c r="A17" s="160" t="s">
        <v>10</v>
      </c>
      <c r="B17" s="122">
        <v>0.02</v>
      </c>
      <c r="C17" s="278"/>
      <c r="D17" s="132"/>
      <c r="E17" s="106"/>
      <c r="F17" s="132"/>
      <c r="G17" s="106"/>
      <c r="H17" s="106"/>
      <c r="I17" s="110"/>
      <c r="J17" s="132"/>
      <c r="K17" s="106"/>
      <c r="L17" s="106"/>
      <c r="M17" s="110"/>
    </row>
    <row r="18" spans="1:13" ht="14.1" customHeight="1">
      <c r="A18" s="160" t="s">
        <v>110</v>
      </c>
      <c r="B18" s="64"/>
      <c r="C18" s="305">
        <v>0</v>
      </c>
      <c r="D18" s="198">
        <f>'Development Schedule'!E29</f>
        <v>36941.333333333328</v>
      </c>
      <c r="E18" s="171">
        <f>D18+'Development Schedule'!F29+'Development Schedule'!F30</f>
        <v>174152</v>
      </c>
      <c r="F18" s="1036">
        <f>E18</f>
        <v>174152</v>
      </c>
      <c r="G18" s="171">
        <f t="shared" ref="G18:M18" si="10">F18</f>
        <v>174152</v>
      </c>
      <c r="H18" s="171">
        <f>C48</f>
        <v>174152</v>
      </c>
      <c r="I18" s="176">
        <f t="shared" si="10"/>
        <v>174152</v>
      </c>
      <c r="J18" s="198">
        <f t="shared" si="10"/>
        <v>174152</v>
      </c>
      <c r="K18" s="171">
        <f t="shared" si="10"/>
        <v>174152</v>
      </c>
      <c r="L18" s="171">
        <f t="shared" si="10"/>
        <v>174152</v>
      </c>
      <c r="M18" s="176">
        <f t="shared" si="10"/>
        <v>174152</v>
      </c>
    </row>
    <row r="19" spans="1:13" ht="14.1" customHeight="1">
      <c r="A19" s="160" t="s">
        <v>39</v>
      </c>
      <c r="B19" s="122">
        <v>0.9</v>
      </c>
      <c r="C19" s="305">
        <v>0</v>
      </c>
      <c r="D19" s="198">
        <f>D18*B19</f>
        <v>33247.199999999997</v>
      </c>
      <c r="E19" s="171">
        <f>E18*B19</f>
        <v>156736.80000000002</v>
      </c>
      <c r="F19" s="198">
        <f>F18*B19</f>
        <v>156736.80000000002</v>
      </c>
      <c r="G19" s="171">
        <f t="shared" ref="G19:M19" si="11">F19</f>
        <v>156736.80000000002</v>
      </c>
      <c r="H19" s="171">
        <f>H18*B19</f>
        <v>156736.80000000002</v>
      </c>
      <c r="I19" s="176">
        <f t="shared" si="11"/>
        <v>156736.80000000002</v>
      </c>
      <c r="J19" s="198">
        <f t="shared" si="11"/>
        <v>156736.80000000002</v>
      </c>
      <c r="K19" s="171">
        <f t="shared" si="11"/>
        <v>156736.80000000002</v>
      </c>
      <c r="L19" s="171">
        <f t="shared" si="11"/>
        <v>156736.80000000002</v>
      </c>
      <c r="M19" s="176">
        <f t="shared" si="11"/>
        <v>156736.80000000002</v>
      </c>
    </row>
    <row r="20" spans="1:13" ht="14.1" customHeight="1">
      <c r="A20" s="160" t="s">
        <v>44</v>
      </c>
      <c r="B20" s="105"/>
      <c r="C20" s="205">
        <v>1</v>
      </c>
      <c r="D20" s="255">
        <f>C20</f>
        <v>1</v>
      </c>
      <c r="E20" s="122">
        <v>0.3</v>
      </c>
      <c r="F20" s="205">
        <f>F11</f>
        <v>0.151</v>
      </c>
      <c r="G20" s="108">
        <f>F20</f>
        <v>0.151</v>
      </c>
      <c r="H20" s="108">
        <f t="shared" ref="H20:M20" si="12">G20</f>
        <v>0.151</v>
      </c>
      <c r="I20" s="206">
        <f t="shared" si="12"/>
        <v>0.151</v>
      </c>
      <c r="J20" s="255">
        <f t="shared" si="12"/>
        <v>0.151</v>
      </c>
      <c r="K20" s="108">
        <f t="shared" si="12"/>
        <v>0.151</v>
      </c>
      <c r="L20" s="108">
        <f t="shared" si="12"/>
        <v>0.151</v>
      </c>
      <c r="M20" s="206">
        <f t="shared" si="12"/>
        <v>0.151</v>
      </c>
    </row>
    <row r="21" spans="1:13" ht="14.1" customHeight="1" thickBot="1">
      <c r="A21" s="160" t="s">
        <v>111</v>
      </c>
      <c r="B21" s="64"/>
      <c r="C21" s="416">
        <f>C12</f>
        <v>20</v>
      </c>
      <c r="D21" s="199">
        <f t="shared" ref="D21:M21" si="13">$C$12*(1+$B$8)^D$4</f>
        <v>20.399999999999999</v>
      </c>
      <c r="E21" s="186">
        <f t="shared" si="13"/>
        <v>20.808</v>
      </c>
      <c r="F21" s="199">
        <f t="shared" si="13"/>
        <v>21.224159999999998</v>
      </c>
      <c r="G21" s="273">
        <f t="shared" si="13"/>
        <v>21.648643199999999</v>
      </c>
      <c r="H21" s="186">
        <f t="shared" si="13"/>
        <v>22.081616064000002</v>
      </c>
      <c r="I21" s="187">
        <f t="shared" si="13"/>
        <v>22.523248385280002</v>
      </c>
      <c r="J21" s="199">
        <f t="shared" si="13"/>
        <v>22.973713352985598</v>
      </c>
      <c r="K21" s="186">
        <f t="shared" si="13"/>
        <v>23.43318762004531</v>
      </c>
      <c r="L21" s="186">
        <f t="shared" si="13"/>
        <v>23.901851372446217</v>
      </c>
      <c r="M21" s="187">
        <f t="shared" si="13"/>
        <v>24.379888399895144</v>
      </c>
    </row>
    <row r="22" spans="1:13" ht="14.1" customHeight="1" outlineLevel="1">
      <c r="A22" s="307" t="s">
        <v>16</v>
      </c>
      <c r="B22" s="190"/>
      <c r="C22" s="421">
        <f>C19*(1-C20)*C21</f>
        <v>0</v>
      </c>
      <c r="D22" s="234">
        <f t="shared" ref="D22:M22" si="14">D19*(1-D20)*D21</f>
        <v>0</v>
      </c>
      <c r="E22" s="235">
        <f t="shared" si="14"/>
        <v>2282965.5340800001</v>
      </c>
      <c r="F22" s="234">
        <f t="shared" si="14"/>
        <v>2824289.2760037119</v>
      </c>
      <c r="G22" s="217">
        <f t="shared" si="14"/>
        <v>2880775.0615237863</v>
      </c>
      <c r="H22" s="235">
        <f>H19*(1-H20)*H21</f>
        <v>2938390.5627542627</v>
      </c>
      <c r="I22" s="236">
        <f t="shared" si="14"/>
        <v>2997158.374009348</v>
      </c>
      <c r="J22" s="234">
        <f t="shared" si="14"/>
        <v>3057101.5414895341</v>
      </c>
      <c r="K22" s="235">
        <f t="shared" si="14"/>
        <v>3118243.5723193251</v>
      </c>
      <c r="L22" s="235">
        <f t="shared" si="14"/>
        <v>3180608.4437657115</v>
      </c>
      <c r="M22" s="236">
        <f t="shared" si="14"/>
        <v>3244220.6126410263</v>
      </c>
    </row>
    <row r="23" spans="1:13" ht="14.1" customHeight="1" outlineLevel="1">
      <c r="A23" s="160" t="s">
        <v>166</v>
      </c>
      <c r="B23" s="64"/>
      <c r="C23" s="239">
        <f t="shared" ref="C23:M23" si="15">C19*(1-C20)*($D$51*(1+$B$17)^C$4)</f>
        <v>0</v>
      </c>
      <c r="D23" s="237">
        <f t="shared" si="15"/>
        <v>0</v>
      </c>
      <c r="E23" s="226">
        <f t="shared" si="15"/>
        <v>799037.93692800007</v>
      </c>
      <c r="F23" s="237">
        <f t="shared" si="15"/>
        <v>988501.24660129927</v>
      </c>
      <c r="G23" s="226">
        <f t="shared" si="15"/>
        <v>1008271.2715333253</v>
      </c>
      <c r="H23" s="226">
        <f t="shared" si="15"/>
        <v>1028436.6969639917</v>
      </c>
      <c r="I23" s="238">
        <f t="shared" si="15"/>
        <v>1049005.4309032718</v>
      </c>
      <c r="J23" s="237">
        <f t="shared" si="15"/>
        <v>1069985.5395213368</v>
      </c>
      <c r="K23" s="226">
        <f t="shared" si="15"/>
        <v>1091385.2503117637</v>
      </c>
      <c r="L23" s="226">
        <f t="shared" si="15"/>
        <v>1113212.955317999</v>
      </c>
      <c r="M23" s="238">
        <f t="shared" si="15"/>
        <v>1135477.2144243589</v>
      </c>
    </row>
    <row r="24" spans="1:13" ht="14.1" customHeight="1" outlineLevel="1" thickBot="1">
      <c r="A24" s="133" t="s">
        <v>167</v>
      </c>
      <c r="B24" s="67"/>
      <c r="C24" s="417">
        <f t="shared" ref="C24:M24" si="16">C19*($D$51*(1+$B$17)^C$4)</f>
        <v>0</v>
      </c>
      <c r="D24" s="418">
        <f t="shared" si="16"/>
        <v>237385.008</v>
      </c>
      <c r="E24" s="419">
        <f t="shared" si="16"/>
        <v>1141482.7670400001</v>
      </c>
      <c r="F24" s="418">
        <f t="shared" si="16"/>
        <v>1164312.4223808001</v>
      </c>
      <c r="G24" s="419">
        <f t="shared" si="16"/>
        <v>1187598.6708284162</v>
      </c>
      <c r="H24" s="419">
        <f t="shared" si="16"/>
        <v>1211350.6442449845</v>
      </c>
      <c r="I24" s="420">
        <f t="shared" si="16"/>
        <v>1235577.6571298842</v>
      </c>
      <c r="J24" s="418">
        <f t="shared" si="16"/>
        <v>1260289.2102724817</v>
      </c>
      <c r="K24" s="419">
        <f t="shared" si="16"/>
        <v>1285494.9944779312</v>
      </c>
      <c r="L24" s="419">
        <f t="shared" si="16"/>
        <v>1311204.89436749</v>
      </c>
      <c r="M24" s="420">
        <f t="shared" si="16"/>
        <v>1337428.9922548397</v>
      </c>
    </row>
    <row r="25" spans="1:13" ht="13.8" thickBot="1">
      <c r="A25" s="185" t="s">
        <v>0</v>
      </c>
      <c r="B25" s="182"/>
      <c r="C25" s="191"/>
      <c r="D25" s="232"/>
      <c r="E25" s="188"/>
      <c r="F25" s="232"/>
      <c r="G25" s="188"/>
      <c r="H25" s="188"/>
      <c r="I25" s="189"/>
      <c r="J25" s="232"/>
      <c r="K25" s="188"/>
      <c r="L25" s="188"/>
      <c r="M25" s="189"/>
    </row>
    <row r="26" spans="1:13">
      <c r="A26" s="160" t="s">
        <v>16</v>
      </c>
      <c r="B26" s="64"/>
      <c r="C26" s="137">
        <f>SUM(C13,C22)</f>
        <v>0</v>
      </c>
      <c r="D26" s="247">
        <f t="shared" ref="D26:M26" si="17">SUM(D13,D22)</f>
        <v>866738.87999999989</v>
      </c>
      <c r="E26" s="216">
        <f t="shared" si="17"/>
        <v>5231666.9227680005</v>
      </c>
      <c r="F26" s="247">
        <f t="shared" si="17"/>
        <v>5831964.6924654711</v>
      </c>
      <c r="G26" s="216">
        <f t="shared" si="17"/>
        <v>5948603.986314781</v>
      </c>
      <c r="H26" s="216">
        <f t="shared" si="17"/>
        <v>6067576.0660410784</v>
      </c>
      <c r="I26" s="230">
        <f t="shared" si="17"/>
        <v>6188927.5873619001</v>
      </c>
      <c r="J26" s="247">
        <f t="shared" si="17"/>
        <v>6312706.1391091365</v>
      </c>
      <c r="K26" s="216">
        <f t="shared" si="17"/>
        <v>6438960.2618913194</v>
      </c>
      <c r="L26" s="216">
        <f t="shared" si="17"/>
        <v>6567739.4671291457</v>
      </c>
      <c r="M26" s="230">
        <f t="shared" si="17"/>
        <v>6699094.2564717298</v>
      </c>
    </row>
    <row r="27" spans="1:13">
      <c r="A27" s="160" t="s">
        <v>115</v>
      </c>
      <c r="B27" s="64"/>
      <c r="C27" s="138">
        <f>SUM(C14,C23)</f>
        <v>0</v>
      </c>
      <c r="D27" s="237">
        <f t="shared" ref="D27:M27" si="18">SUM(D14,D23)</f>
        <v>303358.60800000001</v>
      </c>
      <c r="E27" s="226">
        <f t="shared" si="18"/>
        <v>1831083.4229688002</v>
      </c>
      <c r="F27" s="237">
        <f t="shared" si="18"/>
        <v>2041187.6423629154</v>
      </c>
      <c r="G27" s="226">
        <f t="shared" si="18"/>
        <v>2082011.3952101737</v>
      </c>
      <c r="H27" s="226">
        <f t="shared" si="18"/>
        <v>2123651.6231143773</v>
      </c>
      <c r="I27" s="238">
        <f t="shared" si="18"/>
        <v>2166124.655576665</v>
      </c>
      <c r="J27" s="237">
        <f t="shared" si="18"/>
        <v>2209447.1486881971</v>
      </c>
      <c r="K27" s="226">
        <f t="shared" si="18"/>
        <v>2253636.0916619617</v>
      </c>
      <c r="L27" s="226">
        <f t="shared" si="18"/>
        <v>2298708.8134952011</v>
      </c>
      <c r="M27" s="238">
        <f t="shared" si="18"/>
        <v>2344682.9897651048</v>
      </c>
    </row>
    <row r="28" spans="1:13" s="346" customFormat="1">
      <c r="A28" s="222" t="s">
        <v>116</v>
      </c>
      <c r="B28" s="351"/>
      <c r="C28" s="354">
        <f>-SUM(C15,C24)</f>
        <v>0</v>
      </c>
      <c r="D28" s="355">
        <f t="shared" ref="D28:M28" si="19">-SUM(D15,D24)</f>
        <v>-670754.44800000009</v>
      </c>
      <c r="E28" s="352">
        <f t="shared" si="19"/>
        <v>-2357084.0462400001</v>
      </c>
      <c r="F28" s="355">
        <f t="shared" si="19"/>
        <v>-2404225.7271648003</v>
      </c>
      <c r="G28" s="352">
        <f t="shared" si="19"/>
        <v>-2452310.2417080961</v>
      </c>
      <c r="H28" s="352">
        <f t="shared" si="19"/>
        <v>-2501356.4465422584</v>
      </c>
      <c r="I28" s="353">
        <f t="shared" si="19"/>
        <v>-2551383.5754731037</v>
      </c>
      <c r="J28" s="355">
        <f t="shared" si="19"/>
        <v>-2602411.2469825651</v>
      </c>
      <c r="K28" s="352">
        <f t="shared" si="19"/>
        <v>-2654459.471922216</v>
      </c>
      <c r="L28" s="352">
        <f t="shared" si="19"/>
        <v>-2707548.6613606606</v>
      </c>
      <c r="M28" s="353">
        <f t="shared" si="19"/>
        <v>-2761699.6345878737</v>
      </c>
    </row>
    <row r="29" spans="1:13" ht="14.1" customHeight="1" thickBot="1">
      <c r="A29" s="262" t="s">
        <v>5</v>
      </c>
      <c r="B29" s="67"/>
      <c r="C29" s="249">
        <f>SUM(C26:C28)</f>
        <v>0</v>
      </c>
      <c r="D29" s="250">
        <f t="shared" ref="D29:M29" si="20">SUM(D26:D28)</f>
        <v>499343.0399999998</v>
      </c>
      <c r="E29" s="224">
        <f t="shared" si="20"/>
        <v>4705666.2994968006</v>
      </c>
      <c r="F29" s="250">
        <f t="shared" si="20"/>
        <v>5468926.6076635858</v>
      </c>
      <c r="G29" s="224">
        <f t="shared" si="20"/>
        <v>5578305.1398168588</v>
      </c>
      <c r="H29" s="224">
        <f t="shared" si="20"/>
        <v>5689871.2426131973</v>
      </c>
      <c r="I29" s="225">
        <f t="shared" si="20"/>
        <v>5803668.6674654614</v>
      </c>
      <c r="J29" s="250">
        <f t="shared" si="20"/>
        <v>5919742.0408147685</v>
      </c>
      <c r="K29" s="224">
        <f t="shared" si="20"/>
        <v>6038136.8816310642</v>
      </c>
      <c r="L29" s="224">
        <f t="shared" si="20"/>
        <v>6158899.6192636862</v>
      </c>
      <c r="M29" s="225">
        <f t="shared" si="20"/>
        <v>6282077.611648961</v>
      </c>
    </row>
    <row r="30" spans="1:13" ht="13.8" thickBot="1">
      <c r="A30" s="185" t="s">
        <v>2</v>
      </c>
      <c r="B30" s="182"/>
      <c r="C30" s="191"/>
      <c r="D30" s="232"/>
      <c r="E30" s="188"/>
      <c r="F30" s="232"/>
      <c r="G30" s="188"/>
      <c r="H30" s="188"/>
      <c r="I30" s="189"/>
      <c r="J30" s="232"/>
      <c r="K30" s="188"/>
      <c r="L30" s="188"/>
      <c r="M30" s="189"/>
    </row>
    <row r="31" spans="1:13">
      <c r="A31" s="160" t="s">
        <v>101</v>
      </c>
      <c r="B31" s="64"/>
      <c r="C31" s="207">
        <f>'Summary Board'!F99</f>
        <v>132</v>
      </c>
      <c r="D31" s="199">
        <f>$C$31*(1+$B$8)^D4</f>
        <v>134.64000000000001</v>
      </c>
      <c r="E31" s="186">
        <f t="shared" ref="E31:M31" si="21">$C$31*(1+$B$8)^E4</f>
        <v>137.33279999999999</v>
      </c>
      <c r="F31" s="199">
        <f t="shared" si="21"/>
        <v>140.07945599999999</v>
      </c>
      <c r="G31" s="186">
        <f t="shared" si="21"/>
        <v>142.88104512000001</v>
      </c>
      <c r="H31" s="186">
        <f t="shared" si="21"/>
        <v>145.7386660224</v>
      </c>
      <c r="I31" s="187">
        <f t="shared" si="21"/>
        <v>148.653439342848</v>
      </c>
      <c r="J31" s="199">
        <f t="shared" si="21"/>
        <v>151.62650812970494</v>
      </c>
      <c r="K31" s="186">
        <f t="shared" si="21"/>
        <v>154.65903829229904</v>
      </c>
      <c r="L31" s="186">
        <f t="shared" si="21"/>
        <v>157.75221905814504</v>
      </c>
      <c r="M31" s="187">
        <f t="shared" si="21"/>
        <v>160.90726343930794</v>
      </c>
    </row>
    <row r="32" spans="1:13" ht="14.1" customHeight="1">
      <c r="A32" s="160" t="s">
        <v>12</v>
      </c>
      <c r="B32" s="64"/>
      <c r="C32" s="245">
        <f>C33/SUM($C$33:$M$33)</f>
        <v>0</v>
      </c>
      <c r="D32" s="246">
        <f t="shared" ref="D32:M32" si="22">D33/SUM($C$33:$M$33)</f>
        <v>0.28619846071539895</v>
      </c>
      <c r="E32" s="173">
        <f t="shared" si="22"/>
        <v>0.71380153928460111</v>
      </c>
      <c r="F32" s="246">
        <f t="shared" si="22"/>
        <v>0</v>
      </c>
      <c r="G32" s="173">
        <f t="shared" si="22"/>
        <v>0</v>
      </c>
      <c r="H32" s="173">
        <f t="shared" si="22"/>
        <v>0</v>
      </c>
      <c r="I32" s="229">
        <f t="shared" si="22"/>
        <v>0</v>
      </c>
      <c r="J32" s="246">
        <f t="shared" si="22"/>
        <v>0</v>
      </c>
      <c r="K32" s="173">
        <f t="shared" si="22"/>
        <v>0</v>
      </c>
      <c r="L32" s="173">
        <f t="shared" si="22"/>
        <v>0</v>
      </c>
      <c r="M32" s="229">
        <f t="shared" si="22"/>
        <v>0</v>
      </c>
    </row>
    <row r="33" spans="1:13" ht="14.1" customHeight="1">
      <c r="A33" s="160" t="s">
        <v>2</v>
      </c>
      <c r="B33" s="64"/>
      <c r="C33" s="149">
        <f>'Development Schedule'!D98*C31</f>
        <v>0</v>
      </c>
      <c r="D33" s="290">
        <f>'Development Schedule'!E98*D31</f>
        <v>14053902.720000001</v>
      </c>
      <c r="E33" s="291">
        <f>'Development Schedule'!F98*E31</f>
        <v>35051542.099199995</v>
      </c>
      <c r="F33" s="290">
        <f>'Development Schedule'!G98*F31</f>
        <v>0</v>
      </c>
      <c r="G33" s="291">
        <f>'Development Schedule'!H98*G31</f>
        <v>0</v>
      </c>
      <c r="H33" s="291">
        <f>'Development Schedule'!I98*H31</f>
        <v>0</v>
      </c>
      <c r="I33" s="292">
        <f>'Development Schedule'!J98*I31</f>
        <v>0</v>
      </c>
      <c r="J33" s="290">
        <f>'Development Schedule'!K98*J31</f>
        <v>0</v>
      </c>
      <c r="K33" s="291">
        <f>'Development Schedule'!L98*K31</f>
        <v>0</v>
      </c>
      <c r="L33" s="291">
        <f>'Development Schedule'!M98*L31</f>
        <v>0</v>
      </c>
      <c r="M33" s="292">
        <f>'Development Schedule'!N98*M31</f>
        <v>0</v>
      </c>
    </row>
    <row r="34" spans="1:13" ht="14.1" customHeight="1">
      <c r="A34" s="222" t="s">
        <v>13</v>
      </c>
      <c r="B34" s="227"/>
      <c r="C34" s="152"/>
      <c r="D34" s="248"/>
      <c r="E34" s="228"/>
      <c r="F34" s="248"/>
      <c r="G34" s="228"/>
      <c r="H34" s="228"/>
      <c r="I34" s="231"/>
      <c r="J34" s="248"/>
      <c r="K34" s="228"/>
      <c r="L34" s="228"/>
      <c r="M34" s="231"/>
    </row>
    <row r="35" spans="1:13" ht="14.1" customHeight="1" thickBot="1">
      <c r="A35" s="262" t="s">
        <v>3</v>
      </c>
      <c r="B35" s="67"/>
      <c r="C35" s="250">
        <f>SUM(C33:C34)</f>
        <v>0</v>
      </c>
      <c r="D35" s="250">
        <f t="shared" ref="D35:M35" si="23">SUM(D33:D34)</f>
        <v>14053902.720000001</v>
      </c>
      <c r="E35" s="224">
        <f t="shared" si="23"/>
        <v>35051542.099199995</v>
      </c>
      <c r="F35" s="250">
        <f t="shared" si="23"/>
        <v>0</v>
      </c>
      <c r="G35" s="224">
        <f t="shared" si="23"/>
        <v>0</v>
      </c>
      <c r="H35" s="224">
        <f t="shared" si="23"/>
        <v>0</v>
      </c>
      <c r="I35" s="225">
        <f t="shared" si="23"/>
        <v>0</v>
      </c>
      <c r="J35" s="250">
        <f t="shared" si="23"/>
        <v>0</v>
      </c>
      <c r="K35" s="224">
        <f t="shared" si="23"/>
        <v>0</v>
      </c>
      <c r="L35" s="224">
        <f t="shared" si="23"/>
        <v>0</v>
      </c>
      <c r="M35" s="225">
        <f t="shared" si="23"/>
        <v>0</v>
      </c>
    </row>
    <row r="36" spans="1:13" ht="13.8" thickBot="1">
      <c r="A36" s="185" t="s">
        <v>4</v>
      </c>
      <c r="B36" s="182"/>
      <c r="C36" s="191"/>
      <c r="D36" s="232"/>
      <c r="E36" s="188"/>
      <c r="F36" s="232"/>
      <c r="G36" s="188"/>
      <c r="H36" s="188"/>
      <c r="I36" s="189"/>
      <c r="J36" s="232"/>
      <c r="K36" s="188"/>
      <c r="L36" s="188"/>
      <c r="M36" s="189"/>
    </row>
    <row r="37" spans="1:13" ht="14.1" customHeight="1">
      <c r="A37" s="160" t="s">
        <v>5</v>
      </c>
      <c r="B37" s="64"/>
      <c r="C37" s="137">
        <f>C29</f>
        <v>0</v>
      </c>
      <c r="D37" s="247">
        <f t="shared" ref="D37:M37" si="24">D29</f>
        <v>499343.0399999998</v>
      </c>
      <c r="E37" s="216">
        <f t="shared" si="24"/>
        <v>4705666.2994968006</v>
      </c>
      <c r="F37" s="247">
        <f t="shared" si="24"/>
        <v>5468926.6076635858</v>
      </c>
      <c r="G37" s="216">
        <f t="shared" si="24"/>
        <v>5578305.1398168588</v>
      </c>
      <c r="H37" s="216">
        <f t="shared" si="24"/>
        <v>5689871.2426131973</v>
      </c>
      <c r="I37" s="230">
        <f t="shared" si="24"/>
        <v>5803668.6674654614</v>
      </c>
      <c r="J37" s="247">
        <f t="shared" si="24"/>
        <v>5919742.0408147685</v>
      </c>
      <c r="K37" s="216">
        <f t="shared" si="24"/>
        <v>6038136.8816310642</v>
      </c>
      <c r="L37" s="216">
        <f t="shared" si="24"/>
        <v>6158899.6192636862</v>
      </c>
      <c r="M37" s="230">
        <f t="shared" si="24"/>
        <v>6282077.611648961</v>
      </c>
    </row>
    <row r="38" spans="1:13" ht="14.1" customHeight="1">
      <c r="A38" s="160" t="s">
        <v>59</v>
      </c>
      <c r="B38" s="108">
        <f>D52</f>
        <v>6.4000000000000001E-2</v>
      </c>
      <c r="C38" s="139">
        <v>0</v>
      </c>
      <c r="D38" s="237">
        <f>C38</f>
        <v>0</v>
      </c>
      <c r="E38" s="226">
        <f t="shared" ref="E38:L39" si="25">D38</f>
        <v>0</v>
      </c>
      <c r="F38" s="237">
        <f t="shared" si="25"/>
        <v>0</v>
      </c>
      <c r="G38" s="226">
        <f t="shared" si="25"/>
        <v>0</v>
      </c>
      <c r="H38" s="226">
        <f t="shared" si="25"/>
        <v>0</v>
      </c>
      <c r="I38" s="238">
        <f t="shared" si="25"/>
        <v>0</v>
      </c>
      <c r="J38" s="237">
        <f t="shared" si="25"/>
        <v>0</v>
      </c>
      <c r="K38" s="226">
        <f t="shared" si="25"/>
        <v>0</v>
      </c>
      <c r="L38" s="226">
        <f t="shared" si="25"/>
        <v>0</v>
      </c>
      <c r="M38" s="238">
        <f>M37/B38</f>
        <v>98157462.682015017</v>
      </c>
    </row>
    <row r="39" spans="1:13" ht="14.1" customHeight="1">
      <c r="A39" s="160" t="s">
        <v>60</v>
      </c>
      <c r="B39" s="108">
        <f>D53</f>
        <v>0.03</v>
      </c>
      <c r="C39" s="139">
        <v>0</v>
      </c>
      <c r="D39" s="237">
        <f>C39</f>
        <v>0</v>
      </c>
      <c r="E39" s="226">
        <f t="shared" si="25"/>
        <v>0</v>
      </c>
      <c r="F39" s="237">
        <f t="shared" si="25"/>
        <v>0</v>
      </c>
      <c r="G39" s="226">
        <f t="shared" si="25"/>
        <v>0</v>
      </c>
      <c r="H39" s="226">
        <f t="shared" si="25"/>
        <v>0</v>
      </c>
      <c r="I39" s="238">
        <f t="shared" si="25"/>
        <v>0</v>
      </c>
      <c r="J39" s="237">
        <f t="shared" si="25"/>
        <v>0</v>
      </c>
      <c r="K39" s="226">
        <f t="shared" si="25"/>
        <v>0</v>
      </c>
      <c r="L39" s="226">
        <f t="shared" si="25"/>
        <v>0</v>
      </c>
      <c r="M39" s="238">
        <f>M38*-B39</f>
        <v>-2944723.8804604504</v>
      </c>
    </row>
    <row r="40" spans="1:13" ht="14.1" customHeight="1">
      <c r="A40" s="222" t="s">
        <v>102</v>
      </c>
      <c r="B40" s="286"/>
      <c r="C40" s="253">
        <f>-C35</f>
        <v>0</v>
      </c>
      <c r="D40" s="254">
        <f t="shared" ref="D40:M40" si="26">-D35</f>
        <v>-14053902.720000001</v>
      </c>
      <c r="E40" s="220">
        <f t="shared" si="26"/>
        <v>-35051542.099199995</v>
      </c>
      <c r="F40" s="254">
        <f t="shared" si="26"/>
        <v>0</v>
      </c>
      <c r="G40" s="220">
        <f t="shared" si="26"/>
        <v>0</v>
      </c>
      <c r="H40" s="220">
        <f t="shared" si="26"/>
        <v>0</v>
      </c>
      <c r="I40" s="223">
        <f t="shared" si="26"/>
        <v>0</v>
      </c>
      <c r="J40" s="254">
        <f t="shared" si="26"/>
        <v>0</v>
      </c>
      <c r="K40" s="220">
        <f t="shared" si="26"/>
        <v>0</v>
      </c>
      <c r="L40" s="220">
        <f t="shared" si="26"/>
        <v>0</v>
      </c>
      <c r="M40" s="223">
        <f t="shared" si="26"/>
        <v>0</v>
      </c>
    </row>
    <row r="41" spans="1:13" ht="14.1" customHeight="1" thickBot="1">
      <c r="A41" s="262" t="s">
        <v>6</v>
      </c>
      <c r="B41" s="117"/>
      <c r="C41" s="249">
        <f>SUM(C37:C40)</f>
        <v>0</v>
      </c>
      <c r="D41" s="250">
        <f t="shared" ref="D41:M41" si="27">SUM(D37:D40)</f>
        <v>-13554559.680000002</v>
      </c>
      <c r="E41" s="224">
        <f t="shared" si="27"/>
        <v>-30345875.799703196</v>
      </c>
      <c r="F41" s="250">
        <f t="shared" si="27"/>
        <v>5468926.6076635858</v>
      </c>
      <c r="G41" s="224">
        <f t="shared" si="27"/>
        <v>5578305.1398168588</v>
      </c>
      <c r="H41" s="224">
        <f t="shared" si="27"/>
        <v>5689871.2426131973</v>
      </c>
      <c r="I41" s="225">
        <f t="shared" si="27"/>
        <v>5803668.6674654614</v>
      </c>
      <c r="J41" s="250">
        <f t="shared" si="27"/>
        <v>5919742.0408147685</v>
      </c>
      <c r="K41" s="224">
        <f t="shared" si="27"/>
        <v>6038136.8816310642</v>
      </c>
      <c r="L41" s="224">
        <f t="shared" si="27"/>
        <v>6158899.6192636862</v>
      </c>
      <c r="M41" s="225">
        <f t="shared" si="27"/>
        <v>101494816.41320352</v>
      </c>
    </row>
    <row r="42" spans="1:13" ht="13.8" thickBot="1">
      <c r="A42" s="114" t="s">
        <v>26</v>
      </c>
      <c r="B42" s="105"/>
      <c r="C42" s="1039">
        <f>NPV(D54,D41:M41)</f>
        <v>34213193.279986814</v>
      </c>
      <c r="D42" s="356"/>
      <c r="E42" s="357"/>
      <c r="F42" s="356"/>
      <c r="G42" s="1008"/>
      <c r="H42" s="357"/>
      <c r="I42" s="358"/>
      <c r="J42" s="107"/>
      <c r="K42" s="107"/>
      <c r="L42" s="107"/>
      <c r="M42" s="175"/>
    </row>
    <row r="43" spans="1:13" ht="13.8" thickBot="1">
      <c r="A43" s="80" t="s">
        <v>61</v>
      </c>
      <c r="B43" s="144"/>
      <c r="C43" s="260">
        <f>IRR(C41:M41)</f>
        <v>0.18999159683893163</v>
      </c>
      <c r="D43" s="241"/>
      <c r="E43" s="144"/>
      <c r="F43" s="241"/>
      <c r="G43" s="144"/>
      <c r="H43" s="144"/>
      <c r="I43" s="159"/>
      <c r="J43" s="144"/>
      <c r="K43" s="144"/>
      <c r="L43" s="144"/>
      <c r="M43" s="159"/>
    </row>
    <row r="44" spans="1:13" ht="13.8" thickBot="1">
      <c r="A44" s="39"/>
      <c r="B44" s="57"/>
      <c r="C44" s="57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3.8" thickBot="1">
      <c r="A45" s="907" t="s">
        <v>96</v>
      </c>
      <c r="B45" s="973"/>
      <c r="C45" s="973"/>
      <c r="D45" s="998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3.8" thickBot="1">
      <c r="A46" s="78"/>
      <c r="B46" s="144"/>
      <c r="C46" s="83" t="s">
        <v>112</v>
      </c>
      <c r="D46" s="84" t="s">
        <v>113</v>
      </c>
      <c r="E46" s="39"/>
      <c r="F46" s="39"/>
      <c r="G46" s="39"/>
      <c r="H46" s="39"/>
      <c r="I46" s="39"/>
      <c r="J46" s="39"/>
      <c r="K46" s="39"/>
      <c r="L46" s="39"/>
      <c r="M46" s="39"/>
    </row>
    <row r="47" spans="1:13">
      <c r="A47" s="123" t="s">
        <v>453</v>
      </c>
      <c r="B47" s="190"/>
      <c r="C47" s="470">
        <f>'Development Schedule'!F12+'Development Schedule'!E13+'Development Schedule'!F14</f>
        <v>185460</v>
      </c>
      <c r="D47" s="366">
        <f>C47*B10</f>
        <v>166914</v>
      </c>
      <c r="E47" s="39"/>
      <c r="F47" s="39"/>
      <c r="G47" s="39"/>
      <c r="H47" s="39"/>
      <c r="I47" s="39"/>
      <c r="J47" s="39"/>
      <c r="K47" s="39"/>
      <c r="L47" s="39"/>
      <c r="M47" s="39"/>
    </row>
    <row r="48" spans="1:13" ht="13.8" thickBot="1">
      <c r="A48" s="66" t="s">
        <v>454</v>
      </c>
      <c r="B48" s="67"/>
      <c r="C48" s="1012">
        <f>'Development Schedule'!E29+'Development Schedule'!F29+'Development Schedule'!F30</f>
        <v>174152</v>
      </c>
      <c r="D48" s="1013">
        <f>C48*$B$10</f>
        <v>156736.80000000002</v>
      </c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13.8" thickBot="1">
      <c r="A49" s="39"/>
      <c r="B49" s="57"/>
      <c r="C49" s="57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ht="13.8" thickBot="1">
      <c r="A50" s="907" t="s">
        <v>103</v>
      </c>
      <c r="B50" s="908"/>
      <c r="C50" s="908"/>
      <c r="D50" s="999"/>
      <c r="E50" s="39"/>
      <c r="F50" s="39"/>
      <c r="G50" s="39"/>
      <c r="H50" s="39"/>
      <c r="I50" s="39"/>
      <c r="J50" s="39"/>
      <c r="K50" s="39"/>
      <c r="L50" s="39"/>
      <c r="M50" s="39"/>
    </row>
    <row r="51" spans="1:13">
      <c r="A51" s="63" t="s">
        <v>114</v>
      </c>
      <c r="B51" s="64"/>
      <c r="C51" s="64"/>
      <c r="D51" s="147">
        <f>C12*0.35</f>
        <v>7</v>
      </c>
      <c r="E51" s="39"/>
      <c r="F51" s="39"/>
      <c r="G51" s="39"/>
      <c r="H51" s="39"/>
      <c r="I51" s="39"/>
      <c r="J51" s="39"/>
      <c r="K51" s="39"/>
      <c r="L51" s="39"/>
      <c r="M51" s="39"/>
    </row>
    <row r="52" spans="1:13">
      <c r="A52" s="63" t="s">
        <v>104</v>
      </c>
      <c r="B52" s="64"/>
      <c r="C52" s="64"/>
      <c r="D52" s="350">
        <f>'Summary Board'!K123</f>
        <v>6.4000000000000001E-2</v>
      </c>
      <c r="E52" s="39"/>
      <c r="F52" s="39"/>
      <c r="G52" s="39"/>
      <c r="H52" s="39"/>
      <c r="I52" s="39"/>
      <c r="J52" s="39"/>
      <c r="K52" s="39"/>
      <c r="L52" s="39"/>
      <c r="M52" s="39"/>
    </row>
    <row r="53" spans="1:13">
      <c r="A53" s="63" t="s">
        <v>105</v>
      </c>
      <c r="B53" s="64"/>
      <c r="C53" s="64"/>
      <c r="D53" s="350">
        <v>0.03</v>
      </c>
      <c r="E53" s="39"/>
      <c r="F53" s="39"/>
      <c r="G53" s="39"/>
      <c r="H53" s="39"/>
      <c r="I53" s="39"/>
      <c r="J53" s="39"/>
      <c r="K53" s="39"/>
      <c r="L53" s="39"/>
      <c r="M53" s="39"/>
    </row>
    <row r="54" spans="1:13" ht="13.8" thickBot="1">
      <c r="A54" s="66" t="s">
        <v>92</v>
      </c>
      <c r="B54" s="67"/>
      <c r="C54" s="67"/>
      <c r="D54" s="125">
        <v>0.08</v>
      </c>
      <c r="E54" s="39"/>
      <c r="F54" s="39"/>
      <c r="G54" s="39"/>
      <c r="H54" s="39"/>
      <c r="I54" s="39"/>
      <c r="J54" s="39"/>
      <c r="K54" s="39"/>
      <c r="L54" s="39"/>
      <c r="M54" s="39"/>
    </row>
    <row r="55" spans="1:13">
      <c r="A55" s="39"/>
      <c r="B55" s="57"/>
      <c r="C55" s="57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>
      <c r="A56" s="39"/>
      <c r="B56" s="57"/>
      <c r="C56" s="57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>
      <c r="A57" s="39"/>
      <c r="B57" s="57"/>
      <c r="C57" s="57"/>
      <c r="D57" s="39"/>
      <c r="E57" s="39"/>
      <c r="F57" s="39"/>
      <c r="G57" s="39"/>
      <c r="H57" s="39"/>
      <c r="I57" s="39"/>
      <c r="J57" s="39"/>
      <c r="K57" s="39"/>
      <c r="L57" s="39"/>
      <c r="M57" s="39"/>
    </row>
  </sheetData>
  <mergeCells count="2">
    <mergeCell ref="D3:E3"/>
    <mergeCell ref="F3:I3"/>
  </mergeCells>
  <phoneticPr fontId="3" type="noConversion"/>
  <printOptions horizontalCentered="1"/>
  <pageMargins left="0.5" right="0.5" top="1" bottom="0.5" header="0.5" footer="0.5"/>
  <pageSetup scale="65" orientation="landscape" r:id="rId1"/>
  <headerFooter alignWithMargins="0">
    <oddHeader>&amp;L&amp;"Arial,Bold"5. Income Statement: Office/Commercial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47"/>
  <sheetViews>
    <sheetView view="pageBreakPreview" zoomScale="85" zoomScaleNormal="100" zoomScaleSheetLayoutView="85" workbookViewId="0">
      <selection activeCell="I39" sqref="I39"/>
    </sheetView>
  </sheetViews>
  <sheetFormatPr defaultColWidth="9.109375" defaultRowHeight="13.2" outlineLevelRow="1"/>
  <cols>
    <col min="1" max="1" width="23.44140625" style="96" customWidth="1"/>
    <col min="2" max="2" width="12.88671875" style="97" customWidth="1"/>
    <col min="3" max="3" width="13.6640625" style="97" customWidth="1"/>
    <col min="4" max="13" width="13.6640625" style="96" customWidth="1"/>
    <col min="14" max="16384" width="9.109375" style="96"/>
  </cols>
  <sheetData>
    <row r="1" spans="1:13" ht="14.1" customHeight="1" thickBot="1">
      <c r="A1" s="39"/>
      <c r="B1" s="57"/>
      <c r="C1" s="57"/>
      <c r="D1" s="39"/>
      <c r="E1" s="39"/>
      <c r="F1" s="39"/>
      <c r="G1" s="39"/>
      <c r="H1" s="39"/>
      <c r="I1" s="39"/>
      <c r="J1" s="39"/>
      <c r="K1" s="39"/>
      <c r="L1" s="134" t="s">
        <v>93</v>
      </c>
      <c r="M1" s="306">
        <v>191863</v>
      </c>
    </row>
    <row r="2" spans="1:13" ht="14.1" customHeight="1" thickBot="1">
      <c r="A2" s="39"/>
      <c r="B2" s="57"/>
      <c r="C2" s="57"/>
      <c r="D2" s="39"/>
      <c r="E2" s="39"/>
      <c r="F2" s="39"/>
      <c r="G2" s="118"/>
      <c r="H2" s="39"/>
      <c r="I2" s="39"/>
      <c r="J2" s="39"/>
      <c r="K2" s="39"/>
      <c r="L2" s="343"/>
      <c r="M2" s="344"/>
    </row>
    <row r="3" spans="1:13" ht="14.1" customHeight="1" thickBot="1">
      <c r="A3" s="123"/>
      <c r="B3" s="190"/>
      <c r="C3" s="45" t="s">
        <v>57</v>
      </c>
      <c r="D3" s="1227" t="s">
        <v>36</v>
      </c>
      <c r="E3" s="1235"/>
      <c r="F3" s="1229" t="s">
        <v>78</v>
      </c>
      <c r="G3" s="1230"/>
      <c r="H3" s="1230"/>
      <c r="I3" s="1231"/>
      <c r="J3" s="1232" t="s">
        <v>79</v>
      </c>
      <c r="K3" s="1233"/>
      <c r="L3" s="1233"/>
      <c r="M3" s="1234"/>
    </row>
    <row r="4" spans="1:13" ht="14.1" customHeight="1" thickBot="1">
      <c r="A4" s="63"/>
      <c r="B4" s="64"/>
      <c r="C4" s="276">
        <v>0</v>
      </c>
      <c r="D4" s="101">
        <f>C4+1</f>
        <v>1</v>
      </c>
      <c r="E4" s="100">
        <f t="shared" ref="E4:M5" si="0">D4+1</f>
        <v>2</v>
      </c>
      <c r="F4" s="101">
        <f t="shared" si="0"/>
        <v>3</v>
      </c>
      <c r="G4" s="910">
        <f t="shared" si="0"/>
        <v>4</v>
      </c>
      <c r="H4" s="135">
        <f t="shared" si="0"/>
        <v>5</v>
      </c>
      <c r="I4" s="102">
        <f t="shared" si="0"/>
        <v>6</v>
      </c>
      <c r="J4" s="101">
        <f t="shared" si="0"/>
        <v>7</v>
      </c>
      <c r="K4" s="100">
        <f t="shared" si="0"/>
        <v>8</v>
      </c>
      <c r="L4" s="100">
        <f t="shared" si="0"/>
        <v>9</v>
      </c>
      <c r="M4" s="102">
        <f t="shared" si="0"/>
        <v>10</v>
      </c>
    </row>
    <row r="5" spans="1:13" ht="14.1" customHeight="1" thickBot="1">
      <c r="A5" s="63"/>
      <c r="B5" s="345"/>
      <c r="C5" s="348" t="s">
        <v>337</v>
      </c>
      <c r="D5" s="339">
        <v>2021</v>
      </c>
      <c r="E5" s="340">
        <f>D5+1</f>
        <v>2022</v>
      </c>
      <c r="F5" s="341">
        <f t="shared" si="0"/>
        <v>2023</v>
      </c>
      <c r="G5" s="910">
        <f t="shared" si="0"/>
        <v>2024</v>
      </c>
      <c r="H5" s="340">
        <f t="shared" si="0"/>
        <v>2025</v>
      </c>
      <c r="I5" s="342">
        <f t="shared" si="0"/>
        <v>2026</v>
      </c>
      <c r="J5" s="341">
        <f t="shared" si="0"/>
        <v>2027</v>
      </c>
      <c r="K5" s="340">
        <f t="shared" si="0"/>
        <v>2028</v>
      </c>
      <c r="L5" s="340">
        <f>K5+1</f>
        <v>2029</v>
      </c>
      <c r="M5" s="342">
        <f>L5+1</f>
        <v>2030</v>
      </c>
    </row>
    <row r="6" spans="1:13" ht="13.8" thickBot="1">
      <c r="A6" s="185" t="s">
        <v>9</v>
      </c>
      <c r="B6" s="182"/>
      <c r="C6" s="277"/>
      <c r="D6" s="194"/>
      <c r="E6" s="183"/>
      <c r="F6" s="194"/>
      <c r="G6" s="183"/>
      <c r="H6" s="183"/>
      <c r="I6" s="184"/>
      <c r="J6" s="194"/>
      <c r="K6" s="183"/>
      <c r="L6" s="183"/>
      <c r="M6" s="184"/>
    </row>
    <row r="7" spans="1:13">
      <c r="A7" s="300" t="s">
        <v>452</v>
      </c>
      <c r="B7" s="190"/>
      <c r="C7" s="349"/>
      <c r="D7" s="123"/>
      <c r="E7" s="302"/>
      <c r="F7" s="123"/>
      <c r="G7" s="73"/>
      <c r="H7" s="302"/>
      <c r="I7" s="303"/>
      <c r="J7" s="123"/>
      <c r="K7" s="302"/>
      <c r="L7" s="302"/>
      <c r="M7" s="303"/>
    </row>
    <row r="8" spans="1:13" ht="14.1" customHeight="1">
      <c r="A8" s="160" t="s">
        <v>10</v>
      </c>
      <c r="B8" s="122">
        <v>0.02</v>
      </c>
      <c r="C8" s="278"/>
      <c r="D8" s="132"/>
      <c r="E8" s="106"/>
      <c r="F8" s="132"/>
      <c r="G8" s="106"/>
      <c r="H8" s="106"/>
      <c r="I8" s="110"/>
      <c r="J8" s="132"/>
      <c r="K8" s="106"/>
      <c r="L8" s="106"/>
      <c r="M8" s="110"/>
    </row>
    <row r="9" spans="1:13" ht="14.1" customHeight="1">
      <c r="A9" s="160" t="s">
        <v>110</v>
      </c>
      <c r="B9" s="64"/>
      <c r="C9" s="198">
        <v>0</v>
      </c>
      <c r="D9" s="198">
        <f>C9</f>
        <v>0</v>
      </c>
      <c r="E9" s="171">
        <v>0</v>
      </c>
      <c r="F9" s="198">
        <f>C38</f>
        <v>146118</v>
      </c>
      <c r="G9" s="171">
        <f t="shared" ref="G9:M11" si="1">F9</f>
        <v>146118</v>
      </c>
      <c r="H9" s="171">
        <f t="shared" si="1"/>
        <v>146118</v>
      </c>
      <c r="I9" s="176">
        <f t="shared" si="1"/>
        <v>146118</v>
      </c>
      <c r="J9" s="198">
        <f t="shared" si="1"/>
        <v>146118</v>
      </c>
      <c r="K9" s="171">
        <f t="shared" si="1"/>
        <v>146118</v>
      </c>
      <c r="L9" s="171">
        <f t="shared" si="1"/>
        <v>146118</v>
      </c>
      <c r="M9" s="176">
        <f t="shared" si="1"/>
        <v>146118</v>
      </c>
    </row>
    <row r="10" spans="1:13" ht="14.1" customHeight="1">
      <c r="A10" s="160" t="s">
        <v>39</v>
      </c>
      <c r="B10" s="723">
        <v>0.9</v>
      </c>
      <c r="C10" s="198">
        <f>C9*B10</f>
        <v>0</v>
      </c>
      <c r="D10" s="198">
        <f>D9*B10</f>
        <v>0</v>
      </c>
      <c r="E10" s="171">
        <f>E9*$B$10</f>
        <v>0</v>
      </c>
      <c r="F10" s="198">
        <f>F9*$B$10</f>
        <v>131506.20000000001</v>
      </c>
      <c r="G10" s="171">
        <f t="shared" ref="G10:M10" si="2">G9*$B$10</f>
        <v>131506.20000000001</v>
      </c>
      <c r="H10" s="171">
        <f t="shared" si="2"/>
        <v>131506.20000000001</v>
      </c>
      <c r="I10" s="176">
        <f t="shared" si="2"/>
        <v>131506.20000000001</v>
      </c>
      <c r="J10" s="198">
        <f t="shared" si="2"/>
        <v>131506.20000000001</v>
      </c>
      <c r="K10" s="171">
        <f t="shared" si="2"/>
        <v>131506.20000000001</v>
      </c>
      <c r="L10" s="171">
        <f t="shared" si="2"/>
        <v>131506.20000000001</v>
      </c>
      <c r="M10" s="176">
        <f t="shared" si="2"/>
        <v>131506.20000000001</v>
      </c>
    </row>
    <row r="11" spans="1:13" ht="14.1" customHeight="1">
      <c r="A11" s="160" t="s">
        <v>44</v>
      </c>
      <c r="B11" s="105"/>
      <c r="C11" s="205">
        <v>1</v>
      </c>
      <c r="D11" s="255">
        <v>1</v>
      </c>
      <c r="E11" s="108">
        <v>1</v>
      </c>
      <c r="F11" s="205">
        <v>0</v>
      </c>
      <c r="G11" s="108">
        <f>F11</f>
        <v>0</v>
      </c>
      <c r="H11" s="108">
        <f t="shared" si="1"/>
        <v>0</v>
      </c>
      <c r="I11" s="206">
        <f t="shared" si="1"/>
        <v>0</v>
      </c>
      <c r="J11" s="255">
        <f t="shared" si="1"/>
        <v>0</v>
      </c>
      <c r="K11" s="108">
        <f t="shared" si="1"/>
        <v>0</v>
      </c>
      <c r="L11" s="108">
        <f t="shared" si="1"/>
        <v>0</v>
      </c>
      <c r="M11" s="206">
        <f t="shared" si="1"/>
        <v>0</v>
      </c>
    </row>
    <row r="12" spans="1:13" ht="13.8" thickBot="1">
      <c r="A12" s="133" t="s">
        <v>111</v>
      </c>
      <c r="B12" s="67"/>
      <c r="C12" s="279">
        <f>'Summary Board'!K118</f>
        <v>7</v>
      </c>
      <c r="D12" s="285">
        <f>$C$12*(1+$B$8)^D$4</f>
        <v>7.1400000000000006</v>
      </c>
      <c r="E12" s="273">
        <f t="shared" ref="E12:M12" si="3">$C$12*(1+$B$8)^E$4</f>
        <v>7.2827999999999999</v>
      </c>
      <c r="F12" s="285">
        <f t="shared" si="3"/>
        <v>7.4284559999999997</v>
      </c>
      <c r="G12" s="273">
        <f t="shared" si="3"/>
        <v>7.5770251200000001</v>
      </c>
      <c r="H12" s="273">
        <f t="shared" si="3"/>
        <v>7.7285656223999997</v>
      </c>
      <c r="I12" s="274">
        <f t="shared" si="3"/>
        <v>7.8831369348480003</v>
      </c>
      <c r="J12" s="285">
        <f t="shared" si="3"/>
        <v>8.0407996735449583</v>
      </c>
      <c r="K12" s="273">
        <f t="shared" si="3"/>
        <v>8.201615667015858</v>
      </c>
      <c r="L12" s="273">
        <f t="shared" si="3"/>
        <v>8.3656479803561759</v>
      </c>
      <c r="M12" s="274">
        <f t="shared" si="3"/>
        <v>8.5329609399632993</v>
      </c>
    </row>
    <row r="13" spans="1:13" ht="14.1" customHeight="1" outlineLevel="1">
      <c r="A13" s="160" t="s">
        <v>16</v>
      </c>
      <c r="B13" s="64"/>
      <c r="C13" s="247">
        <f>C10*(1-C11)*C12</f>
        <v>0</v>
      </c>
      <c r="D13" s="252">
        <f t="shared" ref="D13:M13" si="4">D10*(1-D11)*D12</f>
        <v>0</v>
      </c>
      <c r="E13" s="217">
        <f t="shared" si="4"/>
        <v>0</v>
      </c>
      <c r="F13" s="252">
        <f>F10*(1-F11)*F12</f>
        <v>976888.02042720001</v>
      </c>
      <c r="G13" s="217">
        <f t="shared" si="4"/>
        <v>996425.78083574411</v>
      </c>
      <c r="H13" s="217">
        <f t="shared" si="4"/>
        <v>1016354.2964524589</v>
      </c>
      <c r="I13" s="221">
        <f t="shared" si="4"/>
        <v>1036681.3823815081</v>
      </c>
      <c r="J13" s="252">
        <f t="shared" si="4"/>
        <v>1057415.0100291381</v>
      </c>
      <c r="K13" s="217">
        <f t="shared" si="4"/>
        <v>1078563.310229721</v>
      </c>
      <c r="L13" s="217">
        <f t="shared" si="4"/>
        <v>1100134.5764343154</v>
      </c>
      <c r="M13" s="221">
        <f t="shared" si="4"/>
        <v>1122137.2679630017</v>
      </c>
    </row>
    <row r="14" spans="1:13" ht="14.1" customHeight="1" outlineLevel="1">
      <c r="A14" s="160" t="s">
        <v>166</v>
      </c>
      <c r="B14" s="64"/>
      <c r="C14" s="239">
        <f t="shared" ref="C14:M14" si="5">C10*(1-C11)*($D$41*(1+$B$8)^C$4)</f>
        <v>0</v>
      </c>
      <c r="D14" s="237">
        <f t="shared" si="5"/>
        <v>0</v>
      </c>
      <c r="E14" s="226">
        <f t="shared" si="5"/>
        <v>0</v>
      </c>
      <c r="F14" s="237">
        <f t="shared" si="5"/>
        <v>293066.40612816002</v>
      </c>
      <c r="G14" s="226">
        <f t="shared" si="5"/>
        <v>298927.73425072321</v>
      </c>
      <c r="H14" s="226">
        <f t="shared" si="5"/>
        <v>304906.28893573768</v>
      </c>
      <c r="I14" s="238">
        <f t="shared" si="5"/>
        <v>311004.41471445252</v>
      </c>
      <c r="J14" s="237">
        <f t="shared" si="5"/>
        <v>317224.50300874148</v>
      </c>
      <c r="K14" s="226">
        <f t="shared" si="5"/>
        <v>323568.99306891632</v>
      </c>
      <c r="L14" s="226">
        <f t="shared" si="5"/>
        <v>330040.37293029466</v>
      </c>
      <c r="M14" s="238">
        <f t="shared" si="5"/>
        <v>336641.18038890051</v>
      </c>
    </row>
    <row r="15" spans="1:13" ht="14.1" customHeight="1" outlineLevel="1" thickBot="1">
      <c r="A15" s="133" t="s">
        <v>167</v>
      </c>
      <c r="B15" s="67"/>
      <c r="C15" s="417">
        <f t="shared" ref="C15:M15" si="6">C10*($D$41*(1+$B$8)^C$4)</f>
        <v>0</v>
      </c>
      <c r="D15" s="418">
        <f t="shared" si="6"/>
        <v>0</v>
      </c>
      <c r="E15" s="419">
        <f t="shared" si="6"/>
        <v>0</v>
      </c>
      <c r="F15" s="418">
        <f t="shared" si="6"/>
        <v>293066.40612816002</v>
      </c>
      <c r="G15" s="419">
        <f t="shared" si="6"/>
        <v>298927.73425072321</v>
      </c>
      <c r="H15" s="419">
        <f t="shared" si="6"/>
        <v>304906.28893573768</v>
      </c>
      <c r="I15" s="420">
        <f t="shared" si="6"/>
        <v>311004.41471445252</v>
      </c>
      <c r="J15" s="418">
        <f t="shared" si="6"/>
        <v>317224.50300874148</v>
      </c>
      <c r="K15" s="419">
        <f t="shared" si="6"/>
        <v>323568.99306891632</v>
      </c>
      <c r="L15" s="419">
        <f t="shared" si="6"/>
        <v>330040.37293029466</v>
      </c>
      <c r="M15" s="420">
        <f t="shared" si="6"/>
        <v>336641.18038890051</v>
      </c>
    </row>
    <row r="16" spans="1:13" ht="13.8" thickBot="1">
      <c r="A16" s="185" t="s">
        <v>0</v>
      </c>
      <c r="B16" s="182"/>
      <c r="C16" s="191"/>
      <c r="D16" s="232"/>
      <c r="E16" s="188"/>
      <c r="F16" s="232"/>
      <c r="G16" s="188"/>
      <c r="H16" s="188"/>
      <c r="I16" s="189"/>
      <c r="J16" s="232"/>
      <c r="K16" s="188"/>
      <c r="L16" s="188"/>
      <c r="M16" s="189"/>
    </row>
    <row r="17" spans="1:13" ht="14.1" customHeight="1">
      <c r="A17" s="160" t="s">
        <v>16</v>
      </c>
      <c r="B17" s="64"/>
      <c r="C17" s="137">
        <f>SUM(C13)</f>
        <v>0</v>
      </c>
      <c r="D17" s="247">
        <f t="shared" ref="D17:M17" si="7">SUM(D13)</f>
        <v>0</v>
      </c>
      <c r="E17" s="216">
        <f t="shared" si="7"/>
        <v>0</v>
      </c>
      <c r="F17" s="247">
        <f t="shared" si="7"/>
        <v>976888.02042720001</v>
      </c>
      <c r="G17" s="216">
        <f t="shared" si="7"/>
        <v>996425.78083574411</v>
      </c>
      <c r="H17" s="216">
        <f t="shared" si="7"/>
        <v>1016354.2964524589</v>
      </c>
      <c r="I17" s="230">
        <f t="shared" si="7"/>
        <v>1036681.3823815081</v>
      </c>
      <c r="J17" s="247">
        <f t="shared" si="7"/>
        <v>1057415.0100291381</v>
      </c>
      <c r="K17" s="216">
        <f t="shared" si="7"/>
        <v>1078563.310229721</v>
      </c>
      <c r="L17" s="216">
        <f t="shared" si="7"/>
        <v>1100134.5764343154</v>
      </c>
      <c r="M17" s="230">
        <f t="shared" si="7"/>
        <v>1122137.2679630017</v>
      </c>
    </row>
    <row r="18" spans="1:13" ht="14.1" customHeight="1">
      <c r="A18" s="160" t="s">
        <v>115</v>
      </c>
      <c r="B18" s="64"/>
      <c r="C18" s="138">
        <f>C14</f>
        <v>0</v>
      </c>
      <c r="D18" s="239">
        <f t="shared" ref="D18:M18" si="8">D14</f>
        <v>0</v>
      </c>
      <c r="E18" s="218">
        <f t="shared" si="8"/>
        <v>0</v>
      </c>
      <c r="F18" s="239">
        <f t="shared" si="8"/>
        <v>293066.40612816002</v>
      </c>
      <c r="G18" s="218">
        <f t="shared" si="8"/>
        <v>298927.73425072321</v>
      </c>
      <c r="H18" s="218">
        <f t="shared" si="8"/>
        <v>304906.28893573768</v>
      </c>
      <c r="I18" s="240">
        <f t="shared" si="8"/>
        <v>311004.41471445252</v>
      </c>
      <c r="J18" s="239">
        <f t="shared" si="8"/>
        <v>317224.50300874148</v>
      </c>
      <c r="K18" s="218">
        <f t="shared" si="8"/>
        <v>323568.99306891632</v>
      </c>
      <c r="L18" s="218">
        <f t="shared" si="8"/>
        <v>330040.37293029466</v>
      </c>
      <c r="M18" s="240">
        <f t="shared" si="8"/>
        <v>336641.18038890051</v>
      </c>
    </row>
    <row r="19" spans="1:13" ht="14.1" customHeight="1">
      <c r="A19" s="222" t="s">
        <v>116</v>
      </c>
      <c r="B19" s="351"/>
      <c r="C19" s="354">
        <f>C15</f>
        <v>0</v>
      </c>
      <c r="D19" s="1030">
        <f t="shared" ref="D19:M19" si="9">D15</f>
        <v>0</v>
      </c>
      <c r="E19" s="1032">
        <f t="shared" si="9"/>
        <v>0</v>
      </c>
      <c r="F19" s="1030">
        <f t="shared" si="9"/>
        <v>293066.40612816002</v>
      </c>
      <c r="G19" s="1032">
        <f t="shared" si="9"/>
        <v>298927.73425072321</v>
      </c>
      <c r="H19" s="1032">
        <f t="shared" si="9"/>
        <v>304906.28893573768</v>
      </c>
      <c r="I19" s="1031">
        <f t="shared" si="9"/>
        <v>311004.41471445252</v>
      </c>
      <c r="J19" s="1030">
        <f t="shared" si="9"/>
        <v>317224.50300874148</v>
      </c>
      <c r="K19" s="1032">
        <f t="shared" si="9"/>
        <v>323568.99306891632</v>
      </c>
      <c r="L19" s="1032">
        <f t="shared" si="9"/>
        <v>330040.37293029466</v>
      </c>
      <c r="M19" s="1031">
        <f t="shared" si="9"/>
        <v>336641.18038890051</v>
      </c>
    </row>
    <row r="20" spans="1:13" ht="14.1" customHeight="1" thickBot="1">
      <c r="A20" s="715" t="s">
        <v>5</v>
      </c>
      <c r="B20" s="67"/>
      <c r="C20" s="249">
        <f>SUM(C17:C19)</f>
        <v>0</v>
      </c>
      <c r="D20" s="250">
        <f t="shared" ref="D20:M20" si="10">SUM(D17:D19)</f>
        <v>0</v>
      </c>
      <c r="E20" s="224">
        <f t="shared" si="10"/>
        <v>0</v>
      </c>
      <c r="F20" s="250">
        <f t="shared" si="10"/>
        <v>1563020.8326835199</v>
      </c>
      <c r="G20" s="224">
        <f t="shared" si="10"/>
        <v>1594281.2493371905</v>
      </c>
      <c r="H20" s="224">
        <f t="shared" si="10"/>
        <v>1626166.8743239343</v>
      </c>
      <c r="I20" s="225">
        <f t="shared" si="10"/>
        <v>1658690.2118104133</v>
      </c>
      <c r="J20" s="250">
        <f t="shared" si="10"/>
        <v>1691864.0160466209</v>
      </c>
      <c r="K20" s="224">
        <f t="shared" si="10"/>
        <v>1725701.2963675535</v>
      </c>
      <c r="L20" s="224">
        <f t="shared" si="10"/>
        <v>1760215.3222949046</v>
      </c>
      <c r="M20" s="225">
        <f t="shared" si="10"/>
        <v>1795419.6287408026</v>
      </c>
    </row>
    <row r="21" spans="1:13" s="347" customFormat="1" ht="13.5" customHeight="1" thickBot="1">
      <c r="A21" s="185" t="s">
        <v>2</v>
      </c>
      <c r="B21" s="182"/>
      <c r="C21" s="191"/>
      <c r="D21" s="232"/>
      <c r="E21" s="188"/>
      <c r="F21" s="232"/>
      <c r="G21" s="188"/>
      <c r="H21" s="188"/>
      <c r="I21" s="189"/>
      <c r="J21" s="232"/>
      <c r="K21" s="188"/>
      <c r="L21" s="188"/>
      <c r="M21" s="189"/>
    </row>
    <row r="22" spans="1:13" ht="14.1" customHeight="1" outlineLevel="1">
      <c r="A22" s="160" t="s">
        <v>101</v>
      </c>
      <c r="B22" s="64"/>
      <c r="C22" s="722">
        <f>'Summary Board'!F105</f>
        <v>117.13679999999999</v>
      </c>
      <c r="D22" s="199">
        <f t="shared" ref="D22:M22" si="11">$C$22*(1+$B$8)^D4</f>
        <v>119.479536</v>
      </c>
      <c r="E22" s="186">
        <f t="shared" si="11"/>
        <v>121.86912672</v>
      </c>
      <c r="F22" s="280">
        <f t="shared" si="11"/>
        <v>124.30650925439998</v>
      </c>
      <c r="G22" s="270">
        <f t="shared" si="11"/>
        <v>126.79263943948798</v>
      </c>
      <c r="H22" s="270">
        <f t="shared" si="11"/>
        <v>129.32849222827775</v>
      </c>
      <c r="I22" s="281">
        <f t="shared" si="11"/>
        <v>131.91506207284331</v>
      </c>
      <c r="J22" s="199">
        <f t="shared" si="11"/>
        <v>134.55336331430016</v>
      </c>
      <c r="K22" s="186">
        <f t="shared" si="11"/>
        <v>137.24443058058617</v>
      </c>
      <c r="L22" s="186">
        <f t="shared" si="11"/>
        <v>139.98931919219788</v>
      </c>
      <c r="M22" s="187">
        <f t="shared" si="11"/>
        <v>142.78910557604186</v>
      </c>
    </row>
    <row r="23" spans="1:13" ht="14.1" customHeight="1" outlineLevel="1">
      <c r="A23" s="160" t="s">
        <v>12</v>
      </c>
      <c r="B23" s="64"/>
      <c r="C23" s="245">
        <f>C24/SUM($C$24:$M$24)</f>
        <v>0</v>
      </c>
      <c r="D23" s="246">
        <f t="shared" ref="D23:M23" si="12">D24/SUM($C$24:$M$24)</f>
        <v>0</v>
      </c>
      <c r="E23" s="173">
        <f t="shared" si="12"/>
        <v>0</v>
      </c>
      <c r="F23" s="246">
        <f t="shared" si="12"/>
        <v>0.3289473684210526</v>
      </c>
      <c r="G23" s="173">
        <f t="shared" si="12"/>
        <v>0.67105263157894735</v>
      </c>
      <c r="H23" s="173">
        <f t="shared" si="12"/>
        <v>0</v>
      </c>
      <c r="I23" s="229">
        <f t="shared" si="12"/>
        <v>0</v>
      </c>
      <c r="J23" s="246">
        <f t="shared" si="12"/>
        <v>0</v>
      </c>
      <c r="K23" s="173">
        <f t="shared" si="12"/>
        <v>0</v>
      </c>
      <c r="L23" s="173">
        <f t="shared" si="12"/>
        <v>0</v>
      </c>
      <c r="M23" s="173">
        <f t="shared" si="12"/>
        <v>0</v>
      </c>
    </row>
    <row r="24" spans="1:13" ht="14.1" customHeight="1" outlineLevel="1">
      <c r="A24" s="160" t="s">
        <v>2</v>
      </c>
      <c r="B24" s="64"/>
      <c r="C24" s="149">
        <f>'Development Schedule'!D97*C22</f>
        <v>0</v>
      </c>
      <c r="D24" s="290">
        <f>'Development Schedule'!E97*D22</f>
        <v>0</v>
      </c>
      <c r="E24" s="291"/>
      <c r="F24" s="290">
        <f>F22*'Development Schedule'!G97</f>
        <v>6054472.8397448054</v>
      </c>
      <c r="G24" s="291">
        <f>G22*'Development Schedule'!H97</f>
        <v>12351124.593079403</v>
      </c>
      <c r="H24" s="291">
        <f>'Development Schedule'!I97*H22</f>
        <v>0</v>
      </c>
      <c r="I24" s="292">
        <f>'Development Schedule'!J97*I22</f>
        <v>0</v>
      </c>
      <c r="J24" s="290">
        <f>'Development Schedule'!K97*J22</f>
        <v>0</v>
      </c>
      <c r="K24" s="291">
        <f>'Development Schedule'!L97*K22</f>
        <v>0</v>
      </c>
      <c r="L24" s="291">
        <f>'Development Schedule'!M97*L22</f>
        <v>0</v>
      </c>
      <c r="M24" s="292">
        <f>'Development Schedule'!N97*M22</f>
        <v>0</v>
      </c>
    </row>
    <row r="25" spans="1:13" ht="13.8" thickBot="1">
      <c r="A25" s="222" t="s">
        <v>13</v>
      </c>
      <c r="B25" s="227"/>
      <c r="C25" s="152"/>
      <c r="D25" s="248"/>
      <c r="E25" s="228"/>
      <c r="F25" s="1033"/>
      <c r="G25" s="1034"/>
      <c r="H25" s="1034"/>
      <c r="I25" s="1035"/>
      <c r="J25" s="248"/>
      <c r="K25" s="228"/>
      <c r="L25" s="228"/>
      <c r="M25" s="231"/>
    </row>
    <row r="26" spans="1:13" ht="14.1" customHeight="1" thickBot="1">
      <c r="A26" s="715" t="s">
        <v>3</v>
      </c>
      <c r="B26" s="67"/>
      <c r="C26" s="250">
        <f>SUM(C24:C25)</f>
        <v>0</v>
      </c>
      <c r="D26" s="250">
        <f t="shared" ref="D26:M26" si="13">SUM(D24:D25)</f>
        <v>0</v>
      </c>
      <c r="E26" s="224">
        <f t="shared" si="13"/>
        <v>0</v>
      </c>
      <c r="F26" s="250">
        <f t="shared" si="13"/>
        <v>6054472.8397448054</v>
      </c>
      <c r="G26" s="224">
        <f t="shared" si="13"/>
        <v>12351124.593079403</v>
      </c>
      <c r="H26" s="224">
        <f t="shared" si="13"/>
        <v>0</v>
      </c>
      <c r="I26" s="225">
        <f t="shared" si="13"/>
        <v>0</v>
      </c>
      <c r="J26" s="250">
        <f t="shared" si="13"/>
        <v>0</v>
      </c>
      <c r="K26" s="224">
        <f t="shared" si="13"/>
        <v>0</v>
      </c>
      <c r="L26" s="224">
        <f t="shared" si="13"/>
        <v>0</v>
      </c>
      <c r="M26" s="225">
        <f t="shared" si="13"/>
        <v>0</v>
      </c>
    </row>
    <row r="27" spans="1:13" ht="14.1" customHeight="1" thickBot="1">
      <c r="A27" s="185" t="s">
        <v>4</v>
      </c>
      <c r="B27" s="182"/>
      <c r="C27" s="191"/>
      <c r="D27" s="232"/>
      <c r="E27" s="188"/>
      <c r="F27" s="232"/>
      <c r="G27" s="188"/>
      <c r="H27" s="188"/>
      <c r="I27" s="189"/>
      <c r="J27" s="232"/>
      <c r="K27" s="188"/>
      <c r="L27" s="188"/>
      <c r="M27" s="189"/>
    </row>
    <row r="28" spans="1:13" ht="14.1" customHeight="1">
      <c r="A28" s="160" t="s">
        <v>5</v>
      </c>
      <c r="B28" s="64"/>
      <c r="C28" s="137">
        <f>C20</f>
        <v>0</v>
      </c>
      <c r="D28" s="247">
        <f t="shared" ref="D28:M28" si="14">D20</f>
        <v>0</v>
      </c>
      <c r="E28" s="216">
        <f t="shared" si="14"/>
        <v>0</v>
      </c>
      <c r="F28" s="247">
        <f t="shared" si="14"/>
        <v>1563020.8326835199</v>
      </c>
      <c r="G28" s="216">
        <f t="shared" si="14"/>
        <v>1594281.2493371905</v>
      </c>
      <c r="H28" s="216">
        <f t="shared" si="14"/>
        <v>1626166.8743239343</v>
      </c>
      <c r="I28" s="230">
        <f t="shared" si="14"/>
        <v>1658690.2118104133</v>
      </c>
      <c r="J28" s="247">
        <f t="shared" si="14"/>
        <v>1691864.0160466209</v>
      </c>
      <c r="K28" s="216">
        <f t="shared" si="14"/>
        <v>1725701.2963675535</v>
      </c>
      <c r="L28" s="216">
        <f t="shared" si="14"/>
        <v>1760215.3222949046</v>
      </c>
      <c r="M28" s="230">
        <f t="shared" si="14"/>
        <v>1795419.6287408026</v>
      </c>
    </row>
    <row r="29" spans="1:13" ht="14.1" customHeight="1">
      <c r="A29" s="160" t="s">
        <v>59</v>
      </c>
      <c r="B29" s="108">
        <f>D42</f>
        <v>0.06</v>
      </c>
      <c r="C29" s="139">
        <v>0</v>
      </c>
      <c r="D29" s="237">
        <f>C29</f>
        <v>0</v>
      </c>
      <c r="E29" s="226">
        <f t="shared" ref="E29:L30" si="15">D29</f>
        <v>0</v>
      </c>
      <c r="F29" s="237">
        <f t="shared" si="15"/>
        <v>0</v>
      </c>
      <c r="G29" s="226">
        <f t="shared" si="15"/>
        <v>0</v>
      </c>
      <c r="H29" s="226">
        <f t="shared" si="15"/>
        <v>0</v>
      </c>
      <c r="I29" s="238">
        <f t="shared" si="15"/>
        <v>0</v>
      </c>
      <c r="J29" s="237">
        <f t="shared" si="15"/>
        <v>0</v>
      </c>
      <c r="K29" s="226">
        <f t="shared" si="15"/>
        <v>0</v>
      </c>
      <c r="L29" s="226">
        <f t="shared" si="15"/>
        <v>0</v>
      </c>
      <c r="M29" s="238">
        <f>M28/B29</f>
        <v>29923660.47901338</v>
      </c>
    </row>
    <row r="30" spans="1:13" s="347" customFormat="1" ht="13.5" customHeight="1">
      <c r="A30" s="160" t="s">
        <v>60</v>
      </c>
      <c r="B30" s="108">
        <f>D43</f>
        <v>0.03</v>
      </c>
      <c r="C30" s="139">
        <v>0</v>
      </c>
      <c r="D30" s="237">
        <f>C30</f>
        <v>0</v>
      </c>
      <c r="E30" s="226">
        <f t="shared" si="15"/>
        <v>0</v>
      </c>
      <c r="F30" s="237">
        <f t="shared" si="15"/>
        <v>0</v>
      </c>
      <c r="G30" s="226">
        <f t="shared" si="15"/>
        <v>0</v>
      </c>
      <c r="H30" s="226">
        <f t="shared" si="15"/>
        <v>0</v>
      </c>
      <c r="I30" s="238">
        <f t="shared" si="15"/>
        <v>0</v>
      </c>
      <c r="J30" s="237">
        <f t="shared" si="15"/>
        <v>0</v>
      </c>
      <c r="K30" s="226">
        <f t="shared" si="15"/>
        <v>0</v>
      </c>
      <c r="L30" s="226">
        <f t="shared" si="15"/>
        <v>0</v>
      </c>
      <c r="M30" s="238">
        <f>M29*-B30</f>
        <v>-897709.81437040132</v>
      </c>
    </row>
    <row r="31" spans="1:13" ht="14.1" customHeight="1" outlineLevel="1">
      <c r="A31" s="222" t="s">
        <v>102</v>
      </c>
      <c r="B31" s="286"/>
      <c r="C31" s="253">
        <f>-C26</f>
        <v>0</v>
      </c>
      <c r="D31" s="254">
        <f t="shared" ref="D31:M31" si="16">-D26</f>
        <v>0</v>
      </c>
      <c r="E31" s="220">
        <f t="shared" si="16"/>
        <v>0</v>
      </c>
      <c r="F31" s="254">
        <f t="shared" si="16"/>
        <v>-6054472.8397448054</v>
      </c>
      <c r="G31" s="220">
        <f t="shared" si="16"/>
        <v>-12351124.593079403</v>
      </c>
      <c r="H31" s="220">
        <f t="shared" si="16"/>
        <v>0</v>
      </c>
      <c r="I31" s="223">
        <f t="shared" si="16"/>
        <v>0</v>
      </c>
      <c r="J31" s="254">
        <f t="shared" si="16"/>
        <v>0</v>
      </c>
      <c r="K31" s="220">
        <f t="shared" si="16"/>
        <v>0</v>
      </c>
      <c r="L31" s="220">
        <f t="shared" si="16"/>
        <v>0</v>
      </c>
      <c r="M31" s="223">
        <f t="shared" si="16"/>
        <v>0</v>
      </c>
    </row>
    <row r="32" spans="1:13" ht="14.1" customHeight="1" outlineLevel="1" thickBot="1">
      <c r="A32" s="715" t="s">
        <v>6</v>
      </c>
      <c r="B32" s="117"/>
      <c r="C32" s="249">
        <f>SUM(C28:C31)</f>
        <v>0</v>
      </c>
      <c r="D32" s="250">
        <f t="shared" ref="D32:M32" si="17">SUM(D28:D31)</f>
        <v>0</v>
      </c>
      <c r="E32" s="224">
        <f t="shared" si="17"/>
        <v>0</v>
      </c>
      <c r="F32" s="250">
        <f t="shared" si="17"/>
        <v>-4491452.0070612859</v>
      </c>
      <c r="G32" s="224">
        <f t="shared" si="17"/>
        <v>-10756843.343742212</v>
      </c>
      <c r="H32" s="224">
        <f t="shared" si="17"/>
        <v>1626166.8743239343</v>
      </c>
      <c r="I32" s="225">
        <f t="shared" si="17"/>
        <v>1658690.2118104133</v>
      </c>
      <c r="J32" s="250">
        <f t="shared" si="17"/>
        <v>1691864.0160466209</v>
      </c>
      <c r="K32" s="224">
        <f t="shared" si="17"/>
        <v>1725701.2963675535</v>
      </c>
      <c r="L32" s="224">
        <f t="shared" si="17"/>
        <v>1760215.3222949046</v>
      </c>
      <c r="M32" s="225">
        <f t="shared" si="17"/>
        <v>30821370.293383781</v>
      </c>
    </row>
    <row r="33" spans="1:13" ht="14.1" customHeight="1" outlineLevel="1" thickBot="1">
      <c r="A33" s="114" t="s">
        <v>26</v>
      </c>
      <c r="B33" s="105"/>
      <c r="C33" s="359">
        <f>C32+NPV(D44,D32:M32)</f>
        <v>7756270.6788976789</v>
      </c>
      <c r="D33" s="356"/>
      <c r="E33" s="357"/>
      <c r="F33" s="356"/>
      <c r="G33" s="1008"/>
      <c r="H33" s="357"/>
      <c r="I33" s="358"/>
      <c r="J33" s="107"/>
      <c r="K33" s="107"/>
      <c r="L33" s="107"/>
      <c r="M33" s="175"/>
    </row>
    <row r="34" spans="1:13" ht="13.8" thickBot="1">
      <c r="A34" s="80" t="s">
        <v>61</v>
      </c>
      <c r="B34" s="144"/>
      <c r="C34" s="260">
        <f>IRR(C32:M32,0)</f>
        <v>0.1884792315760746</v>
      </c>
      <c r="D34" s="241"/>
      <c r="E34" s="144"/>
      <c r="F34" s="241"/>
      <c r="G34" s="144"/>
      <c r="H34" s="144"/>
      <c r="I34" s="159"/>
      <c r="J34" s="144"/>
      <c r="K34" s="144"/>
      <c r="L34" s="144"/>
      <c r="M34" s="159"/>
    </row>
    <row r="35" spans="1:13" ht="13.8" thickBot="1">
      <c r="A35" s="39"/>
      <c r="B35" s="57"/>
      <c r="C35" s="57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3.8" thickBot="1">
      <c r="A36" s="907" t="s">
        <v>96</v>
      </c>
      <c r="B36" s="973"/>
      <c r="C36" s="973"/>
      <c r="D36" s="998"/>
      <c r="E36" s="39"/>
      <c r="F36" s="39"/>
      <c r="G36" s="39"/>
      <c r="H36" s="39"/>
      <c r="I36" s="39"/>
      <c r="J36" s="39"/>
      <c r="K36" s="39"/>
      <c r="L36" s="39"/>
      <c r="M36" s="39"/>
    </row>
    <row r="37" spans="1:13" s="346" customFormat="1" ht="13.8" thickBot="1">
      <c r="A37" s="123"/>
      <c r="B37" s="190"/>
      <c r="C37" s="382" t="s">
        <v>112</v>
      </c>
      <c r="D37" s="444" t="s">
        <v>113</v>
      </c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4.1" customHeight="1" thickBot="1">
      <c r="A38" s="78" t="s">
        <v>451</v>
      </c>
      <c r="B38" s="144"/>
      <c r="C38" s="1028">
        <f>'Development Schedule'!C97</f>
        <v>146118</v>
      </c>
      <c r="D38" s="1029">
        <f>C38*$B$10</f>
        <v>131506.20000000001</v>
      </c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3.8" thickBot="1">
      <c r="A39" s="73"/>
      <c r="B39" s="64"/>
      <c r="C39" s="304"/>
      <c r="D39" s="171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4.1" customHeight="1" thickBot="1">
      <c r="A40" s="907" t="s">
        <v>103</v>
      </c>
      <c r="B40" s="908"/>
      <c r="C40" s="908"/>
      <c r="D40" s="99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4.1" customHeight="1">
      <c r="A41" s="63" t="s">
        <v>114</v>
      </c>
      <c r="B41" s="64"/>
      <c r="C41" s="64"/>
      <c r="D41" s="733">
        <f>C12*0.3</f>
        <v>2.1</v>
      </c>
      <c r="E41" s="39"/>
      <c r="F41" s="39"/>
      <c r="G41" s="39"/>
      <c r="H41" s="39"/>
      <c r="I41" s="39"/>
      <c r="J41" s="39"/>
      <c r="K41" s="39"/>
      <c r="L41" s="39"/>
      <c r="M41" s="39"/>
    </row>
    <row r="42" spans="1:13">
      <c r="A42" s="63" t="s">
        <v>104</v>
      </c>
      <c r="B42" s="64"/>
      <c r="C42" s="64"/>
      <c r="D42" s="350">
        <f>'Summary Board'!K126</f>
        <v>0.06</v>
      </c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4.1" customHeight="1">
      <c r="A43" s="63" t="s">
        <v>105</v>
      </c>
      <c r="B43" s="64"/>
      <c r="C43" s="64"/>
      <c r="D43" s="350">
        <v>0.03</v>
      </c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4.1" customHeight="1" thickBot="1">
      <c r="A44" s="66" t="s">
        <v>92</v>
      </c>
      <c r="B44" s="67"/>
      <c r="C44" s="67"/>
      <c r="D44" s="125">
        <v>0.08</v>
      </c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4.1" customHeight="1">
      <c r="A45" s="39"/>
      <c r="B45" s="57"/>
      <c r="C45" s="57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4.1" customHeight="1">
      <c r="A46" s="39"/>
      <c r="B46" s="57"/>
      <c r="C46" s="57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4.1" customHeight="1">
      <c r="A47" s="39"/>
      <c r="B47" s="57"/>
      <c r="C47" s="57"/>
      <c r="D47" s="39"/>
      <c r="E47" s="39"/>
      <c r="F47" s="39"/>
      <c r="G47" s="39"/>
      <c r="H47" s="39"/>
      <c r="I47" s="39"/>
      <c r="J47" s="39"/>
      <c r="K47" s="39"/>
      <c r="L47" s="39"/>
      <c r="M47" s="39"/>
    </row>
  </sheetData>
  <mergeCells count="3">
    <mergeCell ref="D3:E3"/>
    <mergeCell ref="F3:I3"/>
    <mergeCell ref="J3:M3"/>
  </mergeCells>
  <printOptions horizontalCentered="1"/>
  <pageMargins left="0.5" right="0.5" top="1" bottom="0.5" header="0.5" footer="0.5"/>
  <pageSetup scale="65" orientation="landscape" r:id="rId1"/>
  <headerFooter alignWithMargins="0">
    <oddHeader>&amp;L&amp;"Arial,Bold"5. Income Statement: Office/Commercial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117"/>
  <sheetViews>
    <sheetView view="pageBreakPreview" zoomScale="85" zoomScaleNormal="100" zoomScaleSheetLayoutView="85" zoomScalePageLayoutView="85" workbookViewId="0">
      <selection activeCell="E14" sqref="E14"/>
    </sheetView>
  </sheetViews>
  <sheetFormatPr defaultColWidth="9.109375" defaultRowHeight="13.2" outlineLevelRow="1"/>
  <cols>
    <col min="1" max="1" width="23" style="96" customWidth="1"/>
    <col min="2" max="2" width="12.6640625" style="97" customWidth="1"/>
    <col min="3" max="3" width="13.6640625" style="97" customWidth="1"/>
    <col min="4" max="13" width="13.6640625" style="96" customWidth="1"/>
    <col min="14" max="14" width="14.33203125" style="96" bestFit="1" customWidth="1"/>
    <col min="15" max="16384" width="9.109375" style="96"/>
  </cols>
  <sheetData>
    <row r="1" spans="1:22" ht="14.1" customHeight="1" thickBot="1">
      <c r="A1" s="39"/>
      <c r="B1" s="57"/>
      <c r="C1" s="57"/>
      <c r="D1" s="39"/>
      <c r="E1" s="39"/>
      <c r="F1" s="39"/>
      <c r="G1" s="39"/>
      <c r="H1" s="39"/>
      <c r="I1" s="39"/>
      <c r="J1" s="39"/>
      <c r="K1" s="39"/>
      <c r="L1" s="134" t="s">
        <v>93</v>
      </c>
      <c r="M1" s="306">
        <v>191863</v>
      </c>
    </row>
    <row r="2" spans="1:22" ht="14.1" customHeight="1" thickBot="1">
      <c r="A2" s="39"/>
      <c r="B2" s="57"/>
      <c r="C2" s="57"/>
      <c r="D2" s="39"/>
      <c r="E2" s="39"/>
      <c r="F2" s="39"/>
      <c r="G2" s="118"/>
      <c r="H2" s="39"/>
      <c r="I2" s="39"/>
      <c r="J2" s="39"/>
      <c r="K2" s="39"/>
      <c r="L2" s="343"/>
      <c r="M2" s="344"/>
    </row>
    <row r="3" spans="1:22" ht="14.1" customHeight="1" thickBot="1">
      <c r="A3" s="123"/>
      <c r="B3" s="190"/>
      <c r="C3" s="128" t="s">
        <v>57</v>
      </c>
      <c r="D3" s="1227" t="s">
        <v>36</v>
      </c>
      <c r="E3" s="1228"/>
      <c r="F3" s="1229" t="s">
        <v>78</v>
      </c>
      <c r="G3" s="1230"/>
      <c r="H3" s="1230"/>
      <c r="I3" s="1231"/>
      <c r="J3" s="1232" t="s">
        <v>79</v>
      </c>
      <c r="K3" s="1233"/>
      <c r="L3" s="1233"/>
      <c r="M3" s="1234"/>
    </row>
    <row r="4" spans="1:22" ht="14.1" customHeight="1" thickBot="1">
      <c r="A4" s="63"/>
      <c r="B4" s="64"/>
      <c r="C4" s="136">
        <v>0</v>
      </c>
      <c r="D4" s="100">
        <f>C4+1</f>
        <v>1</v>
      </c>
      <c r="E4" s="100">
        <f t="shared" ref="E4:M5" si="0">D4+1</f>
        <v>2</v>
      </c>
      <c r="F4" s="101">
        <f t="shared" si="0"/>
        <v>3</v>
      </c>
      <c r="G4" s="910">
        <f t="shared" si="0"/>
        <v>4</v>
      </c>
      <c r="H4" s="135">
        <f t="shared" si="0"/>
        <v>5</v>
      </c>
      <c r="I4" s="102">
        <f t="shared" si="0"/>
        <v>6</v>
      </c>
      <c r="J4" s="100">
        <f t="shared" si="0"/>
        <v>7</v>
      </c>
      <c r="K4" s="100">
        <f t="shared" si="0"/>
        <v>8</v>
      </c>
      <c r="L4" s="100">
        <f t="shared" si="0"/>
        <v>9</v>
      </c>
      <c r="M4" s="102">
        <f t="shared" si="0"/>
        <v>10</v>
      </c>
    </row>
    <row r="5" spans="1:22" ht="14.1" customHeight="1" thickBot="1">
      <c r="A5" s="66"/>
      <c r="B5" s="135"/>
      <c r="C5" s="136" t="s">
        <v>337</v>
      </c>
      <c r="D5" s="361">
        <v>2021</v>
      </c>
      <c r="E5" s="100">
        <f>D5+1</f>
        <v>2022</v>
      </c>
      <c r="F5" s="101">
        <f t="shared" si="0"/>
        <v>2023</v>
      </c>
      <c r="G5" s="910">
        <f t="shared" si="0"/>
        <v>2024</v>
      </c>
      <c r="H5" s="100">
        <f t="shared" si="0"/>
        <v>2025</v>
      </c>
      <c r="I5" s="102">
        <f t="shared" si="0"/>
        <v>2026</v>
      </c>
      <c r="J5" s="100">
        <f t="shared" si="0"/>
        <v>2027</v>
      </c>
      <c r="K5" s="100">
        <f t="shared" si="0"/>
        <v>2028</v>
      </c>
      <c r="L5" s="100">
        <f>K5+1</f>
        <v>2029</v>
      </c>
      <c r="M5" s="102">
        <f>L5+1</f>
        <v>2030</v>
      </c>
    </row>
    <row r="6" spans="1:22" ht="13.8" thickBot="1">
      <c r="A6" s="185" t="s">
        <v>9</v>
      </c>
      <c r="B6" s="182"/>
      <c r="C6" s="191"/>
      <c r="D6" s="183"/>
      <c r="E6" s="183"/>
      <c r="F6" s="194"/>
      <c r="G6" s="183"/>
      <c r="H6" s="183"/>
      <c r="I6" s="184"/>
      <c r="J6" s="183"/>
      <c r="K6" s="183"/>
      <c r="L6" s="183"/>
      <c r="M6" s="184"/>
    </row>
    <row r="7" spans="1:22" ht="14.1" customHeight="1">
      <c r="A7" s="300" t="s">
        <v>283</v>
      </c>
      <c r="B7" s="190"/>
      <c r="C7" s="301"/>
      <c r="D7" s="302"/>
      <c r="E7" s="302"/>
      <c r="F7" s="123"/>
      <c r="G7" s="73"/>
      <c r="H7" s="302"/>
      <c r="I7" s="303"/>
      <c r="J7" s="302"/>
      <c r="K7" s="302"/>
      <c r="L7" s="302"/>
      <c r="M7" s="303"/>
    </row>
    <row r="8" spans="1:22" ht="14.1" customHeight="1">
      <c r="A8" s="160" t="s">
        <v>10</v>
      </c>
      <c r="B8" s="122">
        <v>0.02</v>
      </c>
      <c r="C8" s="129"/>
      <c r="D8" s="106"/>
      <c r="E8" s="106"/>
      <c r="F8" s="132"/>
      <c r="G8" s="106"/>
      <c r="H8" s="106"/>
      <c r="I8" s="110"/>
      <c r="J8" s="106"/>
      <c r="K8" s="106"/>
      <c r="L8" s="106"/>
      <c r="M8" s="110"/>
    </row>
    <row r="9" spans="1:22" ht="14.1" customHeight="1">
      <c r="A9" s="160" t="s">
        <v>110</v>
      </c>
      <c r="B9" s="64"/>
      <c r="C9" s="362">
        <v>0</v>
      </c>
      <c r="D9" s="171">
        <f>C9</f>
        <v>0</v>
      </c>
      <c r="E9" s="171">
        <f>C103</f>
        <v>33860</v>
      </c>
      <c r="F9" s="198">
        <f>C103</f>
        <v>33860</v>
      </c>
      <c r="G9" s="171">
        <f>C103</f>
        <v>33860</v>
      </c>
      <c r="H9" s="171">
        <f>C103</f>
        <v>33860</v>
      </c>
      <c r="I9" s="176">
        <f>C103</f>
        <v>33860</v>
      </c>
      <c r="J9" s="171">
        <f>C103</f>
        <v>33860</v>
      </c>
      <c r="K9" s="171">
        <f>C103</f>
        <v>33860</v>
      </c>
      <c r="L9" s="171">
        <f>C103</f>
        <v>33860</v>
      </c>
      <c r="M9" s="171">
        <f>C103</f>
        <v>33860</v>
      </c>
    </row>
    <row r="10" spans="1:22" ht="14.1" customHeight="1">
      <c r="A10" s="160" t="s">
        <v>39</v>
      </c>
      <c r="B10" s="122">
        <v>0.9</v>
      </c>
      <c r="C10" s="363">
        <f>C9*$B$10</f>
        <v>0</v>
      </c>
      <c r="D10" s="171">
        <f>D9*$B$10</f>
        <v>0</v>
      </c>
      <c r="E10" s="171">
        <f t="shared" ref="E10:M10" si="1">E9*$B$10</f>
        <v>30474</v>
      </c>
      <c r="F10" s="198">
        <f t="shared" si="1"/>
        <v>30474</v>
      </c>
      <c r="G10" s="171">
        <f t="shared" si="1"/>
        <v>30474</v>
      </c>
      <c r="H10" s="171">
        <f t="shared" si="1"/>
        <v>30474</v>
      </c>
      <c r="I10" s="176">
        <f t="shared" si="1"/>
        <v>30474</v>
      </c>
      <c r="J10" s="171">
        <f t="shared" si="1"/>
        <v>30474</v>
      </c>
      <c r="K10" s="171">
        <f t="shared" si="1"/>
        <v>30474</v>
      </c>
      <c r="L10" s="171">
        <f t="shared" si="1"/>
        <v>30474</v>
      </c>
      <c r="M10" s="176">
        <f t="shared" si="1"/>
        <v>30474</v>
      </c>
    </row>
    <row r="11" spans="1:22" ht="14.1" customHeight="1">
      <c r="A11" s="160" t="s">
        <v>44</v>
      </c>
      <c r="B11" s="105"/>
      <c r="C11" s="364">
        <v>1</v>
      </c>
      <c r="D11" s="108">
        <v>1</v>
      </c>
      <c r="E11" s="122">
        <v>0.3</v>
      </c>
      <c r="F11" s="205">
        <v>4.2999999999999997E-2</v>
      </c>
      <c r="G11" s="108">
        <f t="shared" ref="G11:M11" si="2">F11</f>
        <v>4.2999999999999997E-2</v>
      </c>
      <c r="H11" s="108">
        <f t="shared" si="2"/>
        <v>4.2999999999999997E-2</v>
      </c>
      <c r="I11" s="206">
        <f t="shared" si="2"/>
        <v>4.2999999999999997E-2</v>
      </c>
      <c r="J11" s="108">
        <f t="shared" si="2"/>
        <v>4.2999999999999997E-2</v>
      </c>
      <c r="K11" s="108">
        <f t="shared" si="2"/>
        <v>4.2999999999999997E-2</v>
      </c>
      <c r="L11" s="108">
        <f t="shared" si="2"/>
        <v>4.2999999999999997E-2</v>
      </c>
      <c r="M11" s="206">
        <f t="shared" si="2"/>
        <v>4.2999999999999997E-2</v>
      </c>
    </row>
    <row r="12" spans="1:22" s="347" customFormat="1" ht="13.8" thickBot="1">
      <c r="A12" s="133" t="s">
        <v>111</v>
      </c>
      <c r="B12" s="67"/>
      <c r="C12" s="756">
        <f>'Summary Board'!K111</f>
        <v>15</v>
      </c>
      <c r="D12" s="273">
        <f>$C$12*(1+$B$8)^D$4</f>
        <v>15.3</v>
      </c>
      <c r="E12" s="273">
        <f t="shared" ref="E12:M12" si="3">$C$12*(1+$B$8)^E$4</f>
        <v>15.606</v>
      </c>
      <c r="F12" s="285">
        <f t="shared" si="3"/>
        <v>15.918119999999998</v>
      </c>
      <c r="G12" s="273">
        <f t="shared" si="3"/>
        <v>16.2364824</v>
      </c>
      <c r="H12" s="273">
        <f t="shared" si="3"/>
        <v>16.561212048000002</v>
      </c>
      <c r="I12" s="274">
        <f t="shared" si="3"/>
        <v>16.892436288960003</v>
      </c>
      <c r="J12" s="273">
        <f t="shared" si="3"/>
        <v>17.230285014739199</v>
      </c>
      <c r="K12" s="273">
        <f t="shared" si="3"/>
        <v>17.574890715033984</v>
      </c>
      <c r="L12" s="273">
        <f t="shared" si="3"/>
        <v>17.926388529334663</v>
      </c>
      <c r="M12" s="274">
        <f t="shared" si="3"/>
        <v>18.284916299921356</v>
      </c>
      <c r="N12" s="423"/>
      <c r="O12" s="423"/>
      <c r="P12" s="423"/>
      <c r="Q12" s="423"/>
      <c r="R12" s="423"/>
      <c r="S12" s="423"/>
      <c r="T12" s="423"/>
      <c r="U12" s="423"/>
      <c r="V12" s="423"/>
    </row>
    <row r="13" spans="1:22" s="347" customFormat="1" outlineLevel="1">
      <c r="A13" s="307" t="s">
        <v>16</v>
      </c>
      <c r="B13" s="190"/>
      <c r="C13" s="233">
        <f>C10*(1-C11)*C12</f>
        <v>0</v>
      </c>
      <c r="D13" s="235">
        <f>D10*(1-D11)*D12</f>
        <v>0</v>
      </c>
      <c r="E13" s="235">
        <f>E10*(1-E11)*E12</f>
        <v>332904.07079999999</v>
      </c>
      <c r="F13" s="234">
        <f t="shared" ref="F13:M13" si="4">F10*(1-F11)*F12</f>
        <v>464229.97095815995</v>
      </c>
      <c r="G13" s="217">
        <f t="shared" si="4"/>
        <v>473514.57037732319</v>
      </c>
      <c r="H13" s="235">
        <f t="shared" si="4"/>
        <v>482984.86178486969</v>
      </c>
      <c r="I13" s="236">
        <f t="shared" si="4"/>
        <v>492644.5590205671</v>
      </c>
      <c r="J13" s="235">
        <f t="shared" si="4"/>
        <v>502497.45020097832</v>
      </c>
      <c r="K13" s="235">
        <f t="shared" si="4"/>
        <v>512547.39920499793</v>
      </c>
      <c r="L13" s="235">
        <f t="shared" si="4"/>
        <v>522798.34718909784</v>
      </c>
      <c r="M13" s="236">
        <f t="shared" si="4"/>
        <v>533254.31413287984</v>
      </c>
      <c r="N13" s="423"/>
      <c r="O13" s="423"/>
      <c r="P13" s="423"/>
      <c r="Q13" s="423"/>
      <c r="R13" s="423"/>
      <c r="S13" s="423"/>
      <c r="T13" s="423"/>
      <c r="U13" s="423"/>
      <c r="V13" s="423"/>
    </row>
    <row r="14" spans="1:22" s="347" customFormat="1" outlineLevel="1">
      <c r="A14" s="160" t="s">
        <v>166</v>
      </c>
      <c r="B14" s="64"/>
      <c r="C14" s="139">
        <f t="shared" ref="C14:M14" si="5">C10*(1-C11)*($D$113*(1+$B8)^C$4)</f>
        <v>0</v>
      </c>
      <c r="D14" s="226">
        <f t="shared" si="5"/>
        <v>0</v>
      </c>
      <c r="E14" s="226">
        <f t="shared" si="5"/>
        <v>99871.221239999999</v>
      </c>
      <c r="F14" s="237">
        <f t="shared" si="5"/>
        <v>139268.99128744801</v>
      </c>
      <c r="G14" s="226">
        <f t="shared" si="5"/>
        <v>142054.37111319695</v>
      </c>
      <c r="H14" s="226">
        <f t="shared" si="5"/>
        <v>144895.4585354609</v>
      </c>
      <c r="I14" s="238">
        <f t="shared" si="5"/>
        <v>147793.36770617013</v>
      </c>
      <c r="J14" s="226">
        <f t="shared" si="5"/>
        <v>150749.23506029349</v>
      </c>
      <c r="K14" s="226">
        <f t="shared" si="5"/>
        <v>153764.21976149938</v>
      </c>
      <c r="L14" s="226">
        <f t="shared" si="5"/>
        <v>156839.50415672935</v>
      </c>
      <c r="M14" s="238">
        <f t="shared" si="5"/>
        <v>159976.29423986396</v>
      </c>
      <c r="N14" s="423"/>
      <c r="O14" s="423"/>
      <c r="P14" s="423"/>
      <c r="Q14" s="423"/>
      <c r="R14" s="423"/>
      <c r="S14" s="423"/>
      <c r="T14" s="423"/>
      <c r="U14" s="423"/>
      <c r="V14" s="423"/>
    </row>
    <row r="15" spans="1:22" s="347" customFormat="1" ht="13.8" outlineLevel="1" thickBot="1">
      <c r="A15" s="133" t="s">
        <v>167</v>
      </c>
      <c r="B15" s="67"/>
      <c r="C15" s="424">
        <f t="shared" ref="C15:M15" si="6">C10*($D$113*(1+$B8)^C$4)</f>
        <v>0</v>
      </c>
      <c r="D15" s="419">
        <f t="shared" si="6"/>
        <v>0</v>
      </c>
      <c r="E15" s="419">
        <f t="shared" si="6"/>
        <v>142673.17319999999</v>
      </c>
      <c r="F15" s="418">
        <f t="shared" si="6"/>
        <v>145526.63666399999</v>
      </c>
      <c r="G15" s="419">
        <f t="shared" si="6"/>
        <v>148437.16939728</v>
      </c>
      <c r="H15" s="419">
        <f t="shared" si="6"/>
        <v>151405.91278522561</v>
      </c>
      <c r="I15" s="420">
        <f t="shared" si="6"/>
        <v>154434.03104093013</v>
      </c>
      <c r="J15" s="419">
        <f t="shared" si="6"/>
        <v>157522.7116617487</v>
      </c>
      <c r="K15" s="419">
        <f t="shared" si="6"/>
        <v>160673.16589498369</v>
      </c>
      <c r="L15" s="419">
        <f t="shared" si="6"/>
        <v>163886.62921288336</v>
      </c>
      <c r="M15" s="420">
        <f t="shared" si="6"/>
        <v>167164.36179714103</v>
      </c>
      <c r="N15" s="423"/>
      <c r="O15" s="423"/>
      <c r="P15" s="423"/>
      <c r="Q15" s="423"/>
      <c r="R15" s="423"/>
      <c r="S15" s="423"/>
      <c r="T15" s="423"/>
      <c r="U15" s="423"/>
      <c r="V15" s="423"/>
    </row>
    <row r="16" spans="1:22" ht="14.1" customHeight="1">
      <c r="A16" s="300" t="s">
        <v>446</v>
      </c>
      <c r="B16" s="190"/>
      <c r="C16" s="301"/>
      <c r="D16" s="302"/>
      <c r="E16" s="302"/>
      <c r="F16" s="123"/>
      <c r="G16" s="73"/>
      <c r="H16" s="302"/>
      <c r="I16" s="303"/>
      <c r="J16" s="302"/>
      <c r="K16" s="302"/>
      <c r="L16" s="302"/>
      <c r="M16" s="303"/>
    </row>
    <row r="17" spans="1:22" ht="14.1" customHeight="1">
      <c r="A17" s="160" t="s">
        <v>10</v>
      </c>
      <c r="B17" s="122">
        <v>0.02</v>
      </c>
      <c r="C17" s="129"/>
      <c r="D17" s="106"/>
      <c r="E17" s="106"/>
      <c r="F17" s="132"/>
      <c r="G17" s="106"/>
      <c r="H17" s="106"/>
      <c r="I17" s="110"/>
      <c r="J17" s="106"/>
      <c r="K17" s="106"/>
      <c r="L17" s="106"/>
      <c r="M17" s="110"/>
    </row>
    <row r="18" spans="1:22" ht="14.1" customHeight="1">
      <c r="A18" s="160" t="s">
        <v>110</v>
      </c>
      <c r="B18" s="64"/>
      <c r="C18" s="362">
        <v>0</v>
      </c>
      <c r="D18" s="171">
        <f>C18</f>
        <v>0</v>
      </c>
      <c r="E18" s="171">
        <f>C104</f>
        <v>8173</v>
      </c>
      <c r="F18" s="198">
        <f>C104</f>
        <v>8173</v>
      </c>
      <c r="G18" s="171">
        <f>C104</f>
        <v>8173</v>
      </c>
      <c r="H18" s="171">
        <f>C104</f>
        <v>8173</v>
      </c>
      <c r="I18" s="176">
        <f>C104</f>
        <v>8173</v>
      </c>
      <c r="J18" s="171">
        <f>C104</f>
        <v>8173</v>
      </c>
      <c r="K18" s="171">
        <f>C104</f>
        <v>8173</v>
      </c>
      <c r="L18" s="171">
        <f>C104</f>
        <v>8173</v>
      </c>
      <c r="M18" s="171">
        <f>C104</f>
        <v>8173</v>
      </c>
    </row>
    <row r="19" spans="1:22" ht="14.1" customHeight="1">
      <c r="A19" s="160" t="s">
        <v>39</v>
      </c>
      <c r="B19" s="122">
        <v>0.9</v>
      </c>
      <c r="C19" s="363">
        <f>C18*$B$10</f>
        <v>0</v>
      </c>
      <c r="D19" s="171">
        <f>D18*$B$10</f>
        <v>0</v>
      </c>
      <c r="E19" s="171">
        <f t="shared" ref="E19:M19" si="7">E18*$B$10</f>
        <v>7355.7</v>
      </c>
      <c r="F19" s="198">
        <f t="shared" si="7"/>
        <v>7355.7</v>
      </c>
      <c r="G19" s="171">
        <f t="shared" si="7"/>
        <v>7355.7</v>
      </c>
      <c r="H19" s="171">
        <f t="shared" si="7"/>
        <v>7355.7</v>
      </c>
      <c r="I19" s="176">
        <f t="shared" si="7"/>
        <v>7355.7</v>
      </c>
      <c r="J19" s="171">
        <f t="shared" si="7"/>
        <v>7355.7</v>
      </c>
      <c r="K19" s="171">
        <f t="shared" si="7"/>
        <v>7355.7</v>
      </c>
      <c r="L19" s="171">
        <f t="shared" si="7"/>
        <v>7355.7</v>
      </c>
      <c r="M19" s="176">
        <f t="shared" si="7"/>
        <v>7355.7</v>
      </c>
    </row>
    <row r="20" spans="1:22" ht="14.1" customHeight="1">
      <c r="A20" s="160" t="s">
        <v>44</v>
      </c>
      <c r="B20" s="105"/>
      <c r="C20" s="364">
        <v>1</v>
      </c>
      <c r="D20" s="108">
        <v>1</v>
      </c>
      <c r="E20" s="122">
        <v>0.3</v>
      </c>
      <c r="F20" s="205">
        <v>4.2999999999999997E-2</v>
      </c>
      <c r="G20" s="108">
        <f t="shared" ref="G20" si="8">F20</f>
        <v>4.2999999999999997E-2</v>
      </c>
      <c r="H20" s="108">
        <f t="shared" ref="H20" si="9">G20</f>
        <v>4.2999999999999997E-2</v>
      </c>
      <c r="I20" s="206">
        <f t="shared" ref="I20" si="10">H20</f>
        <v>4.2999999999999997E-2</v>
      </c>
      <c r="J20" s="108">
        <f t="shared" ref="J20" si="11">I20</f>
        <v>4.2999999999999997E-2</v>
      </c>
      <c r="K20" s="108">
        <f t="shared" ref="K20" si="12">J20</f>
        <v>4.2999999999999997E-2</v>
      </c>
      <c r="L20" s="108">
        <f t="shared" ref="L20" si="13">K20</f>
        <v>4.2999999999999997E-2</v>
      </c>
      <c r="M20" s="206">
        <f t="shared" ref="M20" si="14">L20</f>
        <v>4.2999999999999997E-2</v>
      </c>
    </row>
    <row r="21" spans="1:22" ht="13.8" thickBot="1">
      <c r="A21" s="133" t="s">
        <v>111</v>
      </c>
      <c r="B21" s="67"/>
      <c r="C21" s="756">
        <f>'Summary Board'!K112</f>
        <v>25</v>
      </c>
      <c r="D21" s="273">
        <f t="shared" ref="D21:M21" si="15">$C$21*(1+$B$8)^D$4</f>
        <v>25.5</v>
      </c>
      <c r="E21" s="273">
        <f t="shared" si="15"/>
        <v>26.009999999999998</v>
      </c>
      <c r="F21" s="285">
        <f t="shared" si="15"/>
        <v>26.530199999999997</v>
      </c>
      <c r="G21" s="273">
        <f t="shared" si="15"/>
        <v>27.060804000000001</v>
      </c>
      <c r="H21" s="273">
        <f t="shared" si="15"/>
        <v>27.602020079999999</v>
      </c>
      <c r="I21" s="274">
        <f t="shared" si="15"/>
        <v>28.154060481600002</v>
      </c>
      <c r="J21" s="273">
        <f t="shared" si="15"/>
        <v>28.717141691231994</v>
      </c>
      <c r="K21" s="273">
        <f t="shared" si="15"/>
        <v>29.291484525056639</v>
      </c>
      <c r="L21" s="273">
        <f t="shared" si="15"/>
        <v>29.877314215557771</v>
      </c>
      <c r="M21" s="274">
        <f t="shared" si="15"/>
        <v>30.474860499868928</v>
      </c>
      <c r="N21" s="372"/>
      <c r="O21" s="372"/>
      <c r="P21" s="372"/>
      <c r="Q21" s="372"/>
      <c r="R21" s="372"/>
      <c r="S21" s="372"/>
      <c r="T21" s="372"/>
      <c r="U21" s="372"/>
      <c r="V21" s="372"/>
    </row>
    <row r="22" spans="1:22" s="347" customFormat="1" outlineLevel="1">
      <c r="A22" s="307" t="s">
        <v>16</v>
      </c>
      <c r="B22" s="190"/>
      <c r="C22" s="233">
        <f>C19*(1-C20)*C21</f>
        <v>0</v>
      </c>
      <c r="D22" s="235">
        <f>D19*(1-D20)*D21</f>
        <v>0</v>
      </c>
      <c r="E22" s="235">
        <f>E19*(1-E20)*E21</f>
        <v>133925.22989999998</v>
      </c>
      <c r="F22" s="234">
        <f t="shared" ref="F22:M22" si="16">F19*(1-F20)*F21</f>
        <v>186756.81987797996</v>
      </c>
      <c r="G22" s="217">
        <f t="shared" si="16"/>
        <v>190491.95627553959</v>
      </c>
      <c r="H22" s="235">
        <f t="shared" si="16"/>
        <v>194301.79540105036</v>
      </c>
      <c r="I22" s="236">
        <f t="shared" si="16"/>
        <v>198187.83130907139</v>
      </c>
      <c r="J22" s="235">
        <f t="shared" si="16"/>
        <v>202151.58793525278</v>
      </c>
      <c r="K22" s="235">
        <f t="shared" si="16"/>
        <v>206194.61969395785</v>
      </c>
      <c r="L22" s="235">
        <f t="shared" si="16"/>
        <v>210318.51208783701</v>
      </c>
      <c r="M22" s="236">
        <f t="shared" si="16"/>
        <v>214524.88232959376</v>
      </c>
      <c r="N22" s="423"/>
      <c r="O22" s="423"/>
      <c r="P22" s="423"/>
      <c r="Q22" s="423"/>
      <c r="R22" s="423"/>
      <c r="S22" s="423"/>
      <c r="T22" s="423"/>
      <c r="U22" s="423"/>
      <c r="V22" s="423"/>
    </row>
    <row r="23" spans="1:22" s="347" customFormat="1" outlineLevel="1">
      <c r="A23" s="160" t="s">
        <v>166</v>
      </c>
      <c r="B23" s="64"/>
      <c r="C23" s="139">
        <f t="shared" ref="C23:M23" si="17">C19*(1-C20)*($D$113*(1+$B17)^C$4)</f>
        <v>0</v>
      </c>
      <c r="D23" s="226">
        <f t="shared" si="17"/>
        <v>0</v>
      </c>
      <c r="E23" s="226">
        <f t="shared" si="17"/>
        <v>24106.541381999999</v>
      </c>
      <c r="F23" s="237">
        <f t="shared" si="17"/>
        <v>33616.2275780364</v>
      </c>
      <c r="G23" s="226">
        <f t="shared" si="17"/>
        <v>34288.552129597127</v>
      </c>
      <c r="H23" s="226">
        <f t="shared" si="17"/>
        <v>34974.32317218907</v>
      </c>
      <c r="I23" s="238">
        <f t="shared" si="17"/>
        <v>35673.809635632853</v>
      </c>
      <c r="J23" s="226">
        <f t="shared" si="17"/>
        <v>36387.285828345499</v>
      </c>
      <c r="K23" s="226">
        <f t="shared" si="17"/>
        <v>37115.031544912417</v>
      </c>
      <c r="L23" s="226">
        <f t="shared" si="17"/>
        <v>37857.332175810661</v>
      </c>
      <c r="M23" s="238">
        <f t="shared" si="17"/>
        <v>38614.478819326876</v>
      </c>
      <c r="N23" s="423"/>
      <c r="O23" s="423"/>
      <c r="P23" s="423"/>
      <c r="Q23" s="423"/>
      <c r="R23" s="423"/>
      <c r="S23" s="423"/>
      <c r="T23" s="423"/>
      <c r="U23" s="423"/>
      <c r="V23" s="423"/>
    </row>
    <row r="24" spans="1:22" s="347" customFormat="1" ht="13.8" outlineLevel="1" thickBot="1">
      <c r="A24" s="133" t="s">
        <v>167</v>
      </c>
      <c r="B24" s="67"/>
      <c r="C24" s="424">
        <f t="shared" ref="C24:M24" si="18">C19*($D$113*(1+$B17)^C$4)</f>
        <v>0</v>
      </c>
      <c r="D24" s="419">
        <f t="shared" si="18"/>
        <v>0</v>
      </c>
      <c r="E24" s="419">
        <f t="shared" si="18"/>
        <v>34437.916259999998</v>
      </c>
      <c r="F24" s="418">
        <f t="shared" si="18"/>
        <v>35126.674585200002</v>
      </c>
      <c r="G24" s="419">
        <f t="shared" si="18"/>
        <v>35829.208076903997</v>
      </c>
      <c r="H24" s="419">
        <f t="shared" si="18"/>
        <v>36545.792238442082</v>
      </c>
      <c r="I24" s="420">
        <f t="shared" si="18"/>
        <v>37276.70808321092</v>
      </c>
      <c r="J24" s="419">
        <f t="shared" si="18"/>
        <v>38022.242244875131</v>
      </c>
      <c r="K24" s="419">
        <f t="shared" si="18"/>
        <v>38782.68708977264</v>
      </c>
      <c r="L24" s="419">
        <f t="shared" si="18"/>
        <v>39558.340831568094</v>
      </c>
      <c r="M24" s="420">
        <f t="shared" si="18"/>
        <v>40349.507648199455</v>
      </c>
      <c r="N24" s="423"/>
      <c r="O24" s="423"/>
      <c r="P24" s="423"/>
      <c r="Q24" s="423"/>
      <c r="R24" s="423"/>
      <c r="S24" s="423"/>
      <c r="T24" s="423"/>
      <c r="U24" s="423"/>
      <c r="V24" s="423"/>
    </row>
    <row r="25" spans="1:22" ht="14.1" customHeight="1">
      <c r="A25" s="300" t="s">
        <v>445</v>
      </c>
      <c r="B25" s="190"/>
      <c r="C25" s="301"/>
      <c r="D25" s="302"/>
      <c r="E25" s="302"/>
      <c r="F25" s="123"/>
      <c r="G25" s="302"/>
      <c r="H25" s="302"/>
      <c r="I25" s="303"/>
      <c r="J25" s="302"/>
      <c r="K25" s="302"/>
      <c r="L25" s="302"/>
      <c r="M25" s="303"/>
    </row>
    <row r="26" spans="1:22" ht="14.1" customHeight="1">
      <c r="A26" s="160" t="s">
        <v>10</v>
      </c>
      <c r="B26" s="122">
        <v>0.02</v>
      </c>
      <c r="C26" s="129"/>
      <c r="D26" s="106"/>
      <c r="E26" s="106"/>
      <c r="F26" s="132"/>
      <c r="G26" s="106"/>
      <c r="H26" s="106"/>
      <c r="I26" s="110"/>
      <c r="J26" s="106"/>
      <c r="K26" s="106"/>
      <c r="L26" s="106"/>
      <c r="M26" s="110"/>
    </row>
    <row r="27" spans="1:22" ht="14.1" customHeight="1">
      <c r="A27" s="160" t="s">
        <v>110</v>
      </c>
      <c r="B27" s="64"/>
      <c r="C27" s="362">
        <v>0</v>
      </c>
      <c r="D27" s="171">
        <f>C105</f>
        <v>38000</v>
      </c>
      <c r="E27" s="171">
        <f>C105</f>
        <v>38000</v>
      </c>
      <c r="F27" s="198">
        <f>C105</f>
        <v>38000</v>
      </c>
      <c r="G27" s="171">
        <f>C105</f>
        <v>38000</v>
      </c>
      <c r="H27" s="171">
        <f>C105</f>
        <v>38000</v>
      </c>
      <c r="I27" s="176">
        <f>C105</f>
        <v>38000</v>
      </c>
      <c r="J27" s="171">
        <f>C105</f>
        <v>38000</v>
      </c>
      <c r="K27" s="171">
        <f>C105</f>
        <v>38000</v>
      </c>
      <c r="L27" s="171">
        <f>C105</f>
        <v>38000</v>
      </c>
      <c r="M27" s="171">
        <f>C105</f>
        <v>38000</v>
      </c>
    </row>
    <row r="28" spans="1:22" ht="14.1" customHeight="1">
      <c r="A28" s="160" t="s">
        <v>39</v>
      </c>
      <c r="B28" s="122">
        <v>0.9</v>
      </c>
      <c r="C28" s="363">
        <f>C27*$B$10</f>
        <v>0</v>
      </c>
      <c r="D28" s="171">
        <f>D27*$B$10</f>
        <v>34200</v>
      </c>
      <c r="E28" s="171">
        <f t="shared" ref="E28:M28" si="19">E27*$B$10</f>
        <v>34200</v>
      </c>
      <c r="F28" s="198">
        <f t="shared" si="19"/>
        <v>34200</v>
      </c>
      <c r="G28" s="171">
        <f t="shared" si="19"/>
        <v>34200</v>
      </c>
      <c r="H28" s="171">
        <f t="shared" si="19"/>
        <v>34200</v>
      </c>
      <c r="I28" s="176">
        <f t="shared" si="19"/>
        <v>34200</v>
      </c>
      <c r="J28" s="171">
        <f t="shared" si="19"/>
        <v>34200</v>
      </c>
      <c r="K28" s="171">
        <f t="shared" si="19"/>
        <v>34200</v>
      </c>
      <c r="L28" s="171">
        <f t="shared" si="19"/>
        <v>34200</v>
      </c>
      <c r="M28" s="176">
        <f t="shared" si="19"/>
        <v>34200</v>
      </c>
    </row>
    <row r="29" spans="1:22" ht="14.1" customHeight="1">
      <c r="A29" s="160" t="s">
        <v>44</v>
      </c>
      <c r="B29" s="105"/>
      <c r="C29" s="364">
        <v>1</v>
      </c>
      <c r="D29" s="122">
        <v>0</v>
      </c>
      <c r="E29" s="108">
        <v>0</v>
      </c>
      <c r="F29" s="255">
        <v>0</v>
      </c>
      <c r="G29" s="108">
        <v>0</v>
      </c>
      <c r="H29" s="108">
        <v>0</v>
      </c>
      <c r="I29" s="206">
        <v>0</v>
      </c>
      <c r="J29" s="108">
        <v>0</v>
      </c>
      <c r="K29" s="108">
        <v>0</v>
      </c>
      <c r="L29" s="108">
        <v>0</v>
      </c>
      <c r="M29" s="108">
        <v>0</v>
      </c>
    </row>
    <row r="30" spans="1:22" ht="13.8" thickBot="1">
      <c r="A30" s="133" t="s">
        <v>111</v>
      </c>
      <c r="B30" s="67"/>
      <c r="C30" s="756">
        <f>'Summary Board'!K113</f>
        <v>10</v>
      </c>
      <c r="D30" s="273">
        <f t="shared" ref="D30:M30" si="20">$C$30*(1+$B$8)^D$4</f>
        <v>10.199999999999999</v>
      </c>
      <c r="E30" s="273">
        <f t="shared" si="20"/>
        <v>10.404</v>
      </c>
      <c r="F30" s="285">
        <f t="shared" si="20"/>
        <v>10.612079999999999</v>
      </c>
      <c r="G30" s="273">
        <f t="shared" si="20"/>
        <v>10.824321599999999</v>
      </c>
      <c r="H30" s="273">
        <f t="shared" si="20"/>
        <v>11.040808032000001</v>
      </c>
      <c r="I30" s="274">
        <f t="shared" si="20"/>
        <v>11.261624192640001</v>
      </c>
      <c r="J30" s="273">
        <f t="shared" si="20"/>
        <v>11.486856676492799</v>
      </c>
      <c r="K30" s="273">
        <f t="shared" si="20"/>
        <v>11.716593810022655</v>
      </c>
      <c r="L30" s="273">
        <f t="shared" si="20"/>
        <v>11.950925686223108</v>
      </c>
      <c r="M30" s="274">
        <f t="shared" si="20"/>
        <v>12.189944199947572</v>
      </c>
      <c r="N30" s="372"/>
      <c r="O30" s="372"/>
      <c r="P30" s="372"/>
      <c r="Q30" s="372"/>
      <c r="R30" s="372"/>
      <c r="S30" s="372"/>
      <c r="T30" s="372"/>
      <c r="U30" s="372"/>
      <c r="V30" s="372"/>
    </row>
    <row r="31" spans="1:22" s="347" customFormat="1" outlineLevel="1">
      <c r="A31" s="307" t="s">
        <v>16</v>
      </c>
      <c r="B31" s="190"/>
      <c r="C31" s="233">
        <f>C28*(1-C29)*C30</f>
        <v>0</v>
      </c>
      <c r="D31" s="235">
        <f>D28*(1-D29)*D30</f>
        <v>348840</v>
      </c>
      <c r="E31" s="235">
        <f>E28*(1-E29)*E30</f>
        <v>355816.8</v>
      </c>
      <c r="F31" s="234">
        <f t="shared" ref="F31:M31" si="21">F28*(1-F29)*F30</f>
        <v>362933.13599999994</v>
      </c>
      <c r="G31" s="217">
        <f t="shared" si="21"/>
        <v>370191.79871999996</v>
      </c>
      <c r="H31" s="235">
        <f t="shared" si="21"/>
        <v>377595.63469440001</v>
      </c>
      <c r="I31" s="236">
        <f t="shared" si="21"/>
        <v>385147.54738828802</v>
      </c>
      <c r="J31" s="235">
        <f t="shared" si="21"/>
        <v>392850.49833605374</v>
      </c>
      <c r="K31" s="235">
        <f t="shared" si="21"/>
        <v>400707.5083027748</v>
      </c>
      <c r="L31" s="235">
        <f t="shared" si="21"/>
        <v>408721.65846883028</v>
      </c>
      <c r="M31" s="236">
        <f t="shared" si="21"/>
        <v>416896.09163820697</v>
      </c>
      <c r="N31" s="423"/>
      <c r="O31" s="423"/>
      <c r="P31" s="423"/>
      <c r="Q31" s="423"/>
      <c r="R31" s="423"/>
      <c r="S31" s="423"/>
      <c r="T31" s="423"/>
      <c r="U31" s="423"/>
      <c r="V31" s="423"/>
    </row>
    <row r="32" spans="1:22" s="347" customFormat="1" outlineLevel="1">
      <c r="A32" s="160" t="s">
        <v>166</v>
      </c>
      <c r="B32" s="64"/>
      <c r="C32" s="139">
        <f t="shared" ref="C32:M32" si="22">C28*(1-C29)*($D$113*(1+$B26)^C$4)</f>
        <v>0</v>
      </c>
      <c r="D32" s="226">
        <f t="shared" si="22"/>
        <v>156978</v>
      </c>
      <c r="E32" s="226">
        <f t="shared" si="22"/>
        <v>160117.56</v>
      </c>
      <c r="F32" s="237">
        <f t="shared" si="22"/>
        <v>163319.9112</v>
      </c>
      <c r="G32" s="226">
        <f t="shared" si="22"/>
        <v>166586.30942400001</v>
      </c>
      <c r="H32" s="226">
        <f t="shared" si="22"/>
        <v>169918.03561248002</v>
      </c>
      <c r="I32" s="238">
        <f t="shared" si="22"/>
        <v>173316.39632472961</v>
      </c>
      <c r="J32" s="226">
        <f t="shared" si="22"/>
        <v>176782.72425122416</v>
      </c>
      <c r="K32" s="226">
        <f t="shared" si="22"/>
        <v>180318.37873624868</v>
      </c>
      <c r="L32" s="226">
        <f t="shared" si="22"/>
        <v>183924.74631097363</v>
      </c>
      <c r="M32" s="238">
        <f t="shared" si="22"/>
        <v>187603.24123719311</v>
      </c>
      <c r="N32" s="423"/>
      <c r="O32" s="423"/>
      <c r="P32" s="423"/>
      <c r="Q32" s="423"/>
      <c r="R32" s="423"/>
      <c r="S32" s="423"/>
      <c r="T32" s="423"/>
      <c r="U32" s="423"/>
      <c r="V32" s="423"/>
    </row>
    <row r="33" spans="1:22" s="347" customFormat="1" ht="13.8" outlineLevel="1" thickBot="1">
      <c r="A33" s="133" t="s">
        <v>167</v>
      </c>
      <c r="B33" s="67"/>
      <c r="C33" s="424">
        <f t="shared" ref="C33:M33" si="23">C28*($D$113*(1+$B26)^C$4)</f>
        <v>0</v>
      </c>
      <c r="D33" s="419">
        <f t="shared" si="23"/>
        <v>156978</v>
      </c>
      <c r="E33" s="419">
        <f t="shared" si="23"/>
        <v>160117.56</v>
      </c>
      <c r="F33" s="418">
        <f t="shared" si="23"/>
        <v>163319.9112</v>
      </c>
      <c r="G33" s="419">
        <f t="shared" si="23"/>
        <v>166586.30942400001</v>
      </c>
      <c r="H33" s="419">
        <f t="shared" si="23"/>
        <v>169918.03561248002</v>
      </c>
      <c r="I33" s="420">
        <f t="shared" si="23"/>
        <v>173316.39632472961</v>
      </c>
      <c r="J33" s="419">
        <f t="shared" si="23"/>
        <v>176782.72425122416</v>
      </c>
      <c r="K33" s="419">
        <f t="shared" si="23"/>
        <v>180318.37873624868</v>
      </c>
      <c r="L33" s="419">
        <f t="shared" si="23"/>
        <v>183924.74631097363</v>
      </c>
      <c r="M33" s="420">
        <f t="shared" si="23"/>
        <v>187603.24123719311</v>
      </c>
      <c r="N33" s="423"/>
      <c r="O33" s="423"/>
      <c r="P33" s="423"/>
      <c r="Q33" s="423"/>
      <c r="R33" s="423"/>
      <c r="S33" s="423"/>
      <c r="T33" s="423"/>
      <c r="U33" s="423"/>
      <c r="V33" s="423"/>
    </row>
    <row r="34" spans="1:22" ht="14.1" customHeight="1">
      <c r="A34" s="62" t="s">
        <v>441</v>
      </c>
      <c r="B34" s="64"/>
      <c r="C34" s="130"/>
      <c r="D34" s="73"/>
      <c r="E34" s="73"/>
      <c r="F34" s="63"/>
      <c r="G34" s="73"/>
      <c r="H34" s="73"/>
      <c r="I34" s="111"/>
      <c r="J34" s="73"/>
      <c r="K34" s="73"/>
      <c r="L34" s="73"/>
      <c r="M34" s="111"/>
    </row>
    <row r="35" spans="1:22" ht="14.1" customHeight="1">
      <c r="A35" s="160" t="s">
        <v>10</v>
      </c>
      <c r="B35" s="122">
        <v>0.02</v>
      </c>
      <c r="C35" s="129"/>
      <c r="D35" s="106"/>
      <c r="E35" s="106"/>
      <c r="F35" s="132"/>
      <c r="G35" s="106"/>
      <c r="H35" s="106"/>
      <c r="I35" s="110"/>
      <c r="J35" s="106"/>
      <c r="K35" s="106"/>
      <c r="L35" s="106"/>
      <c r="M35" s="110"/>
    </row>
    <row r="36" spans="1:22" ht="14.1" customHeight="1">
      <c r="A36" s="160" t="s">
        <v>110</v>
      </c>
      <c r="B36" s="64"/>
      <c r="C36" s="362">
        <v>0</v>
      </c>
      <c r="D36" s="171">
        <f>C36</f>
        <v>0</v>
      </c>
      <c r="E36" s="171">
        <f>C106</f>
        <v>19790</v>
      </c>
      <c r="F36" s="198">
        <f t="shared" ref="F36:M36" si="24">E36</f>
        <v>19790</v>
      </c>
      <c r="G36" s="171">
        <f t="shared" si="24"/>
        <v>19790</v>
      </c>
      <c r="H36" s="171">
        <f t="shared" si="24"/>
        <v>19790</v>
      </c>
      <c r="I36" s="176">
        <f t="shared" si="24"/>
        <v>19790</v>
      </c>
      <c r="J36" s="171">
        <f t="shared" si="24"/>
        <v>19790</v>
      </c>
      <c r="K36" s="171">
        <f t="shared" si="24"/>
        <v>19790</v>
      </c>
      <c r="L36" s="171">
        <f t="shared" si="24"/>
        <v>19790</v>
      </c>
      <c r="M36" s="176">
        <f t="shared" si="24"/>
        <v>19790</v>
      </c>
    </row>
    <row r="37" spans="1:22" ht="14.1" customHeight="1">
      <c r="A37" s="160" t="s">
        <v>39</v>
      </c>
      <c r="B37" s="122">
        <v>0.9</v>
      </c>
      <c r="C37" s="363">
        <f>C36*$B$37</f>
        <v>0</v>
      </c>
      <c r="D37" s="171">
        <f t="shared" ref="D37:M37" si="25">D36*$B$37</f>
        <v>0</v>
      </c>
      <c r="E37" s="171">
        <f t="shared" si="25"/>
        <v>17811</v>
      </c>
      <c r="F37" s="198">
        <f t="shared" si="25"/>
        <v>17811</v>
      </c>
      <c r="G37" s="171">
        <f t="shared" si="25"/>
        <v>17811</v>
      </c>
      <c r="H37" s="171">
        <f t="shared" si="25"/>
        <v>17811</v>
      </c>
      <c r="I37" s="176">
        <f t="shared" si="25"/>
        <v>17811</v>
      </c>
      <c r="J37" s="171">
        <f t="shared" si="25"/>
        <v>17811</v>
      </c>
      <c r="K37" s="171">
        <f t="shared" si="25"/>
        <v>17811</v>
      </c>
      <c r="L37" s="171">
        <f t="shared" si="25"/>
        <v>17811</v>
      </c>
      <c r="M37" s="176">
        <f t="shared" si="25"/>
        <v>17811</v>
      </c>
    </row>
    <row r="38" spans="1:22" ht="14.1" customHeight="1">
      <c r="A38" s="160" t="s">
        <v>44</v>
      </c>
      <c r="B38" s="105"/>
      <c r="C38" s="364">
        <v>1</v>
      </c>
      <c r="D38" s="108">
        <f>C38</f>
        <v>1</v>
      </c>
      <c r="E38" s="122">
        <v>0.3</v>
      </c>
      <c r="F38" s="205">
        <v>4.2999999999999997E-2</v>
      </c>
      <c r="G38" s="108">
        <f t="shared" ref="G38:M38" si="26">F38</f>
        <v>4.2999999999999997E-2</v>
      </c>
      <c r="H38" s="108">
        <f t="shared" si="26"/>
        <v>4.2999999999999997E-2</v>
      </c>
      <c r="I38" s="206">
        <f t="shared" si="26"/>
        <v>4.2999999999999997E-2</v>
      </c>
      <c r="J38" s="108">
        <f t="shared" si="26"/>
        <v>4.2999999999999997E-2</v>
      </c>
      <c r="K38" s="108">
        <f t="shared" si="26"/>
        <v>4.2999999999999997E-2</v>
      </c>
      <c r="L38" s="108">
        <f t="shared" si="26"/>
        <v>4.2999999999999997E-2</v>
      </c>
      <c r="M38" s="206">
        <f t="shared" si="26"/>
        <v>4.2999999999999997E-2</v>
      </c>
    </row>
    <row r="39" spans="1:22" ht="18" customHeight="1" thickBot="1">
      <c r="A39" s="133" t="s">
        <v>111</v>
      </c>
      <c r="B39" s="67"/>
      <c r="C39" s="756">
        <f>'Summary Board'!K111</f>
        <v>15</v>
      </c>
      <c r="D39" s="273">
        <f t="shared" ref="D39:M39" si="27">$C$39*(1+$B$35)^D$4</f>
        <v>15.3</v>
      </c>
      <c r="E39" s="273">
        <f t="shared" si="27"/>
        <v>15.606</v>
      </c>
      <c r="F39" s="285">
        <f t="shared" si="27"/>
        <v>15.918119999999998</v>
      </c>
      <c r="G39" s="273">
        <f t="shared" si="27"/>
        <v>16.2364824</v>
      </c>
      <c r="H39" s="273">
        <f t="shared" si="27"/>
        <v>16.561212048000002</v>
      </c>
      <c r="I39" s="274">
        <f t="shared" si="27"/>
        <v>16.892436288960003</v>
      </c>
      <c r="J39" s="273">
        <f t="shared" si="27"/>
        <v>17.230285014739199</v>
      </c>
      <c r="K39" s="273">
        <f t="shared" si="27"/>
        <v>17.574890715033984</v>
      </c>
      <c r="L39" s="273">
        <f t="shared" si="27"/>
        <v>17.926388529334663</v>
      </c>
      <c r="M39" s="274">
        <f t="shared" si="27"/>
        <v>18.284916299921356</v>
      </c>
      <c r="N39" s="372"/>
      <c r="O39" s="372"/>
      <c r="P39" s="372"/>
      <c r="Q39" s="372"/>
      <c r="R39" s="372"/>
      <c r="S39" s="372"/>
      <c r="T39" s="372"/>
      <c r="U39" s="372"/>
      <c r="V39" s="372"/>
    </row>
    <row r="40" spans="1:22" s="347" customFormat="1" outlineLevel="1">
      <c r="A40" s="307" t="s">
        <v>16</v>
      </c>
      <c r="B40" s="190"/>
      <c r="C40" s="233">
        <f t="shared" ref="C40:M40" si="28">C37*(1-C38)*C39</f>
        <v>0</v>
      </c>
      <c r="D40" s="235">
        <f t="shared" si="28"/>
        <v>0</v>
      </c>
      <c r="E40" s="235">
        <f t="shared" si="28"/>
        <v>194570.92619999999</v>
      </c>
      <c r="F40" s="234">
        <f t="shared" si="28"/>
        <v>271326.37700123998</v>
      </c>
      <c r="G40" s="217">
        <f t="shared" si="28"/>
        <v>276752.90454126481</v>
      </c>
      <c r="H40" s="235">
        <f t="shared" si="28"/>
        <v>282287.96263209014</v>
      </c>
      <c r="I40" s="236">
        <f t="shared" si="28"/>
        <v>287933.72188473196</v>
      </c>
      <c r="J40" s="235">
        <f t="shared" si="28"/>
        <v>293692.3963224265</v>
      </c>
      <c r="K40" s="235">
        <f t="shared" si="28"/>
        <v>299566.24424887507</v>
      </c>
      <c r="L40" s="235">
        <f t="shared" si="28"/>
        <v>305557.56913385255</v>
      </c>
      <c r="M40" s="236">
        <f t="shared" si="28"/>
        <v>311668.72051652963</v>
      </c>
      <c r="N40" s="423"/>
      <c r="O40" s="423"/>
      <c r="P40" s="423"/>
      <c r="Q40" s="423"/>
      <c r="R40" s="423"/>
      <c r="S40" s="423"/>
      <c r="T40" s="423"/>
      <c r="U40" s="423"/>
      <c r="V40" s="423"/>
    </row>
    <row r="41" spans="1:22" s="347" customFormat="1" outlineLevel="1">
      <c r="A41" s="160" t="s">
        <v>166</v>
      </c>
      <c r="B41" s="64"/>
      <c r="C41" s="139">
        <f t="shared" ref="C41:M41" si="29">C37*(1-C38)*($D$113*(1+$B35)^C$4)</f>
        <v>0</v>
      </c>
      <c r="D41" s="226">
        <f t="shared" si="29"/>
        <v>0</v>
      </c>
      <c r="E41" s="226">
        <f t="shared" si="29"/>
        <v>58371.277859999995</v>
      </c>
      <c r="F41" s="237">
        <f t="shared" si="29"/>
        <v>81397.913100371996</v>
      </c>
      <c r="G41" s="226">
        <f t="shared" si="29"/>
        <v>83025.871362379432</v>
      </c>
      <c r="H41" s="226">
        <f t="shared" si="29"/>
        <v>84686.388789627032</v>
      </c>
      <c r="I41" s="238">
        <f t="shared" si="29"/>
        <v>86380.116565419579</v>
      </c>
      <c r="J41" s="226">
        <f t="shared" si="29"/>
        <v>88107.718896727951</v>
      </c>
      <c r="K41" s="226">
        <f t="shared" si="29"/>
        <v>89869.873274662517</v>
      </c>
      <c r="L41" s="226">
        <f t="shared" si="29"/>
        <v>91667.270740155771</v>
      </c>
      <c r="M41" s="238">
        <f t="shared" si="29"/>
        <v>93500.616154958887</v>
      </c>
      <c r="N41" s="423"/>
      <c r="O41" s="423"/>
      <c r="P41" s="423"/>
      <c r="Q41" s="423"/>
      <c r="R41" s="423"/>
      <c r="S41" s="423"/>
      <c r="T41" s="423"/>
      <c r="U41" s="423"/>
      <c r="V41" s="423"/>
    </row>
    <row r="42" spans="1:22" s="347" customFormat="1" ht="13.8" outlineLevel="1" thickBot="1">
      <c r="A42" s="133" t="s">
        <v>167</v>
      </c>
      <c r="B42" s="67"/>
      <c r="C42" s="424">
        <f t="shared" ref="C42:M42" si="30">C37*($D$113*(1+$B35)^C$4)</f>
        <v>0</v>
      </c>
      <c r="D42" s="419">
        <f t="shared" si="30"/>
        <v>0</v>
      </c>
      <c r="E42" s="419">
        <f t="shared" si="30"/>
        <v>83387.539799999999</v>
      </c>
      <c r="F42" s="418">
        <f t="shared" si="30"/>
        <v>85055.290596000006</v>
      </c>
      <c r="G42" s="419">
        <f t="shared" si="30"/>
        <v>86756.396407919994</v>
      </c>
      <c r="H42" s="419">
        <f t="shared" si="30"/>
        <v>88491.524336078408</v>
      </c>
      <c r="I42" s="420">
        <f t="shared" si="30"/>
        <v>90261.354822799971</v>
      </c>
      <c r="J42" s="419">
        <f t="shared" si="30"/>
        <v>92066.581919255957</v>
      </c>
      <c r="K42" s="419">
        <f t="shared" si="30"/>
        <v>93907.913557641092</v>
      </c>
      <c r="L42" s="419">
        <f t="shared" si="30"/>
        <v>95786.071828793909</v>
      </c>
      <c r="M42" s="420">
        <f t="shared" si="30"/>
        <v>97701.793265369794</v>
      </c>
      <c r="N42" s="423"/>
      <c r="O42" s="423"/>
      <c r="P42" s="423"/>
      <c r="Q42" s="423"/>
      <c r="R42" s="423"/>
      <c r="S42" s="423"/>
      <c r="T42" s="423"/>
      <c r="U42" s="423"/>
      <c r="V42" s="423"/>
    </row>
    <row r="43" spans="1:22" ht="14.1" customHeight="1">
      <c r="A43" s="62" t="s">
        <v>450</v>
      </c>
      <c r="B43" s="64"/>
      <c r="C43" s="130"/>
      <c r="D43" s="73"/>
      <c r="E43" s="73"/>
      <c r="F43" s="63"/>
      <c r="G43" s="73"/>
      <c r="H43" s="73"/>
      <c r="I43" s="111"/>
      <c r="J43" s="73"/>
      <c r="K43" s="73"/>
      <c r="L43" s="73"/>
      <c r="M43" s="111"/>
    </row>
    <row r="44" spans="1:22" ht="14.1" customHeight="1">
      <c r="A44" s="160" t="s">
        <v>10</v>
      </c>
      <c r="B44" s="122">
        <v>0.02</v>
      </c>
      <c r="C44" s="129"/>
      <c r="D44" s="106"/>
      <c r="E44" s="106"/>
      <c r="F44" s="132"/>
      <c r="G44" s="106"/>
      <c r="H44" s="106"/>
      <c r="I44" s="110"/>
      <c r="J44" s="106"/>
      <c r="K44" s="106"/>
      <c r="L44" s="106"/>
      <c r="M44" s="110"/>
    </row>
    <row r="45" spans="1:22" ht="14.1" customHeight="1">
      <c r="A45" s="160" t="s">
        <v>110</v>
      </c>
      <c r="B45" s="64"/>
      <c r="C45" s="362">
        <v>0</v>
      </c>
      <c r="D45" s="171">
        <f>C45</f>
        <v>0</v>
      </c>
      <c r="E45" s="171">
        <f>D45</f>
        <v>0</v>
      </c>
      <c r="F45" s="198">
        <f>D45</f>
        <v>0</v>
      </c>
      <c r="G45" s="171">
        <f>C107</f>
        <v>20800</v>
      </c>
      <c r="H45" s="171">
        <f>G45</f>
        <v>20800</v>
      </c>
      <c r="I45" s="176">
        <f t="shared" ref="I45:M45" si="31">H45</f>
        <v>20800</v>
      </c>
      <c r="J45" s="171">
        <f t="shared" si="31"/>
        <v>20800</v>
      </c>
      <c r="K45" s="171">
        <f t="shared" si="31"/>
        <v>20800</v>
      </c>
      <c r="L45" s="171">
        <f t="shared" si="31"/>
        <v>20800</v>
      </c>
      <c r="M45" s="176">
        <f t="shared" si="31"/>
        <v>20800</v>
      </c>
    </row>
    <row r="46" spans="1:22" ht="14.1" customHeight="1">
      <c r="A46" s="160" t="s">
        <v>39</v>
      </c>
      <c r="B46" s="122">
        <v>0.9</v>
      </c>
      <c r="C46" s="363">
        <f>C45*$B$46</f>
        <v>0</v>
      </c>
      <c r="D46" s="171">
        <f t="shared" ref="D46:M46" si="32">D45*$B$46</f>
        <v>0</v>
      </c>
      <c r="E46" s="171">
        <f t="shared" si="32"/>
        <v>0</v>
      </c>
      <c r="F46" s="198">
        <f t="shared" si="32"/>
        <v>0</v>
      </c>
      <c r="G46" s="171">
        <f t="shared" si="32"/>
        <v>18720</v>
      </c>
      <c r="H46" s="171">
        <f t="shared" si="32"/>
        <v>18720</v>
      </c>
      <c r="I46" s="176">
        <f t="shared" si="32"/>
        <v>18720</v>
      </c>
      <c r="J46" s="171">
        <f t="shared" si="32"/>
        <v>18720</v>
      </c>
      <c r="K46" s="171">
        <f t="shared" si="32"/>
        <v>18720</v>
      </c>
      <c r="L46" s="171">
        <f t="shared" si="32"/>
        <v>18720</v>
      </c>
      <c r="M46" s="176">
        <f t="shared" si="32"/>
        <v>18720</v>
      </c>
    </row>
    <row r="47" spans="1:22" ht="14.1" customHeight="1">
      <c r="A47" s="160" t="s">
        <v>44</v>
      </c>
      <c r="B47" s="105"/>
      <c r="C47" s="364">
        <v>1</v>
      </c>
      <c r="D47" s="108">
        <f>C47</f>
        <v>1</v>
      </c>
      <c r="E47" s="108">
        <f>D47</f>
        <v>1</v>
      </c>
      <c r="F47" s="255">
        <f>E47</f>
        <v>1</v>
      </c>
      <c r="G47" s="122">
        <v>0.3</v>
      </c>
      <c r="H47" s="122">
        <v>4.2999999999999997E-2</v>
      </c>
      <c r="I47" s="206">
        <v>4.2999999999999997E-2</v>
      </c>
      <c r="J47" s="108">
        <f t="shared" ref="J47:M47" si="33">I47</f>
        <v>4.2999999999999997E-2</v>
      </c>
      <c r="K47" s="108">
        <f t="shared" si="33"/>
        <v>4.2999999999999997E-2</v>
      </c>
      <c r="L47" s="108">
        <f t="shared" si="33"/>
        <v>4.2999999999999997E-2</v>
      </c>
      <c r="M47" s="206">
        <f t="shared" si="33"/>
        <v>4.2999999999999997E-2</v>
      </c>
    </row>
    <row r="48" spans="1:22" ht="13.8" thickBot="1">
      <c r="A48" s="133" t="s">
        <v>111</v>
      </c>
      <c r="B48" s="67"/>
      <c r="C48" s="756">
        <f>'Summary Board'!K111</f>
        <v>15</v>
      </c>
      <c r="D48" s="273">
        <f t="shared" ref="D48:M48" si="34">$C$48*(1+$B$44)^D$4</f>
        <v>15.3</v>
      </c>
      <c r="E48" s="273">
        <f t="shared" si="34"/>
        <v>15.606</v>
      </c>
      <c r="F48" s="285">
        <f t="shared" si="34"/>
        <v>15.918119999999998</v>
      </c>
      <c r="G48" s="273">
        <f t="shared" si="34"/>
        <v>16.2364824</v>
      </c>
      <c r="H48" s="273">
        <f t="shared" si="34"/>
        <v>16.561212048000002</v>
      </c>
      <c r="I48" s="274">
        <f t="shared" si="34"/>
        <v>16.892436288960003</v>
      </c>
      <c r="J48" s="273">
        <f t="shared" si="34"/>
        <v>17.230285014739199</v>
      </c>
      <c r="K48" s="273">
        <f t="shared" si="34"/>
        <v>17.574890715033984</v>
      </c>
      <c r="L48" s="273">
        <f t="shared" si="34"/>
        <v>17.926388529334663</v>
      </c>
      <c r="M48" s="274">
        <f t="shared" si="34"/>
        <v>18.284916299921356</v>
      </c>
      <c r="N48" s="372"/>
      <c r="O48" s="372"/>
      <c r="P48" s="372"/>
      <c r="Q48" s="372"/>
      <c r="R48" s="372"/>
      <c r="S48" s="372"/>
      <c r="T48" s="372"/>
      <c r="U48" s="372"/>
      <c r="V48" s="372"/>
    </row>
    <row r="49" spans="1:22" s="347" customFormat="1" outlineLevel="1">
      <c r="A49" s="307" t="s">
        <v>16</v>
      </c>
      <c r="B49" s="190"/>
      <c r="C49" s="233">
        <f>C46*(1-C47)*C48</f>
        <v>0</v>
      </c>
      <c r="D49" s="235">
        <f t="shared" ref="D49:M49" si="35">D46*(1-D47)*D48</f>
        <v>0</v>
      </c>
      <c r="E49" s="235">
        <f t="shared" si="35"/>
        <v>0</v>
      </c>
      <c r="F49" s="234">
        <f t="shared" si="35"/>
        <v>0</v>
      </c>
      <c r="G49" s="217">
        <f t="shared" si="35"/>
        <v>212762.86536960001</v>
      </c>
      <c r="H49" s="235">
        <f t="shared" si="35"/>
        <v>296694.77628840198</v>
      </c>
      <c r="I49" s="236">
        <f t="shared" si="35"/>
        <v>302628.67181417003</v>
      </c>
      <c r="J49" s="235">
        <f t="shared" si="35"/>
        <v>308681.24525045336</v>
      </c>
      <c r="K49" s="235">
        <f t="shared" si="35"/>
        <v>314854.87015546241</v>
      </c>
      <c r="L49" s="235">
        <f t="shared" si="35"/>
        <v>321151.96755857166</v>
      </c>
      <c r="M49" s="236">
        <f t="shared" si="35"/>
        <v>327575.00690974313</v>
      </c>
      <c r="N49" s="423"/>
      <c r="O49" s="423"/>
      <c r="P49" s="423"/>
      <c r="Q49" s="423"/>
      <c r="R49" s="423"/>
      <c r="S49" s="423"/>
      <c r="T49" s="423"/>
      <c r="U49" s="423"/>
      <c r="V49" s="423"/>
    </row>
    <row r="50" spans="1:22" s="347" customFormat="1" outlineLevel="1">
      <c r="A50" s="160" t="s">
        <v>166</v>
      </c>
      <c r="B50" s="64"/>
      <c r="C50" s="139">
        <f t="shared" ref="C50:M50" si="36">C46*(1-C47)*($D$113*(1+$B44)^C$4)</f>
        <v>0</v>
      </c>
      <c r="D50" s="226">
        <f t="shared" si="36"/>
        <v>0</v>
      </c>
      <c r="E50" s="226">
        <f t="shared" si="36"/>
        <v>0</v>
      </c>
      <c r="F50" s="237">
        <f t="shared" si="36"/>
        <v>0</v>
      </c>
      <c r="G50" s="226">
        <f t="shared" si="36"/>
        <v>63828.859610879997</v>
      </c>
      <c r="H50" s="226">
        <f t="shared" si="36"/>
        <v>89008.43288652059</v>
      </c>
      <c r="I50" s="238">
        <f t="shared" si="36"/>
        <v>90788.601544250996</v>
      </c>
      <c r="J50" s="226">
        <f t="shared" si="36"/>
        <v>92604.373575136007</v>
      </c>
      <c r="K50" s="226">
        <f t="shared" si="36"/>
        <v>94456.461046638738</v>
      </c>
      <c r="L50" s="226">
        <f t="shared" si="36"/>
        <v>96345.590267571504</v>
      </c>
      <c r="M50" s="238">
        <f t="shared" si="36"/>
        <v>98272.502072922944</v>
      </c>
      <c r="N50" s="423"/>
      <c r="O50" s="423"/>
      <c r="P50" s="423"/>
      <c r="Q50" s="423"/>
      <c r="R50" s="423"/>
      <c r="S50" s="423"/>
      <c r="T50" s="423"/>
      <c r="U50" s="423"/>
      <c r="V50" s="423"/>
    </row>
    <row r="51" spans="1:22" s="347" customFormat="1" ht="13.8" outlineLevel="1" thickBot="1">
      <c r="A51" s="133" t="s">
        <v>167</v>
      </c>
      <c r="B51" s="67"/>
      <c r="C51" s="424">
        <f t="shared" ref="C51:M51" si="37">C46*($D$113*(1+$B44)^C$4)</f>
        <v>0</v>
      </c>
      <c r="D51" s="419">
        <f t="shared" si="37"/>
        <v>0</v>
      </c>
      <c r="E51" s="419">
        <f t="shared" si="37"/>
        <v>0</v>
      </c>
      <c r="F51" s="418">
        <f t="shared" si="37"/>
        <v>0</v>
      </c>
      <c r="G51" s="419">
        <f t="shared" si="37"/>
        <v>91184.08515839999</v>
      </c>
      <c r="H51" s="419">
        <f t="shared" si="37"/>
        <v>93007.766861568001</v>
      </c>
      <c r="I51" s="420">
        <f t="shared" si="37"/>
        <v>94867.922198799366</v>
      </c>
      <c r="J51" s="419">
        <f t="shared" si="37"/>
        <v>96765.280642775338</v>
      </c>
      <c r="K51" s="419">
        <f t="shared" si="37"/>
        <v>98700.586255630857</v>
      </c>
      <c r="L51" s="419">
        <f t="shared" si="37"/>
        <v>100674.59798074346</v>
      </c>
      <c r="M51" s="420">
        <f t="shared" si="37"/>
        <v>102688.08994035835</v>
      </c>
      <c r="N51" s="423"/>
      <c r="O51" s="423"/>
      <c r="P51" s="423"/>
      <c r="Q51" s="423"/>
      <c r="R51" s="423"/>
      <c r="S51" s="423"/>
      <c r="T51" s="423"/>
      <c r="U51" s="423"/>
      <c r="V51" s="423"/>
    </row>
    <row r="52" spans="1:22" ht="14.1" customHeight="1">
      <c r="A52" s="62" t="s">
        <v>449</v>
      </c>
      <c r="B52" s="64"/>
      <c r="C52" s="130"/>
      <c r="D52" s="73"/>
      <c r="E52" s="73"/>
      <c r="F52" s="63"/>
      <c r="G52" s="73"/>
      <c r="H52" s="73"/>
      <c r="I52" s="73"/>
      <c r="J52" s="123"/>
      <c r="K52" s="302"/>
      <c r="L52" s="302"/>
      <c r="M52" s="303"/>
    </row>
    <row r="53" spans="1:22" ht="14.1" customHeight="1">
      <c r="A53" s="160" t="s">
        <v>10</v>
      </c>
      <c r="B53" s="122">
        <v>0.02</v>
      </c>
      <c r="C53" s="129"/>
      <c r="D53" s="106"/>
      <c r="E53" s="106"/>
      <c r="F53" s="132"/>
      <c r="G53" s="106"/>
      <c r="H53" s="106"/>
      <c r="I53" s="106"/>
      <c r="J53" s="132"/>
      <c r="K53" s="106"/>
      <c r="L53" s="106"/>
      <c r="M53" s="110"/>
    </row>
    <row r="54" spans="1:22" ht="14.1" customHeight="1">
      <c r="A54" s="160" t="s">
        <v>110</v>
      </c>
      <c r="B54" s="64"/>
      <c r="C54" s="362">
        <v>0</v>
      </c>
      <c r="D54" s="171">
        <f>C54</f>
        <v>0</v>
      </c>
      <c r="E54" s="171">
        <f>D54</f>
        <v>0</v>
      </c>
      <c r="F54" s="198">
        <f>C108</f>
        <v>70400</v>
      </c>
      <c r="G54" s="171">
        <f>F54</f>
        <v>70400</v>
      </c>
      <c r="H54" s="171">
        <f t="shared" ref="H54:M54" si="38">G54</f>
        <v>70400</v>
      </c>
      <c r="I54" s="171">
        <f t="shared" si="38"/>
        <v>70400</v>
      </c>
      <c r="J54" s="198">
        <f t="shared" si="38"/>
        <v>70400</v>
      </c>
      <c r="K54" s="171">
        <f t="shared" si="38"/>
        <v>70400</v>
      </c>
      <c r="L54" s="171">
        <f t="shared" si="38"/>
        <v>70400</v>
      </c>
      <c r="M54" s="176">
        <f t="shared" si="38"/>
        <v>70400</v>
      </c>
    </row>
    <row r="55" spans="1:22" ht="14.1" customHeight="1">
      <c r="A55" s="160" t="s">
        <v>39</v>
      </c>
      <c r="B55" s="122">
        <v>0.9</v>
      </c>
      <c r="C55" s="363">
        <f>C54*$B$46</f>
        <v>0</v>
      </c>
      <c r="D55" s="171">
        <f t="shared" ref="D55:M55" si="39">D54*$B$46</f>
        <v>0</v>
      </c>
      <c r="E55" s="171">
        <f t="shared" si="39"/>
        <v>0</v>
      </c>
      <c r="F55" s="198">
        <f t="shared" si="39"/>
        <v>63360</v>
      </c>
      <c r="G55" s="171">
        <f t="shared" si="39"/>
        <v>63360</v>
      </c>
      <c r="H55" s="171">
        <f t="shared" si="39"/>
        <v>63360</v>
      </c>
      <c r="I55" s="171">
        <f t="shared" si="39"/>
        <v>63360</v>
      </c>
      <c r="J55" s="198">
        <f t="shared" si="39"/>
        <v>63360</v>
      </c>
      <c r="K55" s="171">
        <f t="shared" si="39"/>
        <v>63360</v>
      </c>
      <c r="L55" s="171">
        <f t="shared" si="39"/>
        <v>63360</v>
      </c>
      <c r="M55" s="176">
        <f t="shared" si="39"/>
        <v>63360</v>
      </c>
    </row>
    <row r="56" spans="1:22" ht="13.8" customHeight="1">
      <c r="A56" s="160" t="s">
        <v>44</v>
      </c>
      <c r="B56" s="105"/>
      <c r="C56" s="364">
        <v>1</v>
      </c>
      <c r="D56" s="108">
        <f>C56</f>
        <v>1</v>
      </c>
      <c r="E56" s="108">
        <f>D56</f>
        <v>1</v>
      </c>
      <c r="F56" s="205">
        <v>0.3</v>
      </c>
      <c r="G56" s="122">
        <v>4.2999999999999997E-2</v>
      </c>
      <c r="H56" s="108">
        <v>4.2999999999999997E-2</v>
      </c>
      <c r="I56" s="108">
        <v>4.2999999999999997E-2</v>
      </c>
      <c r="J56" s="255">
        <v>4.2999999999999997E-2</v>
      </c>
      <c r="K56" s="108">
        <v>4.2999999999999997E-2</v>
      </c>
      <c r="L56" s="108">
        <v>4.2999999999999997E-2</v>
      </c>
      <c r="M56" s="206">
        <v>4.2999999999999997E-2</v>
      </c>
    </row>
    <row r="57" spans="1:22" ht="13.8" customHeight="1" thickBot="1">
      <c r="A57" s="133" t="s">
        <v>111</v>
      </c>
      <c r="B57" s="67"/>
      <c r="C57" s="756">
        <f>'Summary Board'!K112</f>
        <v>25</v>
      </c>
      <c r="D57" s="273">
        <f t="shared" ref="D57:M57" si="40">$C$57*(1+$B$44)^D$4</f>
        <v>25.5</v>
      </c>
      <c r="E57" s="273">
        <f t="shared" si="40"/>
        <v>26.009999999999998</v>
      </c>
      <c r="F57" s="285">
        <f t="shared" si="40"/>
        <v>26.530199999999997</v>
      </c>
      <c r="G57" s="273">
        <f t="shared" si="40"/>
        <v>27.060804000000001</v>
      </c>
      <c r="H57" s="273">
        <f t="shared" si="40"/>
        <v>27.602020079999999</v>
      </c>
      <c r="I57" s="273">
        <f t="shared" si="40"/>
        <v>28.154060481600002</v>
      </c>
      <c r="J57" s="285">
        <f t="shared" si="40"/>
        <v>28.717141691231994</v>
      </c>
      <c r="K57" s="273">
        <f t="shared" si="40"/>
        <v>29.291484525056639</v>
      </c>
      <c r="L57" s="273">
        <f t="shared" si="40"/>
        <v>29.877314215557771</v>
      </c>
      <c r="M57" s="274">
        <f t="shared" si="40"/>
        <v>30.474860499868928</v>
      </c>
      <c r="N57" s="372"/>
      <c r="O57" s="372"/>
      <c r="P57" s="372"/>
      <c r="Q57" s="372"/>
      <c r="R57" s="372"/>
      <c r="S57" s="372"/>
      <c r="T57" s="372"/>
      <c r="U57" s="372"/>
      <c r="V57" s="372"/>
    </row>
    <row r="58" spans="1:22" s="347" customFormat="1" outlineLevel="1">
      <c r="A58" s="307" t="s">
        <v>16</v>
      </c>
      <c r="B58" s="190"/>
      <c r="C58" s="233">
        <f>C55*(1-C56)*C57</f>
        <v>0</v>
      </c>
      <c r="D58" s="235">
        <f t="shared" ref="D58:M58" si="41">D55*(1-D56)*D57</f>
        <v>0</v>
      </c>
      <c r="E58" s="235">
        <f t="shared" si="41"/>
        <v>0</v>
      </c>
      <c r="F58" s="234">
        <f t="shared" si="41"/>
        <v>1176667.4304</v>
      </c>
      <c r="G58" s="217">
        <f t="shared" si="41"/>
        <v>1640845.9221580799</v>
      </c>
      <c r="H58" s="235">
        <f t="shared" si="41"/>
        <v>1673662.8406012414</v>
      </c>
      <c r="I58" s="236">
        <f t="shared" si="41"/>
        <v>1707136.0974132665</v>
      </c>
      <c r="J58" s="235">
        <f t="shared" si="41"/>
        <v>1741278.8193615314</v>
      </c>
      <c r="K58" s="235">
        <f t="shared" si="41"/>
        <v>1776104.3957487622</v>
      </c>
      <c r="L58" s="235">
        <f t="shared" si="41"/>
        <v>1811626.4836637375</v>
      </c>
      <c r="M58" s="236">
        <f t="shared" si="41"/>
        <v>1847859.0133370124</v>
      </c>
      <c r="N58" s="423"/>
      <c r="O58" s="423"/>
      <c r="P58" s="423"/>
      <c r="Q58" s="423"/>
      <c r="R58" s="423"/>
      <c r="S58" s="423"/>
      <c r="T58" s="423"/>
      <c r="U58" s="423"/>
      <c r="V58" s="423"/>
    </row>
    <row r="59" spans="1:22" s="347" customFormat="1" outlineLevel="1">
      <c r="A59" s="160" t="s">
        <v>166</v>
      </c>
      <c r="B59" s="64"/>
      <c r="C59" s="139">
        <f t="shared" ref="C59:M59" si="42">C55*(1-C56)*($D$113*(1+$B53)^C$4)</f>
        <v>0</v>
      </c>
      <c r="D59" s="226">
        <f t="shared" si="42"/>
        <v>0</v>
      </c>
      <c r="E59" s="226">
        <f t="shared" si="42"/>
        <v>0</v>
      </c>
      <c r="F59" s="237">
        <f t="shared" si="42"/>
        <v>211800.137472</v>
      </c>
      <c r="G59" s="226">
        <f t="shared" si="42"/>
        <v>295352.2659884544</v>
      </c>
      <c r="H59" s="226">
        <f t="shared" si="42"/>
        <v>301259.31130822346</v>
      </c>
      <c r="I59" s="238">
        <f t="shared" si="42"/>
        <v>307284.49753438798</v>
      </c>
      <c r="J59" s="226">
        <f t="shared" si="42"/>
        <v>313430.18748507567</v>
      </c>
      <c r="K59" s="226">
        <f t="shared" si="42"/>
        <v>319698.79123477719</v>
      </c>
      <c r="L59" s="226">
        <f t="shared" si="42"/>
        <v>326092.76705947274</v>
      </c>
      <c r="M59" s="238">
        <f t="shared" si="42"/>
        <v>332614.62240066222</v>
      </c>
      <c r="N59" s="423"/>
      <c r="O59" s="423"/>
      <c r="P59" s="423"/>
      <c r="Q59" s="423"/>
      <c r="R59" s="423"/>
      <c r="S59" s="423"/>
      <c r="T59" s="423"/>
      <c r="U59" s="423"/>
      <c r="V59" s="423"/>
    </row>
    <row r="60" spans="1:22" s="347" customFormat="1" ht="13.8" outlineLevel="1" thickBot="1">
      <c r="A60" s="133" t="s">
        <v>167</v>
      </c>
      <c r="B60" s="67"/>
      <c r="C60" s="424">
        <f t="shared" ref="C60:M60" si="43">C55*($D$113*(1+$B53)^C$4)</f>
        <v>0</v>
      </c>
      <c r="D60" s="419">
        <f t="shared" si="43"/>
        <v>0</v>
      </c>
      <c r="E60" s="419">
        <f t="shared" si="43"/>
        <v>0</v>
      </c>
      <c r="F60" s="418">
        <f t="shared" si="43"/>
        <v>302571.62495999999</v>
      </c>
      <c r="G60" s="419">
        <f t="shared" si="43"/>
        <v>308623.05745919998</v>
      </c>
      <c r="H60" s="419">
        <f t="shared" si="43"/>
        <v>314795.51860838401</v>
      </c>
      <c r="I60" s="420">
        <f t="shared" si="43"/>
        <v>321091.42898055172</v>
      </c>
      <c r="J60" s="419">
        <f t="shared" si="43"/>
        <v>327513.25756016269</v>
      </c>
      <c r="K60" s="419">
        <f t="shared" si="43"/>
        <v>334063.52271136595</v>
      </c>
      <c r="L60" s="419">
        <f t="shared" si="43"/>
        <v>340744.79316559329</v>
      </c>
      <c r="M60" s="420">
        <f t="shared" si="43"/>
        <v>347559.68902890518</v>
      </c>
      <c r="N60" s="423"/>
      <c r="O60" s="423"/>
      <c r="P60" s="423"/>
      <c r="Q60" s="423"/>
      <c r="R60" s="423"/>
      <c r="S60" s="423"/>
      <c r="T60" s="423"/>
      <c r="U60" s="423"/>
      <c r="V60" s="423"/>
    </row>
    <row r="61" spans="1:22" ht="14.1" customHeight="1">
      <c r="A61" s="62" t="s">
        <v>443</v>
      </c>
      <c r="B61" s="64"/>
      <c r="C61" s="130"/>
      <c r="D61" s="73"/>
      <c r="E61" s="73"/>
      <c r="F61" s="63"/>
      <c r="G61" s="73"/>
      <c r="H61" s="73"/>
      <c r="I61" s="73"/>
      <c r="J61" s="123"/>
      <c r="K61" s="302"/>
      <c r="L61" s="302"/>
      <c r="M61" s="303"/>
    </row>
    <row r="62" spans="1:22" ht="14.1" customHeight="1">
      <c r="A62" s="160" t="s">
        <v>10</v>
      </c>
      <c r="B62" s="122">
        <v>0.02</v>
      </c>
      <c r="C62" s="129"/>
      <c r="D62" s="106"/>
      <c r="E62" s="106"/>
      <c r="F62" s="132"/>
      <c r="G62" s="106"/>
      <c r="H62" s="106"/>
      <c r="I62" s="106"/>
      <c r="J62" s="132"/>
      <c r="K62" s="106"/>
      <c r="L62" s="106"/>
      <c r="M62" s="110"/>
    </row>
    <row r="63" spans="1:22" ht="14.1" customHeight="1">
      <c r="A63" s="160" t="s">
        <v>110</v>
      </c>
      <c r="B63" s="64"/>
      <c r="C63" s="362">
        <v>0</v>
      </c>
      <c r="D63" s="171">
        <f>C63</f>
        <v>0</v>
      </c>
      <c r="E63" s="171">
        <f>D63</f>
        <v>0</v>
      </c>
      <c r="F63" s="198">
        <f>E63</f>
        <v>0</v>
      </c>
      <c r="G63" s="171">
        <f>C109</f>
        <v>41855</v>
      </c>
      <c r="H63" s="171">
        <f t="shared" ref="H63" si="44">G63</f>
        <v>41855</v>
      </c>
      <c r="I63" s="171">
        <f t="shared" ref="I63" si="45">H63</f>
        <v>41855</v>
      </c>
      <c r="J63" s="198">
        <f t="shared" ref="J63" si="46">I63</f>
        <v>41855</v>
      </c>
      <c r="K63" s="171">
        <f t="shared" ref="K63" si="47">J63</f>
        <v>41855</v>
      </c>
      <c r="L63" s="171">
        <f t="shared" ref="L63" si="48">K63</f>
        <v>41855</v>
      </c>
      <c r="M63" s="176">
        <f t="shared" ref="M63" si="49">L63</f>
        <v>41855</v>
      </c>
    </row>
    <row r="64" spans="1:22" ht="14.1" customHeight="1">
      <c r="A64" s="160" t="s">
        <v>39</v>
      </c>
      <c r="B64" s="122">
        <v>0.9</v>
      </c>
      <c r="C64" s="363">
        <f>C63*$B$64</f>
        <v>0</v>
      </c>
      <c r="D64" s="171">
        <f t="shared" ref="D64:M64" si="50">D63*$B$64</f>
        <v>0</v>
      </c>
      <c r="E64" s="171">
        <f t="shared" si="50"/>
        <v>0</v>
      </c>
      <c r="F64" s="198">
        <f t="shared" si="50"/>
        <v>0</v>
      </c>
      <c r="G64" s="171">
        <f t="shared" si="50"/>
        <v>37669.5</v>
      </c>
      <c r="H64" s="171">
        <f t="shared" si="50"/>
        <v>37669.5</v>
      </c>
      <c r="I64" s="171">
        <f t="shared" si="50"/>
        <v>37669.5</v>
      </c>
      <c r="J64" s="198">
        <f t="shared" si="50"/>
        <v>37669.5</v>
      </c>
      <c r="K64" s="171">
        <f t="shared" si="50"/>
        <v>37669.5</v>
      </c>
      <c r="L64" s="171">
        <f t="shared" si="50"/>
        <v>37669.5</v>
      </c>
      <c r="M64" s="176">
        <f t="shared" si="50"/>
        <v>37669.5</v>
      </c>
    </row>
    <row r="65" spans="1:22" ht="14.1" customHeight="1">
      <c r="A65" s="160" t="s">
        <v>44</v>
      </c>
      <c r="B65" s="105"/>
      <c r="C65" s="364">
        <v>1</v>
      </c>
      <c r="D65" s="108">
        <f>C65</f>
        <v>1</v>
      </c>
      <c r="E65" s="108">
        <f>D65</f>
        <v>1</v>
      </c>
      <c r="F65" s="255">
        <f>E65</f>
        <v>1</v>
      </c>
      <c r="G65" s="122">
        <v>0.3</v>
      </c>
      <c r="H65" s="122">
        <v>4.2999999999999997E-2</v>
      </c>
      <c r="I65" s="108">
        <v>4.2999999999999997E-2</v>
      </c>
      <c r="J65" s="255">
        <v>4.2999999999999997E-2</v>
      </c>
      <c r="K65" s="108">
        <f t="shared" ref="K65:M65" si="51">J65</f>
        <v>4.2999999999999997E-2</v>
      </c>
      <c r="L65" s="108">
        <f t="shared" si="51"/>
        <v>4.2999999999999997E-2</v>
      </c>
      <c r="M65" s="206">
        <f t="shared" si="51"/>
        <v>4.2999999999999997E-2</v>
      </c>
    </row>
    <row r="66" spans="1:22" ht="13.8" thickBot="1">
      <c r="A66" s="133" t="s">
        <v>111</v>
      </c>
      <c r="B66" s="67"/>
      <c r="C66" s="756">
        <f>C48</f>
        <v>15</v>
      </c>
      <c r="D66" s="273">
        <f t="shared" ref="D66:M66" si="52">$C$66*(1+$B$62)^D$4</f>
        <v>15.3</v>
      </c>
      <c r="E66" s="273">
        <f t="shared" si="52"/>
        <v>15.606</v>
      </c>
      <c r="F66" s="285">
        <f t="shared" si="52"/>
        <v>15.918119999999998</v>
      </c>
      <c r="G66" s="273">
        <f t="shared" si="52"/>
        <v>16.2364824</v>
      </c>
      <c r="H66" s="273">
        <f t="shared" si="52"/>
        <v>16.561212048000002</v>
      </c>
      <c r="I66" s="273">
        <f t="shared" si="52"/>
        <v>16.892436288960003</v>
      </c>
      <c r="J66" s="285">
        <f t="shared" si="52"/>
        <v>17.230285014739199</v>
      </c>
      <c r="K66" s="273">
        <f t="shared" si="52"/>
        <v>17.574890715033984</v>
      </c>
      <c r="L66" s="273">
        <f t="shared" si="52"/>
        <v>17.926388529334663</v>
      </c>
      <c r="M66" s="274">
        <f t="shared" si="52"/>
        <v>18.284916299921356</v>
      </c>
      <c r="N66" s="372"/>
      <c r="O66" s="372"/>
      <c r="P66" s="372"/>
      <c r="Q66" s="372"/>
      <c r="R66" s="372"/>
      <c r="S66" s="372"/>
      <c r="T66" s="372"/>
      <c r="U66" s="372"/>
      <c r="V66" s="372"/>
    </row>
    <row r="67" spans="1:22" s="347" customFormat="1" outlineLevel="1">
      <c r="A67" s="307" t="s">
        <v>16</v>
      </c>
      <c r="B67" s="190"/>
      <c r="C67" s="233">
        <f t="shared" ref="C67:M67" si="53">C64*(1-C65)*C66</f>
        <v>0</v>
      </c>
      <c r="D67" s="235">
        <f t="shared" si="53"/>
        <v>0</v>
      </c>
      <c r="E67" s="235">
        <f t="shared" si="53"/>
        <v>0</v>
      </c>
      <c r="F67" s="234">
        <f t="shared" si="53"/>
        <v>0</v>
      </c>
      <c r="G67" s="217">
        <f t="shared" si="53"/>
        <v>428134.12163675996</v>
      </c>
      <c r="H67" s="235">
        <f t="shared" si="53"/>
        <v>597026.91642072413</v>
      </c>
      <c r="I67" s="236">
        <f t="shared" si="53"/>
        <v>608967.45474913868</v>
      </c>
      <c r="J67" s="235">
        <f t="shared" si="53"/>
        <v>621146.80384412128</v>
      </c>
      <c r="K67" s="235">
        <f t="shared" si="53"/>
        <v>633569.73992100381</v>
      </c>
      <c r="L67" s="235">
        <f t="shared" si="53"/>
        <v>646241.13471942383</v>
      </c>
      <c r="M67" s="236">
        <f t="shared" si="53"/>
        <v>659165.95741381228</v>
      </c>
      <c r="N67" s="423"/>
      <c r="O67" s="423"/>
      <c r="P67" s="423"/>
      <c r="Q67" s="423"/>
      <c r="R67" s="423"/>
      <c r="S67" s="423"/>
      <c r="T67" s="423"/>
      <c r="U67" s="423"/>
      <c r="V67" s="423"/>
    </row>
    <row r="68" spans="1:22" s="347" customFormat="1" outlineLevel="1">
      <c r="A68" s="160" t="s">
        <v>166</v>
      </c>
      <c r="B68" s="64"/>
      <c r="C68" s="139">
        <f t="shared" ref="C68:M68" si="54">C64*(1-C65)*($D$113*(1+$B62)^C$4)</f>
        <v>0</v>
      </c>
      <c r="D68" s="226">
        <f t="shared" si="54"/>
        <v>0</v>
      </c>
      <c r="E68" s="226">
        <f t="shared" si="54"/>
        <v>0</v>
      </c>
      <c r="F68" s="237">
        <f t="shared" si="54"/>
        <v>0</v>
      </c>
      <c r="G68" s="226">
        <f t="shared" si="54"/>
        <v>128440.23649102799</v>
      </c>
      <c r="H68" s="226">
        <f t="shared" si="54"/>
        <v>179108.07492621723</v>
      </c>
      <c r="I68" s="238">
        <f t="shared" si="54"/>
        <v>182690.2364247416</v>
      </c>
      <c r="J68" s="226">
        <f t="shared" si="54"/>
        <v>186344.04115323638</v>
      </c>
      <c r="K68" s="226">
        <f t="shared" si="54"/>
        <v>190070.92197630115</v>
      </c>
      <c r="L68" s="226">
        <f t="shared" si="54"/>
        <v>193872.34041582714</v>
      </c>
      <c r="M68" s="238">
        <f t="shared" si="54"/>
        <v>197749.78722414371</v>
      </c>
      <c r="N68" s="423"/>
      <c r="O68" s="423"/>
      <c r="P68" s="423"/>
      <c r="Q68" s="423"/>
      <c r="R68" s="423"/>
      <c r="S68" s="423"/>
      <c r="T68" s="423"/>
      <c r="U68" s="423"/>
      <c r="V68" s="423"/>
    </row>
    <row r="69" spans="1:22" s="347" customFormat="1" ht="13.8" outlineLevel="1" thickBot="1">
      <c r="A69" s="133" t="s">
        <v>167</v>
      </c>
      <c r="B69" s="67"/>
      <c r="C69" s="424">
        <f t="shared" ref="C69:M69" si="55">C64*($D$113*(1+$B62)^C$4)</f>
        <v>0</v>
      </c>
      <c r="D69" s="419">
        <f t="shared" si="55"/>
        <v>0</v>
      </c>
      <c r="E69" s="419">
        <f t="shared" si="55"/>
        <v>0</v>
      </c>
      <c r="F69" s="418">
        <f t="shared" si="55"/>
        <v>0</v>
      </c>
      <c r="G69" s="419">
        <f t="shared" si="55"/>
        <v>183486.05213003999</v>
      </c>
      <c r="H69" s="419">
        <f t="shared" si="55"/>
        <v>187155.77317264082</v>
      </c>
      <c r="I69" s="420">
        <f t="shared" si="55"/>
        <v>190898.88863609364</v>
      </c>
      <c r="J69" s="419">
        <f t="shared" si="55"/>
        <v>194716.86640881546</v>
      </c>
      <c r="K69" s="419">
        <f t="shared" si="55"/>
        <v>198611.2037369918</v>
      </c>
      <c r="L69" s="419">
        <f t="shared" si="55"/>
        <v>202583.42781173161</v>
      </c>
      <c r="M69" s="420">
        <f t="shared" si="55"/>
        <v>206635.09636796627</v>
      </c>
      <c r="N69" s="423"/>
      <c r="O69" s="423"/>
      <c r="P69" s="423"/>
      <c r="Q69" s="423"/>
      <c r="R69" s="423"/>
      <c r="S69" s="423"/>
      <c r="T69" s="423"/>
      <c r="U69" s="423"/>
      <c r="V69" s="423"/>
    </row>
    <row r="70" spans="1:22" ht="14.1" customHeight="1">
      <c r="A70" s="62" t="s">
        <v>444</v>
      </c>
      <c r="B70" s="64"/>
      <c r="C70" s="130"/>
      <c r="D70" s="73"/>
      <c r="E70" s="73"/>
      <c r="F70" s="63"/>
      <c r="G70" s="73"/>
      <c r="H70" s="73"/>
      <c r="I70" s="111"/>
      <c r="J70" s="73"/>
      <c r="K70" s="73"/>
      <c r="L70" s="73"/>
      <c r="M70" s="111"/>
    </row>
    <row r="71" spans="1:22" ht="14.1" customHeight="1">
      <c r="A71" s="160" t="s">
        <v>10</v>
      </c>
      <c r="B71" s="122">
        <v>0.02</v>
      </c>
      <c r="C71" s="129"/>
      <c r="D71" s="106"/>
      <c r="E71" s="106"/>
      <c r="F71" s="132"/>
      <c r="G71" s="106"/>
      <c r="H71" s="106"/>
      <c r="I71" s="110"/>
      <c r="J71" s="106"/>
      <c r="K71" s="106"/>
      <c r="L71" s="106"/>
      <c r="M71" s="110"/>
    </row>
    <row r="72" spans="1:22" ht="14.1" customHeight="1">
      <c r="A72" s="160" t="s">
        <v>110</v>
      </c>
      <c r="B72" s="64"/>
      <c r="C72" s="362">
        <v>0</v>
      </c>
      <c r="D72" s="171">
        <f>C72</f>
        <v>0</v>
      </c>
      <c r="E72" s="171">
        <f>D72</f>
        <v>0</v>
      </c>
      <c r="F72" s="198">
        <f>E72</f>
        <v>0</v>
      </c>
      <c r="G72" s="171">
        <f t="shared" ref="G72:I72" si="56">F72</f>
        <v>0</v>
      </c>
      <c r="H72" s="171">
        <f>C110</f>
        <v>81850</v>
      </c>
      <c r="I72" s="176">
        <f t="shared" si="56"/>
        <v>81850</v>
      </c>
      <c r="J72" s="171">
        <f t="shared" ref="J72" si="57">I72</f>
        <v>81850</v>
      </c>
      <c r="K72" s="171">
        <f t="shared" ref="K72" si="58">J72</f>
        <v>81850</v>
      </c>
      <c r="L72" s="171">
        <f t="shared" ref="L72" si="59">K72</f>
        <v>81850</v>
      </c>
      <c r="M72" s="176">
        <f t="shared" ref="M72" si="60">L72</f>
        <v>81850</v>
      </c>
    </row>
    <row r="73" spans="1:22" ht="14.1" customHeight="1">
      <c r="A73" s="160" t="s">
        <v>39</v>
      </c>
      <c r="B73" s="122">
        <v>0.9</v>
      </c>
      <c r="C73" s="363">
        <f>C72*$B$73</f>
        <v>0</v>
      </c>
      <c r="D73" s="171">
        <f t="shared" ref="D73:M73" si="61">D72*$B$73</f>
        <v>0</v>
      </c>
      <c r="E73" s="171">
        <f t="shared" si="61"/>
        <v>0</v>
      </c>
      <c r="F73" s="198">
        <f t="shared" si="61"/>
        <v>0</v>
      </c>
      <c r="G73" s="171">
        <f t="shared" si="61"/>
        <v>0</v>
      </c>
      <c r="H73" s="171">
        <f t="shared" si="61"/>
        <v>73665</v>
      </c>
      <c r="I73" s="176">
        <f t="shared" si="61"/>
        <v>73665</v>
      </c>
      <c r="J73" s="171">
        <f t="shared" si="61"/>
        <v>73665</v>
      </c>
      <c r="K73" s="171">
        <f t="shared" si="61"/>
        <v>73665</v>
      </c>
      <c r="L73" s="171">
        <f t="shared" si="61"/>
        <v>73665</v>
      </c>
      <c r="M73" s="176">
        <f t="shared" si="61"/>
        <v>73665</v>
      </c>
    </row>
    <row r="74" spans="1:22" ht="14.1" customHeight="1">
      <c r="A74" s="160" t="s">
        <v>44</v>
      </c>
      <c r="B74" s="105"/>
      <c r="C74" s="364">
        <v>1</v>
      </c>
      <c r="D74" s="108">
        <f>C74</f>
        <v>1</v>
      </c>
      <c r="E74" s="108">
        <f>D74</f>
        <v>1</v>
      </c>
      <c r="F74" s="255">
        <f>E74</f>
        <v>1</v>
      </c>
      <c r="G74" s="108">
        <f>F74</f>
        <v>1</v>
      </c>
      <c r="H74" s="122">
        <v>0.3</v>
      </c>
      <c r="I74" s="203">
        <v>4.2999999999999997E-2</v>
      </c>
      <c r="J74" s="108">
        <v>4.2999999999999997E-2</v>
      </c>
      <c r="K74" s="108">
        <v>4.2999999999999997E-2</v>
      </c>
      <c r="L74" s="108">
        <v>4.2999999999999997E-2</v>
      </c>
      <c r="M74" s="206">
        <v>4.2999999999999997E-2</v>
      </c>
    </row>
    <row r="75" spans="1:22" ht="13.8" thickBot="1">
      <c r="A75" s="133" t="s">
        <v>111</v>
      </c>
      <c r="B75" s="67"/>
      <c r="C75" s="756">
        <f>'Summary Board'!K111</f>
        <v>15</v>
      </c>
      <c r="D75" s="273">
        <f t="shared" ref="D75:M75" si="62">$C$75*(1+$B$71)^D$4</f>
        <v>15.3</v>
      </c>
      <c r="E75" s="273">
        <f t="shared" si="62"/>
        <v>15.606</v>
      </c>
      <c r="F75" s="285">
        <f t="shared" si="62"/>
        <v>15.918119999999998</v>
      </c>
      <c r="G75" s="186">
        <f t="shared" si="62"/>
        <v>16.2364824</v>
      </c>
      <c r="H75" s="273">
        <f t="shared" si="62"/>
        <v>16.561212048000002</v>
      </c>
      <c r="I75" s="274">
        <f t="shared" si="62"/>
        <v>16.892436288960003</v>
      </c>
      <c r="J75" s="273">
        <f t="shared" si="62"/>
        <v>17.230285014739199</v>
      </c>
      <c r="K75" s="273">
        <f t="shared" si="62"/>
        <v>17.574890715033984</v>
      </c>
      <c r="L75" s="273">
        <f t="shared" si="62"/>
        <v>17.926388529334663</v>
      </c>
      <c r="M75" s="274">
        <f t="shared" si="62"/>
        <v>18.284916299921356</v>
      </c>
      <c r="N75" s="372"/>
      <c r="O75" s="372"/>
      <c r="P75" s="372"/>
      <c r="Q75" s="372"/>
      <c r="R75" s="372"/>
      <c r="S75" s="372"/>
      <c r="T75" s="372"/>
      <c r="U75" s="372"/>
      <c r="V75" s="372"/>
    </row>
    <row r="76" spans="1:22" s="347" customFormat="1" outlineLevel="1">
      <c r="A76" s="307" t="s">
        <v>16</v>
      </c>
      <c r="B76" s="190"/>
      <c r="C76" s="233">
        <f t="shared" ref="C76:M76" si="63">C73*(1-C74)*C75</f>
        <v>0</v>
      </c>
      <c r="D76" s="235">
        <f t="shared" si="63"/>
        <v>0</v>
      </c>
      <c r="E76" s="235">
        <f t="shared" si="63"/>
        <v>0</v>
      </c>
      <c r="F76" s="234">
        <f t="shared" si="63"/>
        <v>0</v>
      </c>
      <c r="G76" s="217">
        <f t="shared" si="63"/>
        <v>0</v>
      </c>
      <c r="H76" s="235">
        <f t="shared" si="63"/>
        <v>853987.17986114405</v>
      </c>
      <c r="I76" s="236">
        <f t="shared" si="63"/>
        <v>1190872.9224995102</v>
      </c>
      <c r="J76" s="235">
        <f t="shared" si="63"/>
        <v>1214690.3809495002</v>
      </c>
      <c r="K76" s="235">
        <f t="shared" si="63"/>
        <v>1238984.1885684903</v>
      </c>
      <c r="L76" s="235">
        <f t="shared" si="63"/>
        <v>1263763.8723398601</v>
      </c>
      <c r="M76" s="236">
        <f t="shared" si="63"/>
        <v>1289039.1497866572</v>
      </c>
      <c r="N76" s="423"/>
      <c r="O76" s="423"/>
      <c r="P76" s="423"/>
      <c r="Q76" s="423"/>
      <c r="R76" s="423"/>
      <c r="S76" s="423"/>
      <c r="T76" s="423"/>
      <c r="U76" s="423"/>
      <c r="V76" s="423"/>
    </row>
    <row r="77" spans="1:22" s="347" customFormat="1" outlineLevel="1">
      <c r="A77" s="160" t="s">
        <v>166</v>
      </c>
      <c r="B77" s="64"/>
      <c r="C77" s="139">
        <f t="shared" ref="C77:M77" si="64">C73*(1-C74)*($D$113*(1+$B71)^C$4)</f>
        <v>0</v>
      </c>
      <c r="D77" s="226">
        <f t="shared" si="64"/>
        <v>0</v>
      </c>
      <c r="E77" s="226">
        <f t="shared" si="64"/>
        <v>0</v>
      </c>
      <c r="F77" s="237">
        <f t="shared" si="64"/>
        <v>0</v>
      </c>
      <c r="G77" s="226">
        <f t="shared" si="64"/>
        <v>0</v>
      </c>
      <c r="H77" s="226">
        <f t="shared" si="64"/>
        <v>256196.1539583432</v>
      </c>
      <c r="I77" s="238">
        <f t="shared" si="64"/>
        <v>357261.87674985308</v>
      </c>
      <c r="J77" s="226">
        <f t="shared" si="64"/>
        <v>364407.11428485007</v>
      </c>
      <c r="K77" s="226">
        <f t="shared" si="64"/>
        <v>371695.25657054712</v>
      </c>
      <c r="L77" s="226">
        <f t="shared" si="64"/>
        <v>379129.16170195804</v>
      </c>
      <c r="M77" s="238">
        <f t="shared" si="64"/>
        <v>386711.74493599724</v>
      </c>
      <c r="N77" s="423"/>
      <c r="O77" s="423"/>
      <c r="P77" s="423"/>
      <c r="Q77" s="423"/>
      <c r="R77" s="423"/>
      <c r="S77" s="423"/>
      <c r="T77" s="423"/>
      <c r="U77" s="423"/>
      <c r="V77" s="423"/>
    </row>
    <row r="78" spans="1:22" s="347" customFormat="1" ht="13.8" outlineLevel="1" thickBot="1">
      <c r="A78" s="133" t="s">
        <v>167</v>
      </c>
      <c r="B78" s="67"/>
      <c r="C78" s="424">
        <f t="shared" ref="C78:M78" si="65">C73*($D$113*(1+$B71)^C$4)</f>
        <v>0</v>
      </c>
      <c r="D78" s="419">
        <f t="shared" si="65"/>
        <v>0</v>
      </c>
      <c r="E78" s="419">
        <f t="shared" si="65"/>
        <v>0</v>
      </c>
      <c r="F78" s="418">
        <f t="shared" si="65"/>
        <v>0</v>
      </c>
      <c r="G78" s="419">
        <f t="shared" si="65"/>
        <v>0</v>
      </c>
      <c r="H78" s="419">
        <f t="shared" si="65"/>
        <v>365994.505654776</v>
      </c>
      <c r="I78" s="420">
        <f t="shared" si="65"/>
        <v>373314.39576787152</v>
      </c>
      <c r="J78" s="419">
        <f t="shared" si="65"/>
        <v>380780.68368322891</v>
      </c>
      <c r="K78" s="419">
        <f t="shared" si="65"/>
        <v>388396.29735689354</v>
      </c>
      <c r="L78" s="419">
        <f t="shared" si="65"/>
        <v>396164.22330403136</v>
      </c>
      <c r="M78" s="420">
        <f t="shared" si="65"/>
        <v>404087.50777011202</v>
      </c>
      <c r="N78" s="423"/>
      <c r="O78" s="423"/>
      <c r="P78" s="423"/>
      <c r="Q78" s="423"/>
      <c r="R78" s="423"/>
      <c r="S78" s="423"/>
      <c r="T78" s="423"/>
      <c r="U78" s="423"/>
      <c r="V78" s="423"/>
    </row>
    <row r="79" spans="1:22" ht="13.8" thickBot="1">
      <c r="A79" s="185" t="s">
        <v>0</v>
      </c>
      <c r="B79" s="182"/>
      <c r="C79" s="191"/>
      <c r="D79" s="734"/>
      <c r="E79" s="735"/>
      <c r="F79" s="734"/>
      <c r="G79" s="735"/>
      <c r="H79" s="735"/>
      <c r="I79" s="736"/>
      <c r="J79" s="734"/>
      <c r="K79" s="735"/>
      <c r="L79" s="735"/>
      <c r="M79" s="736"/>
    </row>
    <row r="80" spans="1:22">
      <c r="A80" s="160" t="s">
        <v>16</v>
      </c>
      <c r="B80" s="64"/>
      <c r="C80" s="1014">
        <f>SUM(C13,C22,C31,C40,C49,C58,C67,C76)</f>
        <v>0</v>
      </c>
      <c r="D80" s="421">
        <f t="shared" ref="D80:M80" si="66">SUM(D13,D22,D31,D40,D49,D58,D67,D76)</f>
        <v>348840</v>
      </c>
      <c r="E80" s="432">
        <f t="shared" si="66"/>
        <v>1017217.0268999999</v>
      </c>
      <c r="F80" s="421">
        <f t="shared" si="66"/>
        <v>2461913.7342373799</v>
      </c>
      <c r="G80" s="431">
        <f t="shared" si="66"/>
        <v>3592694.1390785673</v>
      </c>
      <c r="H80" s="431">
        <f t="shared" si="66"/>
        <v>4758541.9676839216</v>
      </c>
      <c r="I80" s="432">
        <f t="shared" si="66"/>
        <v>5173518.8060787432</v>
      </c>
      <c r="J80" s="421">
        <f t="shared" si="66"/>
        <v>5276989.1822003173</v>
      </c>
      <c r="K80" s="431">
        <f t="shared" si="66"/>
        <v>5382528.9658443248</v>
      </c>
      <c r="L80" s="431">
        <f t="shared" si="66"/>
        <v>5490179.54516121</v>
      </c>
      <c r="M80" s="432">
        <f t="shared" si="66"/>
        <v>5599983.1360644344</v>
      </c>
    </row>
    <row r="81" spans="1:13">
      <c r="A81" s="160" t="s">
        <v>115</v>
      </c>
      <c r="B81" s="64"/>
      <c r="C81" s="1014">
        <f>SUM(C14,C23,C32,C41,C50,C59,C68,C77)</f>
        <v>0</v>
      </c>
      <c r="D81" s="1016">
        <f t="shared" ref="D81:M81" si="67">SUM(D14,D23,D32,D41,D50,D59,D68,D77)</f>
        <v>156978</v>
      </c>
      <c r="E81" s="1017">
        <f t="shared" si="67"/>
        <v>342466.60048199998</v>
      </c>
      <c r="F81" s="1016">
        <f t="shared" si="67"/>
        <v>629403.18063785648</v>
      </c>
      <c r="G81" s="1018">
        <f t="shared" si="67"/>
        <v>913576.46611953597</v>
      </c>
      <c r="H81" s="1018">
        <f t="shared" si="67"/>
        <v>1260046.1791890613</v>
      </c>
      <c r="I81" s="1017">
        <f t="shared" si="67"/>
        <v>1381188.9024851858</v>
      </c>
      <c r="J81" s="1016">
        <f t="shared" si="67"/>
        <v>1408812.6805348892</v>
      </c>
      <c r="K81" s="1018">
        <f t="shared" si="67"/>
        <v>1436988.9341455873</v>
      </c>
      <c r="L81" s="1018">
        <f t="shared" si="67"/>
        <v>1465728.7128284988</v>
      </c>
      <c r="M81" s="1017">
        <f t="shared" si="67"/>
        <v>1495043.2870850691</v>
      </c>
    </row>
    <row r="82" spans="1:13" ht="14.1" customHeight="1">
      <c r="A82" s="222" t="s">
        <v>116</v>
      </c>
      <c r="B82" s="351"/>
      <c r="C82" s="1015">
        <f>SUM(C15,C24,C33,C42,C51,C60,C69,C78)</f>
        <v>0</v>
      </c>
      <c r="D82" s="1019">
        <f t="shared" ref="D82:M82" si="68">SUM(D15,D24,D33,D42,D51,D60,D69,D78)</f>
        <v>156978</v>
      </c>
      <c r="E82" s="1020">
        <f t="shared" si="68"/>
        <v>420616.18926000001</v>
      </c>
      <c r="F82" s="1019">
        <f t="shared" si="68"/>
        <v>731600.13800520007</v>
      </c>
      <c r="G82" s="1021">
        <f t="shared" si="68"/>
        <v>1020902.278053744</v>
      </c>
      <c r="H82" s="1021">
        <f t="shared" si="68"/>
        <v>1407314.829269595</v>
      </c>
      <c r="I82" s="1020">
        <f t="shared" si="68"/>
        <v>1435461.1258549867</v>
      </c>
      <c r="J82" s="1019">
        <f t="shared" si="68"/>
        <v>1464170.3483720862</v>
      </c>
      <c r="K82" s="1021">
        <f t="shared" si="68"/>
        <v>1493453.7553395282</v>
      </c>
      <c r="L82" s="1021">
        <f t="shared" si="68"/>
        <v>1523322.8304463187</v>
      </c>
      <c r="M82" s="1020">
        <f t="shared" si="68"/>
        <v>1553789.2870552454</v>
      </c>
    </row>
    <row r="83" spans="1:13" ht="14.1" customHeight="1" thickBot="1">
      <c r="A83" s="365" t="s">
        <v>5</v>
      </c>
      <c r="B83" s="67"/>
      <c r="C83" s="250">
        <f>SUM(C80:C82)</f>
        <v>0</v>
      </c>
      <c r="D83" s="250">
        <f t="shared" ref="D83:M83" si="69">SUM(D80:D82)</f>
        <v>662796</v>
      </c>
      <c r="E83" s="225">
        <f t="shared" si="69"/>
        <v>1780299.8166419999</v>
      </c>
      <c r="F83" s="250">
        <f t="shared" si="69"/>
        <v>3822917.0528804362</v>
      </c>
      <c r="G83" s="224">
        <f t="shared" si="69"/>
        <v>5527172.8832518468</v>
      </c>
      <c r="H83" s="224">
        <f t="shared" si="69"/>
        <v>7425902.9761425778</v>
      </c>
      <c r="I83" s="225">
        <f t="shared" si="69"/>
        <v>7990168.8344189161</v>
      </c>
      <c r="J83" s="250">
        <f t="shared" si="69"/>
        <v>8149972.2111072922</v>
      </c>
      <c r="K83" s="224">
        <f t="shared" si="69"/>
        <v>8312971.6553294407</v>
      </c>
      <c r="L83" s="224">
        <f t="shared" si="69"/>
        <v>8479231.0884360261</v>
      </c>
      <c r="M83" s="225">
        <f t="shared" si="69"/>
        <v>8648815.7102047484</v>
      </c>
    </row>
    <row r="84" spans="1:13" ht="14.1" customHeight="1" thickBot="1">
      <c r="A84" s="185" t="s">
        <v>2</v>
      </c>
      <c r="B84" s="182"/>
      <c r="C84" s="191"/>
      <c r="D84" s="232"/>
      <c r="E84" s="188"/>
      <c r="F84" s="232"/>
      <c r="G84" s="188"/>
      <c r="H84" s="188"/>
      <c r="I84" s="189"/>
      <c r="J84" s="232"/>
      <c r="K84" s="188"/>
      <c r="L84" s="188"/>
      <c r="M84" s="189"/>
    </row>
    <row r="85" spans="1:13" ht="14.1" customHeight="1">
      <c r="A85" s="738" t="s">
        <v>117</v>
      </c>
      <c r="B85" s="64"/>
      <c r="C85" s="754">
        <f>'Summary Board'!F100</f>
        <v>134.63999999999999</v>
      </c>
      <c r="D85" s="199">
        <f>$C85*(1+$B$8)^D$4</f>
        <v>137.33279999999999</v>
      </c>
      <c r="E85" s="186">
        <f t="shared" ref="E85:M87" si="70">$C85*(1+$B$8)^E$4</f>
        <v>140.07945599999999</v>
      </c>
      <c r="F85" s="199">
        <f t="shared" si="70"/>
        <v>142.88104511999998</v>
      </c>
      <c r="G85" s="186">
        <f t="shared" si="70"/>
        <v>145.73866602239997</v>
      </c>
      <c r="H85" s="186">
        <f t="shared" si="70"/>
        <v>148.65343934284797</v>
      </c>
      <c r="I85" s="187">
        <f t="shared" si="70"/>
        <v>151.62650812970494</v>
      </c>
      <c r="J85" s="199">
        <f t="shared" si="70"/>
        <v>154.65903829229902</v>
      </c>
      <c r="K85" s="186">
        <f t="shared" si="70"/>
        <v>157.75221905814502</v>
      </c>
      <c r="L85" s="186">
        <f t="shared" si="70"/>
        <v>160.90726343930791</v>
      </c>
      <c r="M85" s="187">
        <f t="shared" si="70"/>
        <v>164.12540870809408</v>
      </c>
    </row>
    <row r="86" spans="1:13" ht="14.1" customHeight="1">
      <c r="A86" s="738" t="s">
        <v>118</v>
      </c>
      <c r="B86" s="64"/>
      <c r="C86" s="755">
        <f>'Summary Board'!F101</f>
        <v>336.6</v>
      </c>
      <c r="D86" s="367">
        <f>$C86*(1+$B$8)^D$4</f>
        <v>343.33200000000005</v>
      </c>
      <c r="E86" s="368">
        <f t="shared" si="70"/>
        <v>350.19864000000001</v>
      </c>
      <c r="F86" s="367">
        <f t="shared" si="70"/>
        <v>357.2026128</v>
      </c>
      <c r="G86" s="368">
        <f t="shared" si="70"/>
        <v>364.34666505600001</v>
      </c>
      <c r="H86" s="368">
        <f t="shared" si="70"/>
        <v>371.63359835712004</v>
      </c>
      <c r="I86" s="369">
        <f t="shared" si="70"/>
        <v>379.06627032426246</v>
      </c>
      <c r="J86" s="367">
        <f t="shared" si="70"/>
        <v>386.64759573074764</v>
      </c>
      <c r="K86" s="368">
        <f t="shared" si="70"/>
        <v>394.38054764536258</v>
      </c>
      <c r="L86" s="368">
        <f t="shared" si="70"/>
        <v>402.26815859826985</v>
      </c>
      <c r="M86" s="369">
        <f t="shared" si="70"/>
        <v>410.3135217702353</v>
      </c>
    </row>
    <row r="87" spans="1:13" ht="14.1" customHeight="1">
      <c r="A87" s="738" t="s">
        <v>119</v>
      </c>
      <c r="B87" s="64"/>
      <c r="C87" s="755">
        <f>'Summary Board'!F102</f>
        <v>79.437599999999989</v>
      </c>
      <c r="D87" s="367">
        <f>$C87*(1+$B$8)^D$4</f>
        <v>81.026351999999989</v>
      </c>
      <c r="E87" s="368">
        <f t="shared" si="70"/>
        <v>82.646879039999988</v>
      </c>
      <c r="F87" s="367">
        <f t="shared" si="70"/>
        <v>84.299816620799987</v>
      </c>
      <c r="G87" s="368">
        <f t="shared" si="70"/>
        <v>85.985812953215984</v>
      </c>
      <c r="H87" s="368">
        <f t="shared" si="70"/>
        <v>87.705529212280311</v>
      </c>
      <c r="I87" s="369">
        <f t="shared" si="70"/>
        <v>89.45963979652592</v>
      </c>
      <c r="J87" s="367">
        <f t="shared" si="70"/>
        <v>91.248832592456424</v>
      </c>
      <c r="K87" s="368">
        <f t="shared" si="70"/>
        <v>93.073809244305551</v>
      </c>
      <c r="L87" s="368">
        <f t="shared" si="70"/>
        <v>94.935285429191666</v>
      </c>
      <c r="M87" s="369">
        <f t="shared" si="70"/>
        <v>96.833991137775499</v>
      </c>
    </row>
    <row r="88" spans="1:13">
      <c r="A88" s="160" t="s">
        <v>12</v>
      </c>
      <c r="B88" s="64"/>
      <c r="C88" s="245">
        <f>C89/SUM($C$89:$M$89)</f>
        <v>0</v>
      </c>
      <c r="D88" s="246">
        <f t="shared" ref="D88:M88" si="71">D89/SUM($C$89:$M$89)</f>
        <v>0</v>
      </c>
      <c r="E88" s="173">
        <f t="shared" si="71"/>
        <v>0.18856689866772547</v>
      </c>
      <c r="F88" s="246">
        <f t="shared" si="71"/>
        <v>0</v>
      </c>
      <c r="G88" s="173">
        <f t="shared" si="71"/>
        <v>0</v>
      </c>
      <c r="H88" s="173">
        <f t="shared" si="71"/>
        <v>0.45969448404621704</v>
      </c>
      <c r="I88" s="229">
        <f t="shared" si="71"/>
        <v>0.35173861728605749</v>
      </c>
      <c r="J88" s="246">
        <f t="shared" si="71"/>
        <v>0</v>
      </c>
      <c r="K88" s="173">
        <f t="shared" si="71"/>
        <v>0</v>
      </c>
      <c r="L88" s="173">
        <f t="shared" si="71"/>
        <v>0</v>
      </c>
      <c r="M88" s="229">
        <f t="shared" si="71"/>
        <v>0</v>
      </c>
    </row>
    <row r="89" spans="1:13" ht="14.1" customHeight="1">
      <c r="A89" s="160" t="s">
        <v>2</v>
      </c>
      <c r="B89" s="64"/>
      <c r="C89" s="370">
        <v>0</v>
      </c>
      <c r="D89" s="252">
        <f>'Development Schedule'!D90*'8.Market-Rate Retail'!C85</f>
        <v>0</v>
      </c>
      <c r="E89" s="217">
        <f>'Development Schedule'!E90*'8.Market-Rate Retail'!D85</f>
        <v>4650088.608</v>
      </c>
      <c r="F89" s="252">
        <f>'Development Schedule'!F90*'8.Market-Rate Retail'!E85</f>
        <v>0</v>
      </c>
      <c r="G89" s="217">
        <f>'Development Schedule'!G90*'8.Market-Rate Retail'!F85</f>
        <v>0</v>
      </c>
      <c r="H89" s="217">
        <f>'Development Schedule'!H90*'8.Market-Rate Retail'!G85</f>
        <v>11336136.39788636</v>
      </c>
      <c r="I89" s="221">
        <f>'Development Schedule'!I90*'8.Market-Rate Retail'!H85</f>
        <v>8673928.1856551785</v>
      </c>
      <c r="J89" s="252">
        <f>'Development Schedule'!J90*'8.Market-Rate Retail'!I85</f>
        <v>0</v>
      </c>
      <c r="K89" s="217">
        <f>'Development Schedule'!K90*'8.Market-Rate Retail'!J85</f>
        <v>0</v>
      </c>
      <c r="L89" s="217">
        <f>'Development Schedule'!L90*'8.Market-Rate Retail'!K85</f>
        <v>0</v>
      </c>
      <c r="M89" s="221">
        <f>'Development Schedule'!M90*'8.Market-Rate Retail'!L85</f>
        <v>0</v>
      </c>
    </row>
    <row r="90" spans="1:13" ht="14.1" customHeight="1">
      <c r="A90" s="768" t="s">
        <v>13</v>
      </c>
      <c r="B90" s="227"/>
      <c r="C90" s="152"/>
      <c r="D90" s="248"/>
      <c r="E90" s="228"/>
      <c r="F90" s="248"/>
      <c r="G90" s="228"/>
      <c r="H90" s="228"/>
      <c r="I90" s="231"/>
      <c r="J90" s="248"/>
      <c r="K90" s="228"/>
      <c r="L90" s="228"/>
      <c r="M90" s="231"/>
    </row>
    <row r="91" spans="1:13" ht="14.1" customHeight="1" thickBot="1">
      <c r="A91" s="365" t="s">
        <v>3</v>
      </c>
      <c r="B91" s="67"/>
      <c r="C91" s="249">
        <f>SUM(C89:C90)</f>
        <v>0</v>
      </c>
      <c r="D91" s="250">
        <f t="shared" ref="D91:M91" si="72">SUM(D89:D90)</f>
        <v>0</v>
      </c>
      <c r="E91" s="224">
        <f t="shared" si="72"/>
        <v>4650088.608</v>
      </c>
      <c r="F91" s="250">
        <f t="shared" si="72"/>
        <v>0</v>
      </c>
      <c r="G91" s="224">
        <f t="shared" si="72"/>
        <v>0</v>
      </c>
      <c r="H91" s="224">
        <f t="shared" si="72"/>
        <v>11336136.39788636</v>
      </c>
      <c r="I91" s="225">
        <f t="shared" si="72"/>
        <v>8673928.1856551785</v>
      </c>
      <c r="J91" s="250">
        <f t="shared" si="72"/>
        <v>0</v>
      </c>
      <c r="K91" s="224">
        <f t="shared" si="72"/>
        <v>0</v>
      </c>
      <c r="L91" s="224">
        <f t="shared" si="72"/>
        <v>0</v>
      </c>
      <c r="M91" s="225">
        <f t="shared" si="72"/>
        <v>0</v>
      </c>
    </row>
    <row r="92" spans="1:13" ht="14.1" customHeight="1" thickBot="1">
      <c r="A92" s="185" t="s">
        <v>4</v>
      </c>
      <c r="B92" s="182"/>
      <c r="C92" s="191"/>
      <c r="D92" s="232"/>
      <c r="E92" s="188"/>
      <c r="F92" s="232"/>
      <c r="G92" s="996"/>
      <c r="H92" s="188"/>
      <c r="I92" s="189"/>
      <c r="J92" s="232"/>
      <c r="K92" s="188"/>
      <c r="L92" s="188"/>
      <c r="M92" s="189"/>
    </row>
    <row r="93" spans="1:13">
      <c r="A93" s="160" t="s">
        <v>5</v>
      </c>
      <c r="B93" s="64"/>
      <c r="C93" s="137">
        <f>C83</f>
        <v>0</v>
      </c>
      <c r="D93" s="247">
        <f>D83</f>
        <v>662796</v>
      </c>
      <c r="E93" s="216">
        <f t="shared" ref="E93:M93" si="73">E83</f>
        <v>1780299.8166419999</v>
      </c>
      <c r="F93" s="247">
        <f t="shared" si="73"/>
        <v>3822917.0528804362</v>
      </c>
      <c r="G93" s="216">
        <f t="shared" si="73"/>
        <v>5527172.8832518468</v>
      </c>
      <c r="H93" s="216">
        <f t="shared" si="73"/>
        <v>7425902.9761425778</v>
      </c>
      <c r="I93" s="230">
        <f t="shared" si="73"/>
        <v>7990168.8344189161</v>
      </c>
      <c r="J93" s="247">
        <f t="shared" si="73"/>
        <v>8149972.2111072922</v>
      </c>
      <c r="K93" s="216">
        <f t="shared" si="73"/>
        <v>8312971.6553294407</v>
      </c>
      <c r="L93" s="216">
        <f t="shared" si="73"/>
        <v>8479231.0884360261</v>
      </c>
      <c r="M93" s="230">
        <f t="shared" si="73"/>
        <v>8648815.7102047484</v>
      </c>
    </row>
    <row r="94" spans="1:13">
      <c r="A94" s="160" t="s">
        <v>59</v>
      </c>
      <c r="B94" s="108">
        <f>D114</f>
        <v>7.1999999999999995E-2</v>
      </c>
      <c r="C94" s="139">
        <v>0</v>
      </c>
      <c r="D94" s="237">
        <f>C94</f>
        <v>0</v>
      </c>
      <c r="E94" s="226">
        <f t="shared" ref="E94:L95" si="74">D94</f>
        <v>0</v>
      </c>
      <c r="F94" s="237">
        <f t="shared" si="74"/>
        <v>0</v>
      </c>
      <c r="G94" s="226">
        <f t="shared" si="74"/>
        <v>0</v>
      </c>
      <c r="H94" s="226">
        <f t="shared" si="74"/>
        <v>0</v>
      </c>
      <c r="I94" s="238">
        <f t="shared" si="74"/>
        <v>0</v>
      </c>
      <c r="J94" s="237">
        <f t="shared" si="74"/>
        <v>0</v>
      </c>
      <c r="K94" s="226">
        <f t="shared" si="74"/>
        <v>0</v>
      </c>
      <c r="L94" s="226">
        <f t="shared" si="74"/>
        <v>0</v>
      </c>
      <c r="M94" s="238">
        <f>M93/B94</f>
        <v>120122440.41951041</v>
      </c>
    </row>
    <row r="95" spans="1:13">
      <c r="A95" s="160" t="s">
        <v>60</v>
      </c>
      <c r="B95" s="108">
        <f>D115</f>
        <v>0.03</v>
      </c>
      <c r="C95" s="139">
        <v>0</v>
      </c>
      <c r="D95" s="237">
        <f>C95</f>
        <v>0</v>
      </c>
      <c r="E95" s="226">
        <f t="shared" si="74"/>
        <v>0</v>
      </c>
      <c r="F95" s="237">
        <f t="shared" si="74"/>
        <v>0</v>
      </c>
      <c r="G95" s="226">
        <f t="shared" si="74"/>
        <v>0</v>
      </c>
      <c r="H95" s="226">
        <f t="shared" si="74"/>
        <v>0</v>
      </c>
      <c r="I95" s="238">
        <f t="shared" si="74"/>
        <v>0</v>
      </c>
      <c r="J95" s="237">
        <f t="shared" si="74"/>
        <v>0</v>
      </c>
      <c r="K95" s="226">
        <f t="shared" si="74"/>
        <v>0</v>
      </c>
      <c r="L95" s="226">
        <f t="shared" si="74"/>
        <v>0</v>
      </c>
      <c r="M95" s="238">
        <f>M94*-B95</f>
        <v>-3603673.2125853123</v>
      </c>
    </row>
    <row r="96" spans="1:13">
      <c r="A96" s="222" t="s">
        <v>102</v>
      </c>
      <c r="B96" s="286"/>
      <c r="C96" s="253">
        <f>-C91</f>
        <v>0</v>
      </c>
      <c r="D96" s="254">
        <f t="shared" ref="D96:M96" si="75">-D91</f>
        <v>0</v>
      </c>
      <c r="E96" s="220">
        <f t="shared" si="75"/>
        <v>-4650088.608</v>
      </c>
      <c r="F96" s="254">
        <f t="shared" si="75"/>
        <v>0</v>
      </c>
      <c r="G96" s="220">
        <f t="shared" si="75"/>
        <v>0</v>
      </c>
      <c r="H96" s="220">
        <f t="shared" si="75"/>
        <v>-11336136.39788636</v>
      </c>
      <c r="I96" s="223">
        <f t="shared" si="75"/>
        <v>-8673928.1856551785</v>
      </c>
      <c r="J96" s="254">
        <f t="shared" si="75"/>
        <v>0</v>
      </c>
      <c r="K96" s="220">
        <f t="shared" si="75"/>
        <v>0</v>
      </c>
      <c r="L96" s="220">
        <f t="shared" si="75"/>
        <v>0</v>
      </c>
      <c r="M96" s="223">
        <f t="shared" si="75"/>
        <v>0</v>
      </c>
    </row>
    <row r="97" spans="1:13" ht="13.8" thickBot="1">
      <c r="A97" s="365" t="s">
        <v>6</v>
      </c>
      <c r="B97" s="117"/>
      <c r="C97" s="1023">
        <f>SUM(C93:C96)</f>
        <v>0</v>
      </c>
      <c r="D97" s="1024">
        <f t="shared" ref="D97:M97" si="76">SUM(D93:D96)</f>
        <v>662796</v>
      </c>
      <c r="E97" s="1025">
        <f t="shared" si="76"/>
        <v>-2869788.7913580001</v>
      </c>
      <c r="F97" s="1024">
        <f t="shared" si="76"/>
        <v>3822917.0528804362</v>
      </c>
      <c r="G97" s="1025">
        <f t="shared" si="76"/>
        <v>5527172.8832518468</v>
      </c>
      <c r="H97" s="1025">
        <f t="shared" si="76"/>
        <v>-3910233.4217437822</v>
      </c>
      <c r="I97" s="1026">
        <f t="shared" si="76"/>
        <v>-683759.35123626236</v>
      </c>
      <c r="J97" s="1024">
        <f t="shared" si="76"/>
        <v>8149972.2111072922</v>
      </c>
      <c r="K97" s="1025">
        <f t="shared" si="76"/>
        <v>8312971.6553294407</v>
      </c>
      <c r="L97" s="1025">
        <f t="shared" si="76"/>
        <v>8479231.0884360261</v>
      </c>
      <c r="M97" s="1026">
        <f t="shared" si="76"/>
        <v>125167582.91712984</v>
      </c>
    </row>
    <row r="98" spans="1:13" ht="13.8" thickBot="1">
      <c r="A98" s="114" t="s">
        <v>26</v>
      </c>
      <c r="B98" s="105"/>
      <c r="C98" s="359">
        <f>C97+NPV(D116,D97:M97)</f>
        <v>73623793.357145458</v>
      </c>
      <c r="D98" s="356"/>
      <c r="E98" s="357"/>
      <c r="F98" s="356"/>
      <c r="G98" s="166"/>
      <c r="H98" s="357"/>
      <c r="I98" s="358"/>
      <c r="J98" s="107"/>
      <c r="K98" s="107"/>
      <c r="L98" s="107"/>
      <c r="M98" s="175"/>
    </row>
    <row r="99" spans="1:13" ht="13.8" thickBot="1">
      <c r="A99" s="1027" t="s">
        <v>61</v>
      </c>
      <c r="B99" s="144"/>
      <c r="C99" s="1022" t="e">
        <f>IRR(C97:M97,0)</f>
        <v>#NUM!</v>
      </c>
      <c r="D99" s="1061"/>
      <c r="E99" s="144"/>
      <c r="F99" s="241"/>
      <c r="G99" s="67"/>
      <c r="H99" s="144"/>
      <c r="I99" s="159"/>
      <c r="J99" s="144"/>
      <c r="K99" s="144"/>
      <c r="L99" s="144"/>
      <c r="M99" s="159"/>
    </row>
    <row r="100" spans="1:13" ht="13.8" thickBot="1">
      <c r="A100" s="360"/>
      <c r="B100" s="64"/>
      <c r="C100" s="373"/>
      <c r="D100" s="64"/>
      <c r="E100" s="64"/>
      <c r="F100" s="64"/>
      <c r="G100" s="64"/>
      <c r="H100" s="64"/>
      <c r="I100" s="64"/>
      <c r="J100" s="64"/>
      <c r="K100" s="64"/>
      <c r="L100" s="64"/>
      <c r="M100" s="64"/>
    </row>
    <row r="101" spans="1:13" ht="13.8" thickBot="1">
      <c r="A101" s="170" t="s">
        <v>96</v>
      </c>
      <c r="B101" s="148"/>
      <c r="C101" s="148"/>
      <c r="D101" s="169"/>
      <c r="E101" s="39"/>
      <c r="F101" s="39"/>
      <c r="G101" s="331"/>
      <c r="H101" s="39"/>
      <c r="I101" s="39"/>
      <c r="J101" s="39"/>
      <c r="K101" s="39"/>
      <c r="L101" s="39"/>
      <c r="M101" s="39"/>
    </row>
    <row r="102" spans="1:13" ht="13.8" thickBot="1">
      <c r="A102" s="78"/>
      <c r="B102" s="144"/>
      <c r="C102" s="83" t="s">
        <v>112</v>
      </c>
      <c r="D102" s="84" t="s">
        <v>113</v>
      </c>
      <c r="E102" s="39"/>
      <c r="F102" s="39"/>
      <c r="G102" s="39"/>
      <c r="H102" s="39"/>
      <c r="I102" s="39"/>
      <c r="J102" s="39"/>
      <c r="K102" s="39"/>
      <c r="L102" s="39"/>
      <c r="M102" s="39"/>
    </row>
    <row r="103" spans="1:13">
      <c r="A103" s="63" t="s">
        <v>283</v>
      </c>
      <c r="B103" s="64"/>
      <c r="C103" s="304">
        <f>'Development Schedule'!C15+'Development Schedule'!C22</f>
        <v>33860</v>
      </c>
      <c r="D103" s="176">
        <f>C103*$B$10</f>
        <v>30474</v>
      </c>
      <c r="E103" s="39"/>
      <c r="F103" s="39"/>
      <c r="G103" s="39"/>
      <c r="H103" s="39"/>
      <c r="I103" s="39"/>
      <c r="J103" s="39"/>
      <c r="K103" s="39"/>
      <c r="L103" s="39"/>
      <c r="M103" s="39"/>
    </row>
    <row r="104" spans="1:13">
      <c r="A104" s="63" t="s">
        <v>446</v>
      </c>
      <c r="B104" s="64"/>
      <c r="C104" s="304">
        <f>'Development Schedule'!C17+'Development Schedule'!C33</f>
        <v>8173</v>
      </c>
      <c r="D104" s="176">
        <f>C104*$B$19</f>
        <v>7355.7</v>
      </c>
      <c r="E104" s="39"/>
      <c r="F104" s="39"/>
      <c r="G104" s="39"/>
      <c r="H104" s="39"/>
      <c r="I104" s="39"/>
      <c r="J104" s="39"/>
      <c r="K104" s="39"/>
      <c r="L104" s="39"/>
      <c r="M104" s="39"/>
    </row>
    <row r="105" spans="1:13">
      <c r="A105" s="63" t="s">
        <v>445</v>
      </c>
      <c r="B105" s="64"/>
      <c r="C105" s="304">
        <f>'Development Schedule'!C21</f>
        <v>38000</v>
      </c>
      <c r="D105" s="176">
        <f>C105*$B$28</f>
        <v>34200</v>
      </c>
      <c r="E105" s="39"/>
      <c r="F105" s="39"/>
      <c r="G105" s="39"/>
      <c r="H105" s="39"/>
      <c r="I105" s="39"/>
      <c r="J105" s="39"/>
      <c r="K105" s="39"/>
      <c r="L105" s="39"/>
      <c r="M105" s="39"/>
    </row>
    <row r="106" spans="1:13">
      <c r="A106" s="63" t="s">
        <v>441</v>
      </c>
      <c r="B106" s="64"/>
      <c r="C106" s="304">
        <f>'Development Schedule'!C31+'Development Schedule'!C33</f>
        <v>19790</v>
      </c>
      <c r="D106" s="176">
        <f>C106*$B$37</f>
        <v>17811</v>
      </c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1:13">
      <c r="A107" s="63" t="s">
        <v>442</v>
      </c>
      <c r="B107" s="64"/>
      <c r="C107" s="304">
        <f>'Development Schedule'!C43</f>
        <v>20800</v>
      </c>
      <c r="D107" s="176">
        <f>C107*B$46</f>
        <v>18720</v>
      </c>
      <c r="E107" s="39"/>
      <c r="F107" s="39"/>
      <c r="G107" s="39"/>
      <c r="H107" s="39"/>
      <c r="I107" s="39"/>
      <c r="J107" s="39"/>
      <c r="K107" s="39"/>
      <c r="L107" s="39"/>
      <c r="M107" s="39"/>
    </row>
    <row r="108" spans="1:13">
      <c r="A108" s="63" t="s">
        <v>449</v>
      </c>
      <c r="B108" s="64"/>
      <c r="C108" s="304">
        <f>'Development Schedule'!C41</f>
        <v>70400</v>
      </c>
      <c r="D108" s="176">
        <f>C108*$B$55</f>
        <v>63360</v>
      </c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>
      <c r="A109" s="63" t="s">
        <v>443</v>
      </c>
      <c r="B109" s="64"/>
      <c r="C109" s="304">
        <f>'Development Schedule'!C52+'Development Schedule'!C54</f>
        <v>41855</v>
      </c>
      <c r="D109" s="176">
        <f>C109*$B$46</f>
        <v>37669.5</v>
      </c>
      <c r="E109" s="39"/>
      <c r="F109" s="39"/>
      <c r="G109" s="39"/>
      <c r="H109" s="39"/>
      <c r="I109" s="39"/>
      <c r="J109" s="39"/>
      <c r="K109" s="39"/>
      <c r="L109" s="39"/>
      <c r="M109" s="39"/>
    </row>
    <row r="110" spans="1:13" ht="13.8" thickBot="1">
      <c r="A110" s="66" t="s">
        <v>444</v>
      </c>
      <c r="B110" s="67"/>
      <c r="C110" s="1012">
        <f>'Development Schedule'!C62+'Development Schedule'!C68+'Development Schedule'!C74+'Development Schedule'!C79</f>
        <v>81850</v>
      </c>
      <c r="D110" s="1013">
        <f>C110*$B$64</f>
        <v>73665</v>
      </c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1:13" ht="13.8" thickBot="1">
      <c r="A111" s="39"/>
      <c r="B111" s="57"/>
      <c r="C111" s="57"/>
      <c r="D111" s="39"/>
      <c r="E111" s="39"/>
      <c r="F111" s="39"/>
      <c r="G111" s="39"/>
      <c r="H111" s="39"/>
      <c r="I111" s="39"/>
      <c r="J111" s="39"/>
      <c r="K111" s="39"/>
      <c r="L111" s="39"/>
      <c r="M111" s="39"/>
    </row>
    <row r="112" spans="1:13" ht="13.8" thickBot="1">
      <c r="A112" s="170" t="s">
        <v>103</v>
      </c>
      <c r="B112" s="243"/>
      <c r="C112" s="243"/>
      <c r="D112" s="244"/>
      <c r="E112" s="39"/>
      <c r="F112" s="39"/>
      <c r="G112" s="39"/>
      <c r="H112" s="39"/>
      <c r="I112" s="39"/>
      <c r="J112" s="39"/>
      <c r="K112" s="39"/>
      <c r="L112" s="39"/>
      <c r="M112" s="39"/>
    </row>
    <row r="113" spans="1:13">
      <c r="A113" s="63" t="s">
        <v>114</v>
      </c>
      <c r="B113" s="64"/>
      <c r="C113" s="64"/>
      <c r="D113" s="147">
        <f>C12*0.3</f>
        <v>4.5</v>
      </c>
      <c r="E113" s="39"/>
      <c r="F113" s="39"/>
      <c r="G113" s="39"/>
      <c r="H113" s="39"/>
      <c r="I113" s="39"/>
      <c r="J113" s="39"/>
      <c r="K113" s="39"/>
      <c r="L113" s="39"/>
      <c r="M113" s="39"/>
    </row>
    <row r="114" spans="1:13">
      <c r="A114" s="63" t="s">
        <v>104</v>
      </c>
      <c r="B114" s="64"/>
      <c r="C114" s="64"/>
      <c r="D114" s="757">
        <f>'Summary Board'!K124</f>
        <v>7.1999999999999995E-2</v>
      </c>
      <c r="E114" s="39"/>
      <c r="F114" s="39"/>
      <c r="G114" s="39"/>
      <c r="H114" s="39"/>
      <c r="I114" s="39"/>
      <c r="J114" s="39"/>
      <c r="K114" s="39"/>
      <c r="L114" s="39"/>
      <c r="M114" s="39"/>
    </row>
    <row r="115" spans="1:13">
      <c r="A115" s="63" t="s">
        <v>105</v>
      </c>
      <c r="B115" s="64"/>
      <c r="C115" s="64"/>
      <c r="D115" s="350">
        <v>0.03</v>
      </c>
      <c r="E115" s="39"/>
      <c r="F115" s="39"/>
      <c r="G115" s="39"/>
      <c r="H115" s="39"/>
      <c r="I115" s="39"/>
      <c r="J115" s="39"/>
      <c r="K115" s="39"/>
      <c r="L115" s="39"/>
      <c r="M115" s="39"/>
    </row>
    <row r="116" spans="1:13" ht="13.8" thickBot="1">
      <c r="A116" s="66" t="s">
        <v>92</v>
      </c>
      <c r="B116" s="67"/>
      <c r="C116" s="67"/>
      <c r="D116" s="125">
        <v>0.08</v>
      </c>
      <c r="E116" s="39"/>
      <c r="F116" s="39"/>
      <c r="G116" s="39"/>
      <c r="H116" s="39"/>
      <c r="I116" s="39"/>
      <c r="J116" s="39"/>
      <c r="K116" s="39"/>
      <c r="L116" s="39"/>
      <c r="M116" s="39"/>
    </row>
    <row r="117" spans="1:13">
      <c r="A117" s="39"/>
      <c r="B117" s="57"/>
      <c r="C117" s="57"/>
      <c r="D117" s="39"/>
      <c r="E117" s="39"/>
      <c r="F117" s="39"/>
      <c r="G117" s="39"/>
      <c r="H117" s="39"/>
      <c r="I117" s="39"/>
      <c r="J117" s="39"/>
      <c r="K117" s="39"/>
      <c r="L117" s="39"/>
      <c r="M117" s="39"/>
    </row>
  </sheetData>
  <mergeCells count="3">
    <mergeCell ref="D3:E3"/>
    <mergeCell ref="F3:I3"/>
    <mergeCell ref="J3:M3"/>
  </mergeCells>
  <phoneticPr fontId="3" type="noConversion"/>
  <printOptions horizontalCentered="1"/>
  <pageMargins left="0.5" right="0.5" top="1" bottom="0.5" header="0.5" footer="0.5"/>
  <pageSetup scale="51" fitToHeight="2" orientation="landscape" r:id="rId1"/>
  <headerFooter alignWithMargins="0">
    <oddHeader>&amp;L&amp;"Arial,Bold"6. Income Statement: Retail</oddHeader>
  </headerFooter>
  <ignoredErrors>
    <ignoredError sqref="F10 G10:M10 G37:M37 D46:M46 D64:M64 D73:M73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39"/>
  <sheetViews>
    <sheetView view="pageBreakPreview" zoomScale="85" zoomScaleNormal="100" zoomScaleSheetLayoutView="85" workbookViewId="0">
      <selection activeCell="F13" sqref="F13"/>
    </sheetView>
  </sheetViews>
  <sheetFormatPr defaultColWidth="9.109375" defaultRowHeight="13.2"/>
  <cols>
    <col min="1" max="1" width="23.109375" style="96" customWidth="1"/>
    <col min="2" max="2" width="12.6640625" style="97" customWidth="1"/>
    <col min="3" max="3" width="13.6640625" style="97" customWidth="1"/>
    <col min="4" max="13" width="13.6640625" style="96" customWidth="1"/>
    <col min="14" max="14" width="14.33203125" style="96" bestFit="1" customWidth="1"/>
    <col min="15" max="16384" width="9.109375" style="96"/>
  </cols>
  <sheetData>
    <row r="1" spans="1:14" ht="14.1" customHeight="1" thickBot="1">
      <c r="A1" s="39"/>
      <c r="B1" s="57"/>
      <c r="C1" s="57"/>
      <c r="D1" s="39"/>
      <c r="E1" s="39"/>
      <c r="F1" s="39"/>
      <c r="G1" s="39"/>
      <c r="H1" s="39"/>
      <c r="I1" s="39"/>
      <c r="J1" s="39"/>
      <c r="K1" s="39"/>
      <c r="L1" s="134" t="s">
        <v>93</v>
      </c>
      <c r="M1" s="306">
        <v>191863</v>
      </c>
    </row>
    <row r="2" spans="1:14" ht="14.1" customHeight="1" thickBot="1">
      <c r="A2" s="39"/>
      <c r="B2" s="57"/>
      <c r="C2" s="57"/>
      <c r="D2" s="39"/>
      <c r="E2" s="39"/>
      <c r="F2" s="39"/>
      <c r="G2" s="118"/>
      <c r="H2" s="39"/>
      <c r="I2" s="39"/>
      <c r="J2" s="39"/>
      <c r="K2" s="39"/>
      <c r="L2" s="343"/>
      <c r="M2" s="344"/>
    </row>
    <row r="3" spans="1:14" ht="14.1" customHeight="1" thickBot="1">
      <c r="A3" s="123"/>
      <c r="B3" s="190"/>
      <c r="C3" s="128" t="s">
        <v>57</v>
      </c>
      <c r="D3" s="1227" t="s">
        <v>36</v>
      </c>
      <c r="E3" s="1228"/>
      <c r="F3" s="1229" t="s">
        <v>78</v>
      </c>
      <c r="G3" s="1230"/>
      <c r="H3" s="1230"/>
      <c r="I3" s="1231"/>
      <c r="J3" s="1232" t="s">
        <v>79</v>
      </c>
      <c r="K3" s="1233"/>
      <c r="L3" s="1233"/>
      <c r="M3" s="1234"/>
    </row>
    <row r="4" spans="1:14" ht="14.1" customHeight="1" thickBot="1">
      <c r="A4" s="63"/>
      <c r="B4" s="64"/>
      <c r="C4" s="136">
        <v>0</v>
      </c>
      <c r="D4" s="45">
        <f>C4+1</f>
        <v>1</v>
      </c>
      <c r="E4" s="44">
        <f t="shared" ref="E4:M5" si="0">D4+1</f>
        <v>2</v>
      </c>
      <c r="F4" s="909">
        <f t="shared" si="0"/>
        <v>3</v>
      </c>
      <c r="G4" s="910">
        <f t="shared" si="0"/>
        <v>4</v>
      </c>
      <c r="H4" s="135">
        <f t="shared" si="0"/>
        <v>5</v>
      </c>
      <c r="I4" s="102">
        <f t="shared" si="0"/>
        <v>6</v>
      </c>
      <c r="J4" s="100">
        <f t="shared" si="0"/>
        <v>7</v>
      </c>
      <c r="K4" s="100">
        <f t="shared" si="0"/>
        <v>8</v>
      </c>
      <c r="L4" s="100">
        <f t="shared" si="0"/>
        <v>9</v>
      </c>
      <c r="M4" s="102">
        <f t="shared" si="0"/>
        <v>10</v>
      </c>
    </row>
    <row r="5" spans="1:14" ht="14.1" customHeight="1" thickBot="1">
      <c r="A5" s="66"/>
      <c r="B5" s="135"/>
      <c r="C5" s="136" t="s">
        <v>337</v>
      </c>
      <c r="D5" s="267">
        <v>2021</v>
      </c>
      <c r="E5" s="100">
        <f>D5+1</f>
        <v>2022</v>
      </c>
      <c r="F5" s="101">
        <f t="shared" si="0"/>
        <v>2023</v>
      </c>
      <c r="G5" s="910">
        <f t="shared" si="0"/>
        <v>2024</v>
      </c>
      <c r="H5" s="100">
        <f t="shared" si="0"/>
        <v>2025</v>
      </c>
      <c r="I5" s="102">
        <f t="shared" si="0"/>
        <v>2026</v>
      </c>
      <c r="J5" s="100">
        <f t="shared" si="0"/>
        <v>2027</v>
      </c>
      <c r="K5" s="100">
        <f t="shared" si="0"/>
        <v>2028</v>
      </c>
      <c r="L5" s="100">
        <f>K5+1</f>
        <v>2029</v>
      </c>
      <c r="M5" s="102">
        <f>L5+1</f>
        <v>2030</v>
      </c>
    </row>
    <row r="6" spans="1:14" ht="18" customHeight="1" thickBot="1">
      <c r="A6" s="185" t="s">
        <v>9</v>
      </c>
      <c r="B6" s="182"/>
      <c r="C6" s="191"/>
      <c r="D6" s="194"/>
      <c r="E6" s="183"/>
      <c r="F6" s="194"/>
      <c r="G6" s="183"/>
      <c r="H6" s="183"/>
      <c r="I6" s="184"/>
      <c r="J6" s="183"/>
      <c r="K6" s="183"/>
      <c r="L6" s="183"/>
      <c r="M6" s="184"/>
    </row>
    <row r="7" spans="1:14" ht="14.1" customHeight="1">
      <c r="A7" s="160" t="s">
        <v>10</v>
      </c>
      <c r="B7" s="122">
        <v>0.02</v>
      </c>
      <c r="C7" s="129"/>
      <c r="D7" s="132"/>
      <c r="E7" s="106"/>
      <c r="F7" s="1009"/>
      <c r="G7" s="1010"/>
      <c r="H7" s="1010"/>
      <c r="I7" s="1011"/>
      <c r="J7" s="106"/>
      <c r="K7" s="106"/>
      <c r="L7" s="106"/>
      <c r="M7" s="110"/>
    </row>
    <row r="8" spans="1:14" ht="14.1" customHeight="1">
      <c r="A8" s="160" t="s">
        <v>45</v>
      </c>
      <c r="B8" s="64"/>
      <c r="C8" s="377">
        <f>'Development Schedule'!D89/500</f>
        <v>0</v>
      </c>
      <c r="D8" s="378">
        <f>'Development Schedule'!E89/500</f>
        <v>0</v>
      </c>
      <c r="E8" s="376">
        <f>'Development Schedule'!F89/500</f>
        <v>0</v>
      </c>
      <c r="F8" s="195">
        <f>'Development Schedule'!G89/500</f>
        <v>111.61333333333333</v>
      </c>
      <c r="G8" s="172">
        <f>'Development Schedule'!H89/500</f>
        <v>223.22666666666666</v>
      </c>
      <c r="H8" s="376">
        <f>'Development Schedule'!I89/500</f>
        <v>0</v>
      </c>
      <c r="I8" s="379">
        <f>'Development Schedule'!J89/500</f>
        <v>0</v>
      </c>
      <c r="J8" s="378">
        <f>'Development Schedule'!K89/500</f>
        <v>0</v>
      </c>
      <c r="K8" s="376">
        <f>'Development Schedule'!L89/500</f>
        <v>0</v>
      </c>
      <c r="L8" s="376">
        <f>'Development Schedule'!M89/500</f>
        <v>0</v>
      </c>
      <c r="M8" s="379">
        <f>'Development Schedule'!N89/500</f>
        <v>0</v>
      </c>
    </row>
    <row r="9" spans="1:14" ht="14.1" customHeight="1">
      <c r="A9" s="160" t="s">
        <v>44</v>
      </c>
      <c r="B9" s="105"/>
      <c r="C9" s="364">
        <v>1</v>
      </c>
      <c r="D9" s="255">
        <f>C9</f>
        <v>1</v>
      </c>
      <c r="E9" s="122">
        <v>1</v>
      </c>
      <c r="F9" s="205">
        <f>1-F10</f>
        <v>0.36</v>
      </c>
      <c r="G9" s="108">
        <f>F9</f>
        <v>0.36</v>
      </c>
      <c r="H9" s="108">
        <f t="shared" ref="H9:M9" si="1">G9</f>
        <v>0.36</v>
      </c>
      <c r="I9" s="206">
        <f t="shared" si="1"/>
        <v>0.36</v>
      </c>
      <c r="J9" s="108">
        <f t="shared" si="1"/>
        <v>0.36</v>
      </c>
      <c r="K9" s="108">
        <f t="shared" si="1"/>
        <v>0.36</v>
      </c>
      <c r="L9" s="108">
        <f t="shared" si="1"/>
        <v>0.36</v>
      </c>
      <c r="M9" s="206">
        <f t="shared" si="1"/>
        <v>0.36</v>
      </c>
    </row>
    <row r="10" spans="1:14" ht="14.1" customHeight="1">
      <c r="A10" s="160" t="s">
        <v>40</v>
      </c>
      <c r="B10" s="105"/>
      <c r="C10" s="131">
        <v>0.64</v>
      </c>
      <c r="D10" s="255">
        <f t="shared" ref="D10:M10" si="2">1-D9</f>
        <v>0</v>
      </c>
      <c r="E10" s="108">
        <f t="shared" si="2"/>
        <v>0</v>
      </c>
      <c r="F10" s="255">
        <v>0.64</v>
      </c>
      <c r="G10" s="108">
        <f t="shared" si="2"/>
        <v>0.64</v>
      </c>
      <c r="H10" s="108">
        <f t="shared" si="2"/>
        <v>0.64</v>
      </c>
      <c r="I10" s="206">
        <f t="shared" si="2"/>
        <v>0.64</v>
      </c>
      <c r="J10" s="108">
        <f t="shared" si="2"/>
        <v>0.64</v>
      </c>
      <c r="K10" s="108">
        <f t="shared" si="2"/>
        <v>0.64</v>
      </c>
      <c r="L10" s="108">
        <f t="shared" si="2"/>
        <v>0.64</v>
      </c>
      <c r="M10" s="206">
        <f t="shared" si="2"/>
        <v>0.64</v>
      </c>
    </row>
    <row r="11" spans="1:14" ht="14.1" customHeight="1" thickBot="1">
      <c r="A11" s="160" t="s">
        <v>46</v>
      </c>
      <c r="B11" s="64"/>
      <c r="C11" s="207">
        <f>'Summary Board'!K115</f>
        <v>215</v>
      </c>
      <c r="D11" s="199">
        <f>$C$11*(1+$B$7)^D4</f>
        <v>219.3</v>
      </c>
      <c r="E11" s="186">
        <f t="shared" ref="E11:M11" si="3">$C$11*(1+$B$7)^E4</f>
        <v>223.68600000000001</v>
      </c>
      <c r="F11" s="285">
        <f t="shared" si="3"/>
        <v>228.15971999999999</v>
      </c>
      <c r="G11" s="273">
        <f t="shared" si="3"/>
        <v>232.72291440000001</v>
      </c>
      <c r="H11" s="273">
        <f t="shared" si="3"/>
        <v>237.37737268800001</v>
      </c>
      <c r="I11" s="274">
        <f t="shared" si="3"/>
        <v>242.12492014176001</v>
      </c>
      <c r="J11" s="186">
        <f t="shared" si="3"/>
        <v>246.96741854459515</v>
      </c>
      <c r="K11" s="186">
        <f t="shared" si="3"/>
        <v>251.90676691548708</v>
      </c>
      <c r="L11" s="186">
        <f t="shared" si="3"/>
        <v>256.94490225379684</v>
      </c>
      <c r="M11" s="187">
        <f t="shared" si="3"/>
        <v>262.0838002988728</v>
      </c>
    </row>
    <row r="12" spans="1:14" ht="13.8" thickBot="1">
      <c r="A12" s="185" t="s">
        <v>0</v>
      </c>
      <c r="B12" s="182"/>
      <c r="C12" s="191"/>
      <c r="D12" s="232"/>
      <c r="E12" s="188"/>
      <c r="F12" s="232"/>
      <c r="G12" s="188"/>
      <c r="H12" s="188"/>
      <c r="I12" s="189"/>
      <c r="J12" s="188"/>
      <c r="K12" s="188"/>
      <c r="L12" s="188"/>
      <c r="M12" s="189"/>
    </row>
    <row r="13" spans="1:14" ht="14.1" customHeight="1">
      <c r="A13" s="160" t="s">
        <v>17</v>
      </c>
      <c r="B13" s="64"/>
      <c r="C13" s="251">
        <f>SUM($C$8:C8)*C10*C11*365</f>
        <v>0</v>
      </c>
      <c r="D13" s="234">
        <f>SUM($C$8:D8)*D10*D11*365</f>
        <v>0</v>
      </c>
      <c r="E13" s="235">
        <f>SUM($C$8:E8)*E10*E11*365</f>
        <v>0</v>
      </c>
      <c r="F13" s="234">
        <f>SUM($C$8:F8)*F10*F11*365</f>
        <v>5948779.7835417604</v>
      </c>
      <c r="G13" s="217">
        <f>SUM($C$8:G8)*G10*G11*365</f>
        <v>18203266.137637783</v>
      </c>
      <c r="H13" s="235">
        <f>SUM($C$8:H8)*H10*H11*365</f>
        <v>18567331.460390542</v>
      </c>
      <c r="I13" s="236">
        <f>SUM($C$8:I8)*I10*I11*365</f>
        <v>18938678.08959835</v>
      </c>
      <c r="J13" s="217">
        <f>SUM($C$8:J8)*J10*J11*365</f>
        <v>19317451.651390314</v>
      </c>
      <c r="K13" s="217">
        <f>SUM($C$8:K8)*K10*K11*365</f>
        <v>19703800.684418123</v>
      </c>
      <c r="L13" s="217">
        <f>SUM($C$8:L8)*L10*L11*365</f>
        <v>20097876.698106486</v>
      </c>
      <c r="M13" s="221">
        <f>SUM($C$8:M8)*M10*M11*365</f>
        <v>20499834.232068617</v>
      </c>
      <c r="N13" s="372"/>
    </row>
    <row r="14" spans="1:14" s="346" customFormat="1" ht="14.1" customHeight="1">
      <c r="A14" s="222" t="s">
        <v>100</v>
      </c>
      <c r="B14" s="219">
        <v>0.65</v>
      </c>
      <c r="C14" s="253">
        <f>C13*-$B$14</f>
        <v>0</v>
      </c>
      <c r="D14" s="254">
        <f t="shared" ref="D14:M14" si="4">D13*-$B$14</f>
        <v>0</v>
      </c>
      <c r="E14" s="220">
        <f t="shared" si="4"/>
        <v>0</v>
      </c>
      <c r="F14" s="254">
        <f t="shared" si="4"/>
        <v>-3866706.8593021445</v>
      </c>
      <c r="G14" s="220">
        <f t="shared" si="4"/>
        <v>-11832122.989464559</v>
      </c>
      <c r="H14" s="220">
        <f t="shared" si="4"/>
        <v>-12068765.449253853</v>
      </c>
      <c r="I14" s="223">
        <f t="shared" si="4"/>
        <v>-12310140.758238928</v>
      </c>
      <c r="J14" s="220">
        <f t="shared" si="4"/>
        <v>-12556343.573403705</v>
      </c>
      <c r="K14" s="220">
        <f t="shared" si="4"/>
        <v>-12807470.444871781</v>
      </c>
      <c r="L14" s="220">
        <f t="shared" si="4"/>
        <v>-13063619.853769217</v>
      </c>
      <c r="M14" s="223">
        <f t="shared" si="4"/>
        <v>-13324892.250844602</v>
      </c>
    </row>
    <row r="15" spans="1:14" s="346" customFormat="1" ht="14.1" customHeight="1" thickBot="1">
      <c r="A15" s="371" t="s">
        <v>5</v>
      </c>
      <c r="B15" s="67"/>
      <c r="C15" s="249">
        <f>SUM(C13:C14)</f>
        <v>0</v>
      </c>
      <c r="D15" s="250">
        <f t="shared" ref="D15:M15" si="5">SUM(D13:D14)</f>
        <v>0</v>
      </c>
      <c r="E15" s="224">
        <f t="shared" si="5"/>
        <v>0</v>
      </c>
      <c r="F15" s="250">
        <f t="shared" si="5"/>
        <v>2082072.9242396159</v>
      </c>
      <c r="G15" s="224">
        <f t="shared" si="5"/>
        <v>6371143.1481732242</v>
      </c>
      <c r="H15" s="224">
        <f t="shared" si="5"/>
        <v>6498566.0111366883</v>
      </c>
      <c r="I15" s="225">
        <f t="shared" si="5"/>
        <v>6628537.3313594218</v>
      </c>
      <c r="J15" s="224">
        <f t="shared" si="5"/>
        <v>6761108.0779866092</v>
      </c>
      <c r="K15" s="224">
        <f t="shared" si="5"/>
        <v>6896330.2395463418</v>
      </c>
      <c r="L15" s="224">
        <f t="shared" si="5"/>
        <v>7034256.8443372697</v>
      </c>
      <c r="M15" s="225">
        <f t="shared" si="5"/>
        <v>7174941.9812240154</v>
      </c>
    </row>
    <row r="16" spans="1:14" ht="13.8" thickBot="1">
      <c r="A16" s="185" t="s">
        <v>2</v>
      </c>
      <c r="B16" s="182"/>
      <c r="C16" s="191"/>
      <c r="D16" s="232"/>
      <c r="E16" s="188"/>
      <c r="F16" s="232"/>
      <c r="G16" s="188"/>
      <c r="H16" s="188"/>
      <c r="I16" s="189"/>
      <c r="J16" s="232"/>
      <c r="K16" s="188"/>
      <c r="L16" s="188"/>
      <c r="M16" s="189"/>
    </row>
    <row r="17" spans="1:14" ht="14.1" customHeight="1">
      <c r="A17" s="160" t="s">
        <v>101</v>
      </c>
      <c r="B17" s="64"/>
      <c r="C17" s="207">
        <f>'Summary Board'!C103</f>
        <v>326.39999999999998</v>
      </c>
      <c r="D17" s="199">
        <f>$C$17*(1+$B$7)^D4</f>
        <v>332.928</v>
      </c>
      <c r="E17" s="186">
        <f t="shared" ref="E17:M17" si="6">$C$17*(1+$B$7)^E4</f>
        <v>339.58655999999996</v>
      </c>
      <c r="F17" s="199">
        <f t="shared" si="6"/>
        <v>346.37829119999998</v>
      </c>
      <c r="G17" s="186">
        <f t="shared" si="6"/>
        <v>353.30585702399998</v>
      </c>
      <c r="H17" s="186">
        <f t="shared" si="6"/>
        <v>360.37197416447998</v>
      </c>
      <c r="I17" s="187">
        <f t="shared" si="6"/>
        <v>367.57941364776957</v>
      </c>
      <c r="J17" s="199">
        <f t="shared" si="6"/>
        <v>374.9310019207249</v>
      </c>
      <c r="K17" s="186">
        <f t="shared" si="6"/>
        <v>382.42962195913947</v>
      </c>
      <c r="L17" s="186">
        <f t="shared" si="6"/>
        <v>390.07821439832225</v>
      </c>
      <c r="M17" s="187">
        <f t="shared" si="6"/>
        <v>397.87977868628872</v>
      </c>
    </row>
    <row r="18" spans="1:14" ht="14.1" customHeight="1">
      <c r="A18" s="160" t="s">
        <v>12</v>
      </c>
      <c r="B18" s="64"/>
      <c r="C18" s="245">
        <f>C19/SUM($C$19:$M$19)</f>
        <v>0</v>
      </c>
      <c r="D18" s="246">
        <f t="shared" ref="D18:M18" si="7">D19/SUM($C$19:$M$19)</f>
        <v>0</v>
      </c>
      <c r="E18" s="173">
        <f t="shared" si="7"/>
        <v>0</v>
      </c>
      <c r="F18" s="246">
        <f t="shared" si="7"/>
        <v>0.32894736842105265</v>
      </c>
      <c r="G18" s="173">
        <f t="shared" si="7"/>
        <v>0.67105263157894746</v>
      </c>
      <c r="H18" s="173">
        <f t="shared" si="7"/>
        <v>0</v>
      </c>
      <c r="I18" s="229">
        <f t="shared" si="7"/>
        <v>0</v>
      </c>
      <c r="J18" s="246">
        <f t="shared" si="7"/>
        <v>0</v>
      </c>
      <c r="K18" s="173">
        <f t="shared" si="7"/>
        <v>0</v>
      </c>
      <c r="L18" s="173">
        <f t="shared" si="7"/>
        <v>0</v>
      </c>
      <c r="M18" s="229">
        <f t="shared" si="7"/>
        <v>0</v>
      </c>
    </row>
    <row r="19" spans="1:14" ht="14.1" customHeight="1">
      <c r="A19" s="160" t="s">
        <v>2</v>
      </c>
      <c r="B19" s="64"/>
      <c r="C19" s="149">
        <f>'Development Schedule'!D89*C17</f>
        <v>0</v>
      </c>
      <c r="D19" s="290">
        <f>'Development Schedule'!E89*D17</f>
        <v>0</v>
      </c>
      <c r="E19" s="291">
        <f>'Development Schedule'!F89*E17</f>
        <v>0</v>
      </c>
      <c r="F19" s="290">
        <f>'Development Schedule'!G89*F17</f>
        <v>19330217.837567996</v>
      </c>
      <c r="G19" s="291">
        <f>'Development Schedule'!H89*G17</f>
        <v>39433644.388638712</v>
      </c>
      <c r="H19" s="291">
        <f>'Development Schedule'!I89*H17</f>
        <v>0</v>
      </c>
      <c r="I19" s="292">
        <f>'Development Schedule'!J89*I17</f>
        <v>0</v>
      </c>
      <c r="J19" s="290">
        <f>'Development Schedule'!K89*J17</f>
        <v>0</v>
      </c>
      <c r="K19" s="291">
        <f>'Development Schedule'!L89*K17</f>
        <v>0</v>
      </c>
      <c r="L19" s="291">
        <f>'Development Schedule'!M89*L17</f>
        <v>0</v>
      </c>
      <c r="M19" s="292">
        <f>'Development Schedule'!N89*M17</f>
        <v>0</v>
      </c>
    </row>
    <row r="20" spans="1:14" ht="14.1" customHeight="1">
      <c r="A20" s="222" t="s">
        <v>13</v>
      </c>
      <c r="B20" s="227"/>
      <c r="C20" s="152"/>
      <c r="D20" s="248"/>
      <c r="E20" s="228"/>
      <c r="F20" s="248"/>
      <c r="G20" s="228"/>
      <c r="H20" s="228"/>
      <c r="I20" s="231"/>
      <c r="J20" s="248"/>
      <c r="K20" s="228"/>
      <c r="L20" s="228"/>
      <c r="M20" s="231"/>
    </row>
    <row r="21" spans="1:14" ht="13.8" thickBot="1">
      <c r="A21" s="371" t="s">
        <v>3</v>
      </c>
      <c r="B21" s="67"/>
      <c r="C21" s="250">
        <f>SUM(C19:C20)</f>
        <v>0</v>
      </c>
      <c r="D21" s="250">
        <f t="shared" ref="D21:M21" si="8">SUM(D19:D20)</f>
        <v>0</v>
      </c>
      <c r="E21" s="224">
        <f t="shared" si="8"/>
        <v>0</v>
      </c>
      <c r="F21" s="250">
        <f t="shared" si="8"/>
        <v>19330217.837567996</v>
      </c>
      <c r="G21" s="224">
        <f t="shared" si="8"/>
        <v>39433644.388638712</v>
      </c>
      <c r="H21" s="224">
        <f t="shared" si="8"/>
        <v>0</v>
      </c>
      <c r="I21" s="225">
        <f t="shared" si="8"/>
        <v>0</v>
      </c>
      <c r="J21" s="250">
        <f t="shared" si="8"/>
        <v>0</v>
      </c>
      <c r="K21" s="224">
        <f t="shared" si="8"/>
        <v>0</v>
      </c>
      <c r="L21" s="224">
        <f t="shared" si="8"/>
        <v>0</v>
      </c>
      <c r="M21" s="225">
        <f t="shared" si="8"/>
        <v>0</v>
      </c>
    </row>
    <row r="22" spans="1:14" ht="13.8" thickBot="1">
      <c r="A22" s="185" t="s">
        <v>4</v>
      </c>
      <c r="B22" s="182"/>
      <c r="C22" s="191"/>
      <c r="D22" s="232"/>
      <c r="E22" s="188"/>
      <c r="F22" s="232"/>
      <c r="G22" s="188"/>
      <c r="H22" s="188"/>
      <c r="I22" s="189"/>
      <c r="J22" s="232"/>
      <c r="K22" s="188"/>
      <c r="L22" s="188"/>
      <c r="M22" s="189"/>
    </row>
    <row r="23" spans="1:14" ht="14.1" customHeight="1">
      <c r="A23" s="160" t="s">
        <v>5</v>
      </c>
      <c r="B23" s="64"/>
      <c r="C23" s="137">
        <f>C15</f>
        <v>0</v>
      </c>
      <c r="D23" s="247">
        <f t="shared" ref="D23:M23" si="9">D15</f>
        <v>0</v>
      </c>
      <c r="E23" s="216">
        <f t="shared" si="9"/>
        <v>0</v>
      </c>
      <c r="F23" s="247">
        <f t="shared" si="9"/>
        <v>2082072.9242396159</v>
      </c>
      <c r="G23" s="216">
        <f t="shared" si="9"/>
        <v>6371143.1481732242</v>
      </c>
      <c r="H23" s="216">
        <f t="shared" si="9"/>
        <v>6498566.0111366883</v>
      </c>
      <c r="I23" s="230">
        <f t="shared" si="9"/>
        <v>6628537.3313594218</v>
      </c>
      <c r="J23" s="247">
        <f t="shared" si="9"/>
        <v>6761108.0779866092</v>
      </c>
      <c r="K23" s="216">
        <f t="shared" si="9"/>
        <v>6896330.2395463418</v>
      </c>
      <c r="L23" s="216">
        <f t="shared" si="9"/>
        <v>7034256.8443372697</v>
      </c>
      <c r="M23" s="230">
        <f t="shared" si="9"/>
        <v>7174941.9812240154</v>
      </c>
      <c r="N23" s="375"/>
    </row>
    <row r="24" spans="1:14" ht="14.1" customHeight="1">
      <c r="A24" s="160" t="s">
        <v>59</v>
      </c>
      <c r="B24" s="108">
        <f>D36</f>
        <v>7.4999999999999997E-2</v>
      </c>
      <c r="C24" s="139">
        <v>0</v>
      </c>
      <c r="D24" s="237">
        <f>C24</f>
        <v>0</v>
      </c>
      <c r="E24" s="226">
        <f t="shared" ref="E24:L25" si="10">D24</f>
        <v>0</v>
      </c>
      <c r="F24" s="237">
        <f t="shared" si="10"/>
        <v>0</v>
      </c>
      <c r="G24" s="226">
        <f t="shared" si="10"/>
        <v>0</v>
      </c>
      <c r="H24" s="226">
        <f t="shared" si="10"/>
        <v>0</v>
      </c>
      <c r="I24" s="238">
        <f t="shared" si="10"/>
        <v>0</v>
      </c>
      <c r="J24" s="237">
        <f t="shared" si="10"/>
        <v>0</v>
      </c>
      <c r="K24" s="226">
        <f t="shared" si="10"/>
        <v>0</v>
      </c>
      <c r="L24" s="226">
        <f t="shared" si="10"/>
        <v>0</v>
      </c>
      <c r="M24" s="238">
        <f>M23/B24</f>
        <v>95665893.082986876</v>
      </c>
      <c r="N24" s="375"/>
    </row>
    <row r="25" spans="1:14" ht="14.1" customHeight="1">
      <c r="A25" s="160" t="s">
        <v>60</v>
      </c>
      <c r="B25" s="108">
        <f>D37</f>
        <v>0.03</v>
      </c>
      <c r="C25" s="139">
        <v>0</v>
      </c>
      <c r="D25" s="237">
        <f>C25</f>
        <v>0</v>
      </c>
      <c r="E25" s="226">
        <f t="shared" si="10"/>
        <v>0</v>
      </c>
      <c r="F25" s="237">
        <f t="shared" si="10"/>
        <v>0</v>
      </c>
      <c r="G25" s="226">
        <f t="shared" si="10"/>
        <v>0</v>
      </c>
      <c r="H25" s="226">
        <f t="shared" si="10"/>
        <v>0</v>
      </c>
      <c r="I25" s="238">
        <f t="shared" si="10"/>
        <v>0</v>
      </c>
      <c r="J25" s="237">
        <f t="shared" si="10"/>
        <v>0</v>
      </c>
      <c r="K25" s="226">
        <f t="shared" si="10"/>
        <v>0</v>
      </c>
      <c r="L25" s="226">
        <f t="shared" si="10"/>
        <v>0</v>
      </c>
      <c r="M25" s="238">
        <f>M24*-B25</f>
        <v>-2869976.792489606</v>
      </c>
      <c r="N25" s="375"/>
    </row>
    <row r="26" spans="1:14" ht="14.1" customHeight="1">
      <c r="A26" s="222" t="s">
        <v>102</v>
      </c>
      <c r="B26" s="286"/>
      <c r="C26" s="253">
        <f>-C21</f>
        <v>0</v>
      </c>
      <c r="D26" s="254">
        <f t="shared" ref="D26:M26" si="11">-D21</f>
        <v>0</v>
      </c>
      <c r="E26" s="220">
        <f t="shared" si="11"/>
        <v>0</v>
      </c>
      <c r="F26" s="254">
        <f t="shared" si="11"/>
        <v>-19330217.837567996</v>
      </c>
      <c r="G26" s="220">
        <f t="shared" si="11"/>
        <v>-39433644.388638712</v>
      </c>
      <c r="H26" s="220">
        <f t="shared" si="11"/>
        <v>0</v>
      </c>
      <c r="I26" s="223">
        <f t="shared" si="11"/>
        <v>0</v>
      </c>
      <c r="J26" s="254">
        <f t="shared" si="11"/>
        <v>0</v>
      </c>
      <c r="K26" s="220">
        <f t="shared" si="11"/>
        <v>0</v>
      </c>
      <c r="L26" s="220">
        <f t="shared" si="11"/>
        <v>0</v>
      </c>
      <c r="M26" s="223">
        <f t="shared" si="11"/>
        <v>0</v>
      </c>
      <c r="N26" s="375"/>
    </row>
    <row r="27" spans="1:14" ht="13.8" thickBot="1">
      <c r="A27" s="371" t="s">
        <v>6</v>
      </c>
      <c r="B27" s="117"/>
      <c r="C27" s="249">
        <f>SUM(C23:C26)</f>
        <v>0</v>
      </c>
      <c r="D27" s="250">
        <f t="shared" ref="D27:M27" si="12">SUM(D23:D26)</f>
        <v>0</v>
      </c>
      <c r="E27" s="224">
        <f t="shared" si="12"/>
        <v>0</v>
      </c>
      <c r="F27" s="250">
        <f t="shared" si="12"/>
        <v>-17248144.913328379</v>
      </c>
      <c r="G27" s="224">
        <f t="shared" si="12"/>
        <v>-33062501.240465488</v>
      </c>
      <c r="H27" s="224">
        <f t="shared" si="12"/>
        <v>6498566.0111366883</v>
      </c>
      <c r="I27" s="225">
        <f t="shared" si="12"/>
        <v>6628537.3313594218</v>
      </c>
      <c r="J27" s="250">
        <f t="shared" si="12"/>
        <v>6761108.0779866092</v>
      </c>
      <c r="K27" s="224">
        <f t="shared" si="12"/>
        <v>6896330.2395463418</v>
      </c>
      <c r="L27" s="224">
        <f t="shared" si="12"/>
        <v>7034256.8443372697</v>
      </c>
      <c r="M27" s="225">
        <f t="shared" si="12"/>
        <v>99970858.271721289</v>
      </c>
      <c r="N27" s="375"/>
    </row>
    <row r="28" spans="1:14" ht="13.8" thickBot="1">
      <c r="A28" s="114" t="s">
        <v>26</v>
      </c>
      <c r="B28" s="105"/>
      <c r="C28" s="359">
        <f>C27+NPV(D38,D27:M27)</f>
        <v>28101503.320154436</v>
      </c>
      <c r="D28" s="356"/>
      <c r="E28" s="357"/>
      <c r="F28" s="356"/>
      <c r="G28" s="1008"/>
      <c r="H28" s="357"/>
      <c r="I28" s="358"/>
      <c r="J28" s="107"/>
      <c r="K28" s="107"/>
      <c r="L28" s="107"/>
      <c r="M28" s="175"/>
      <c r="N28" s="375"/>
    </row>
    <row r="29" spans="1:14" ht="13.8" thickBot="1">
      <c r="A29" s="80" t="s">
        <v>61</v>
      </c>
      <c r="B29" s="144"/>
      <c r="C29" s="260">
        <f>IRR(C27:M27,0)</f>
        <v>0.19914661987065641</v>
      </c>
      <c r="D29" s="241"/>
      <c r="E29" s="144"/>
      <c r="F29" s="241"/>
      <c r="G29" s="144"/>
      <c r="H29" s="144"/>
      <c r="I29" s="159"/>
      <c r="J29" s="144"/>
      <c r="K29" s="144"/>
      <c r="L29" s="144"/>
      <c r="M29" s="159"/>
    </row>
    <row r="30" spans="1:14" ht="13.8" thickBot="1">
      <c r="A30" s="80"/>
      <c r="B30" s="144"/>
      <c r="C30" s="380"/>
      <c r="D30" s="144"/>
      <c r="E30" s="64"/>
      <c r="F30" s="64"/>
      <c r="G30" s="64"/>
      <c r="H30" s="64"/>
      <c r="I30" s="64"/>
      <c r="J30" s="64"/>
      <c r="K30" s="64"/>
      <c r="L30" s="64"/>
      <c r="M30" s="64"/>
    </row>
    <row r="31" spans="1:14" ht="13.8" thickBot="1">
      <c r="A31" s="907" t="s">
        <v>96</v>
      </c>
      <c r="B31" s="973"/>
      <c r="C31" s="973"/>
      <c r="D31" s="998"/>
      <c r="E31" s="39"/>
      <c r="F31" s="39"/>
      <c r="G31" s="39"/>
      <c r="H31" s="39"/>
      <c r="I31" s="39"/>
      <c r="J31" s="39"/>
      <c r="K31" s="39"/>
      <c r="L31" s="39"/>
      <c r="M31" s="39"/>
    </row>
    <row r="32" spans="1:14" ht="13.8" thickBot="1">
      <c r="A32" s="78"/>
      <c r="B32" s="144"/>
      <c r="C32" s="83" t="s">
        <v>94</v>
      </c>
      <c r="D32" s="84" t="s">
        <v>95</v>
      </c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3.8" thickBot="1">
      <c r="A33" s="732" t="s">
        <v>48</v>
      </c>
      <c r="B33" s="67"/>
      <c r="C33" s="67">
        <f>ROUND(D33/500,0)</f>
        <v>335</v>
      </c>
      <c r="D33" s="215">
        <f>'Development Schedule'!C89</f>
        <v>167420</v>
      </c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13.8" thickBot="1">
      <c r="A34" s="39"/>
      <c r="B34" s="57"/>
      <c r="C34" s="57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3.8" thickBot="1">
      <c r="A35" s="907" t="s">
        <v>103</v>
      </c>
      <c r="B35" s="908"/>
      <c r="C35" s="908"/>
      <c r="D35" s="999"/>
      <c r="E35" s="39"/>
      <c r="F35" s="39"/>
      <c r="G35" s="39"/>
      <c r="H35" s="39"/>
      <c r="I35" s="39"/>
      <c r="J35" s="39"/>
      <c r="K35" s="39"/>
      <c r="L35" s="39"/>
      <c r="M35" s="39"/>
    </row>
    <row r="36" spans="1:13">
      <c r="A36" s="63" t="s">
        <v>104</v>
      </c>
      <c r="B36" s="64"/>
      <c r="C36" s="64"/>
      <c r="D36" s="203">
        <f>'Summary Board'!K125</f>
        <v>7.4999999999999997E-2</v>
      </c>
      <c r="E36" s="39"/>
      <c r="F36" s="39"/>
      <c r="G36" s="39"/>
      <c r="H36" s="39"/>
      <c r="I36" s="39"/>
      <c r="J36" s="39"/>
      <c r="K36" s="39"/>
      <c r="L36" s="39"/>
      <c r="M36" s="39"/>
    </row>
    <row r="37" spans="1:13">
      <c r="A37" s="63" t="s">
        <v>105</v>
      </c>
      <c r="B37" s="64"/>
      <c r="C37" s="64"/>
      <c r="D37" s="203">
        <v>0.03</v>
      </c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3.8" thickBot="1">
      <c r="A38" s="66" t="s">
        <v>92</v>
      </c>
      <c r="B38" s="67"/>
      <c r="C38" s="67"/>
      <c r="D38" s="201">
        <v>0.08</v>
      </c>
      <c r="E38" s="39"/>
      <c r="F38" s="39"/>
      <c r="G38" s="39"/>
      <c r="H38" s="39"/>
      <c r="I38" s="39"/>
      <c r="J38" s="39"/>
      <c r="K38" s="39"/>
      <c r="L38" s="39"/>
      <c r="M38" s="39"/>
    </row>
    <row r="39" spans="1:13">
      <c r="A39" s="39"/>
      <c r="B39" s="57"/>
      <c r="C39" s="57"/>
      <c r="D39" s="39"/>
      <c r="E39" s="39"/>
      <c r="F39" s="39"/>
      <c r="G39" s="39"/>
      <c r="H39" s="39"/>
      <c r="I39" s="39"/>
      <c r="J39" s="39"/>
      <c r="K39" s="39"/>
      <c r="L39" s="39"/>
      <c r="M39" s="39"/>
    </row>
  </sheetData>
  <mergeCells count="3">
    <mergeCell ref="D3:E3"/>
    <mergeCell ref="F3:I3"/>
    <mergeCell ref="J3:M3"/>
  </mergeCells>
  <phoneticPr fontId="3" type="noConversion"/>
  <printOptions horizontalCentered="1"/>
  <pageMargins left="0.5" right="0.5" top="1" bottom="0.5" header="0.5" footer="0.5"/>
  <pageSetup scale="69" orientation="landscape" r:id="rId1"/>
  <headerFooter alignWithMargins="0">
    <oddHeader>&amp;L&amp;"Arial,Bold"7. Income Statement: Hotel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79"/>
  <sheetViews>
    <sheetView view="pageBreakPreview" topLeftCell="A31" zoomScale="85" zoomScaleNormal="100" zoomScaleSheetLayoutView="85" workbookViewId="0">
      <selection activeCell="F68" sqref="F68"/>
    </sheetView>
  </sheetViews>
  <sheetFormatPr defaultColWidth="9.109375" defaultRowHeight="13.8" outlineLevelRow="1"/>
  <cols>
    <col min="1" max="1" width="23.109375" style="1" customWidth="1"/>
    <col min="2" max="2" width="12.6640625" style="2" customWidth="1"/>
    <col min="3" max="3" width="13.6640625" style="2" customWidth="1"/>
    <col min="4" max="4" width="13.6640625" style="1" customWidth="1"/>
    <col min="5" max="5" width="16.5546875" style="1" bestFit="1" customWidth="1"/>
    <col min="6" max="7" width="15.5546875" style="1" bestFit="1" customWidth="1"/>
    <col min="8" max="13" width="13.6640625" style="1" customWidth="1"/>
    <col min="14" max="16384" width="9.109375" style="1"/>
  </cols>
  <sheetData>
    <row r="1" spans="1:15" ht="14.1" customHeight="1" thickBot="1">
      <c r="A1" s="73"/>
      <c r="B1" s="64"/>
      <c r="C1" s="64"/>
      <c r="D1" s="73"/>
      <c r="E1" s="73"/>
      <c r="F1" s="39"/>
      <c r="G1" s="39"/>
      <c r="H1" s="39"/>
      <c r="I1" s="39"/>
      <c r="J1" s="39"/>
      <c r="K1" s="39"/>
      <c r="L1" s="134" t="s">
        <v>93</v>
      </c>
      <c r="M1" s="306">
        <v>191863</v>
      </c>
    </row>
    <row r="2" spans="1:15" ht="14.1" customHeight="1" thickBot="1">
      <c r="A2" s="73"/>
      <c r="B2" s="64"/>
      <c r="C2" s="64"/>
      <c r="D2" s="73"/>
      <c r="E2" s="73"/>
      <c r="F2" s="39"/>
      <c r="G2" s="118"/>
      <c r="H2" s="39"/>
      <c r="I2" s="39"/>
      <c r="J2" s="39"/>
      <c r="K2" s="39"/>
      <c r="L2" s="343"/>
      <c r="M2" s="344"/>
    </row>
    <row r="3" spans="1:15" ht="14.1" customHeight="1" thickBot="1">
      <c r="A3" s="63"/>
      <c r="B3" s="64"/>
      <c r="C3" s="128" t="s">
        <v>57</v>
      </c>
      <c r="D3" s="1227" t="s">
        <v>36</v>
      </c>
      <c r="E3" s="1228"/>
      <c r="F3" s="1229" t="s">
        <v>78</v>
      </c>
      <c r="G3" s="1230"/>
      <c r="H3" s="1230"/>
      <c r="I3" s="1231"/>
      <c r="J3" s="1232" t="s">
        <v>79</v>
      </c>
      <c r="K3" s="1233"/>
      <c r="L3" s="1233"/>
      <c r="M3" s="1234"/>
      <c r="N3" s="3"/>
      <c r="O3" s="3"/>
    </row>
    <row r="4" spans="1:15" ht="14.1" customHeight="1" thickBot="1">
      <c r="A4" s="63"/>
      <c r="B4" s="64"/>
      <c r="C4" s="136">
        <v>0</v>
      </c>
      <c r="D4" s="45">
        <f>C4+1</f>
        <v>1</v>
      </c>
      <c r="E4" s="44">
        <f t="shared" ref="E4:M5" si="0">D4+1</f>
        <v>2</v>
      </c>
      <c r="F4" s="909">
        <f t="shared" si="0"/>
        <v>3</v>
      </c>
      <c r="G4" s="910">
        <f t="shared" si="0"/>
        <v>4</v>
      </c>
      <c r="H4" s="135">
        <f t="shared" si="0"/>
        <v>5</v>
      </c>
      <c r="I4" s="102">
        <f t="shared" si="0"/>
        <v>6</v>
      </c>
      <c r="J4" s="101">
        <f t="shared" si="0"/>
        <v>7</v>
      </c>
      <c r="K4" s="100">
        <f t="shared" si="0"/>
        <v>8</v>
      </c>
      <c r="L4" s="100">
        <f t="shared" si="0"/>
        <v>9</v>
      </c>
      <c r="M4" s="102">
        <f t="shared" si="0"/>
        <v>10</v>
      </c>
      <c r="N4" s="3"/>
      <c r="O4" s="3"/>
    </row>
    <row r="5" spans="1:15" ht="14.1" customHeight="1" thickBot="1">
      <c r="A5" s="66"/>
      <c r="B5" s="135"/>
      <c r="C5" s="136" t="s">
        <v>337</v>
      </c>
      <c r="D5" s="267">
        <v>2021</v>
      </c>
      <c r="E5" s="100">
        <f>D5+1</f>
        <v>2022</v>
      </c>
      <c r="F5" s="101">
        <f t="shared" si="0"/>
        <v>2023</v>
      </c>
      <c r="G5" s="910">
        <f t="shared" si="0"/>
        <v>2024</v>
      </c>
      <c r="H5" s="100">
        <f t="shared" si="0"/>
        <v>2025</v>
      </c>
      <c r="I5" s="102">
        <f t="shared" si="0"/>
        <v>2026</v>
      </c>
      <c r="J5" s="101">
        <f t="shared" si="0"/>
        <v>2027</v>
      </c>
      <c r="K5" s="100">
        <f t="shared" si="0"/>
        <v>2028</v>
      </c>
      <c r="L5" s="100">
        <f>K5+1</f>
        <v>2029</v>
      </c>
      <c r="M5" s="102">
        <f>L5+1</f>
        <v>2030</v>
      </c>
      <c r="N5" s="3"/>
      <c r="O5" s="3"/>
    </row>
    <row r="6" spans="1:15" ht="14.4" thickBot="1">
      <c r="A6" s="185" t="s">
        <v>9</v>
      </c>
      <c r="B6" s="182"/>
      <c r="C6" s="191"/>
      <c r="D6" s="194"/>
      <c r="E6" s="183"/>
      <c r="F6" s="194"/>
      <c r="G6" s="183"/>
      <c r="H6" s="183"/>
      <c r="I6" s="184"/>
      <c r="J6" s="194"/>
      <c r="K6" s="183"/>
      <c r="L6" s="183"/>
      <c r="M6" s="184"/>
    </row>
    <row r="7" spans="1:15" s="263" customFormat="1">
      <c r="A7" s="62" t="s">
        <v>438</v>
      </c>
      <c r="B7" s="64"/>
      <c r="C7" s="196"/>
      <c r="D7" s="123"/>
      <c r="E7" s="302"/>
      <c r="F7" s="123"/>
      <c r="G7" s="302"/>
      <c r="H7" s="302"/>
      <c r="I7" s="303"/>
      <c r="J7" s="73"/>
      <c r="K7" s="73"/>
      <c r="L7" s="73"/>
      <c r="M7" s="111"/>
    </row>
    <row r="8" spans="1:15">
      <c r="A8" s="63" t="s">
        <v>10</v>
      </c>
      <c r="B8" s="122">
        <v>0.02</v>
      </c>
      <c r="C8" s="278"/>
      <c r="D8" s="63"/>
      <c r="E8" s="73"/>
      <c r="F8" s="63"/>
      <c r="G8" s="73"/>
      <c r="H8" s="73"/>
      <c r="I8" s="111"/>
      <c r="J8" s="73"/>
      <c r="K8" s="73"/>
      <c r="L8" s="73"/>
      <c r="M8" s="111"/>
    </row>
    <row r="9" spans="1:15">
      <c r="A9" s="63" t="s">
        <v>27</v>
      </c>
      <c r="B9" s="64"/>
      <c r="C9" s="305">
        <v>0</v>
      </c>
      <c r="D9" s="198">
        <f>C9</f>
        <v>0</v>
      </c>
      <c r="E9" s="171">
        <f>C65</f>
        <v>1199.2</v>
      </c>
      <c r="F9" s="198">
        <f>E9</f>
        <v>1199.2</v>
      </c>
      <c r="G9" s="171">
        <f t="shared" ref="G9:M9" si="1">F9</f>
        <v>1199.2</v>
      </c>
      <c r="H9" s="171">
        <f t="shared" si="1"/>
        <v>1199.2</v>
      </c>
      <c r="I9" s="176">
        <f t="shared" si="1"/>
        <v>1199.2</v>
      </c>
      <c r="J9" s="171">
        <f t="shared" si="1"/>
        <v>1199.2</v>
      </c>
      <c r="K9" s="171">
        <f t="shared" si="1"/>
        <v>1199.2</v>
      </c>
      <c r="L9" s="171">
        <f t="shared" si="1"/>
        <v>1199.2</v>
      </c>
      <c r="M9" s="171">
        <f t="shared" si="1"/>
        <v>1199.2</v>
      </c>
    </row>
    <row r="10" spans="1:15">
      <c r="A10" s="63" t="s">
        <v>82</v>
      </c>
      <c r="B10" s="64"/>
      <c r="C10" s="305">
        <v>0</v>
      </c>
      <c r="D10" s="198">
        <f>C10</f>
        <v>0</v>
      </c>
      <c r="E10" s="171">
        <f>D65</f>
        <v>239840</v>
      </c>
      <c r="F10" s="198">
        <f>E10</f>
        <v>239840</v>
      </c>
      <c r="G10" s="171">
        <f t="shared" ref="G10:M10" si="2">F10</f>
        <v>239840</v>
      </c>
      <c r="H10" s="171">
        <f t="shared" si="2"/>
        <v>239840</v>
      </c>
      <c r="I10" s="176">
        <f t="shared" si="2"/>
        <v>239840</v>
      </c>
      <c r="J10" s="171">
        <f t="shared" si="2"/>
        <v>239840</v>
      </c>
      <c r="K10" s="171">
        <f t="shared" si="2"/>
        <v>239840</v>
      </c>
      <c r="L10" s="171">
        <f t="shared" si="2"/>
        <v>239840</v>
      </c>
      <c r="M10" s="176">
        <f t="shared" si="2"/>
        <v>239840</v>
      </c>
    </row>
    <row r="11" spans="1:15">
      <c r="A11" s="160" t="s">
        <v>18</v>
      </c>
      <c r="B11" s="64"/>
      <c r="C11" s="1001">
        <f>170</f>
        <v>170</v>
      </c>
      <c r="D11" s="428">
        <f>$C$11*(1+$B8)^D$4</f>
        <v>173.4</v>
      </c>
      <c r="E11" s="332">
        <f t="shared" ref="E11:M11" si="3">$C$11*(1+$B8)^E$4</f>
        <v>176.86799999999999</v>
      </c>
      <c r="F11" s="428">
        <f t="shared" si="3"/>
        <v>180.40536</v>
      </c>
      <c r="G11" s="332">
        <f t="shared" si="3"/>
        <v>184.01346720000001</v>
      </c>
      <c r="H11" s="332">
        <f t="shared" si="3"/>
        <v>187.69373654399999</v>
      </c>
      <c r="I11" s="400">
        <f t="shared" si="3"/>
        <v>191.44761127488002</v>
      </c>
      <c r="J11" s="332">
        <f t="shared" si="3"/>
        <v>195.27656350037756</v>
      </c>
      <c r="K11" s="332">
        <f t="shared" si="3"/>
        <v>199.18209477038513</v>
      </c>
      <c r="L11" s="332">
        <f t="shared" si="3"/>
        <v>203.16573666579285</v>
      </c>
      <c r="M11" s="400">
        <f t="shared" si="3"/>
        <v>207.2290513991087</v>
      </c>
    </row>
    <row r="12" spans="1:15">
      <c r="A12" s="160" t="s">
        <v>19</v>
      </c>
      <c r="B12" s="64"/>
      <c r="C12" s="1006">
        <v>0.6</v>
      </c>
      <c r="D12" s="255"/>
      <c r="E12" s="108"/>
      <c r="F12" s="255"/>
      <c r="G12" s="108"/>
      <c r="H12" s="108"/>
      <c r="I12" s="206"/>
      <c r="J12" s="108"/>
      <c r="K12" s="108"/>
      <c r="L12" s="108"/>
      <c r="M12" s="206"/>
    </row>
    <row r="13" spans="1:15">
      <c r="A13" s="160" t="s">
        <v>20</v>
      </c>
      <c r="B13" s="64"/>
      <c r="C13" s="1006">
        <v>0.6</v>
      </c>
      <c r="D13" s="255"/>
      <c r="E13" s="108"/>
      <c r="F13" s="255"/>
      <c r="G13" s="108"/>
      <c r="H13" s="108"/>
      <c r="I13" s="206"/>
      <c r="J13" s="108"/>
      <c r="K13" s="108"/>
      <c r="L13" s="108"/>
      <c r="M13" s="206"/>
    </row>
    <row r="14" spans="1:15">
      <c r="A14" s="160" t="s">
        <v>21</v>
      </c>
      <c r="B14" s="64"/>
      <c r="C14" s="1007">
        <f>52*2</f>
        <v>104</v>
      </c>
      <c r="D14" s="196"/>
      <c r="E14" s="64"/>
      <c r="F14" s="196"/>
      <c r="G14" s="64"/>
      <c r="H14" s="64"/>
      <c r="I14" s="168"/>
      <c r="J14" s="64"/>
      <c r="K14" s="64"/>
      <c r="L14" s="64"/>
      <c r="M14" s="168"/>
    </row>
    <row r="15" spans="1:15">
      <c r="A15" s="160" t="s">
        <v>22</v>
      </c>
      <c r="B15" s="64"/>
      <c r="C15" s="1007">
        <v>24</v>
      </c>
      <c r="D15" s="196"/>
      <c r="E15" s="64"/>
      <c r="F15" s="196"/>
      <c r="G15" s="64"/>
      <c r="H15" s="64"/>
      <c r="I15" s="168"/>
      <c r="J15" s="64"/>
      <c r="K15" s="64"/>
      <c r="L15" s="64"/>
      <c r="M15" s="168"/>
    </row>
    <row r="16" spans="1:15">
      <c r="A16" s="160" t="s">
        <v>23</v>
      </c>
      <c r="B16" s="64"/>
      <c r="C16" s="1006">
        <v>0.3</v>
      </c>
      <c r="D16" s="255"/>
      <c r="E16" s="108"/>
      <c r="F16" s="255"/>
      <c r="G16" s="108"/>
      <c r="H16" s="108"/>
      <c r="I16" s="206"/>
      <c r="J16" s="108"/>
      <c r="K16" s="108"/>
      <c r="L16" s="108"/>
      <c r="M16" s="206"/>
    </row>
    <row r="17" spans="1:13">
      <c r="A17" s="160" t="s">
        <v>24</v>
      </c>
      <c r="B17" s="64"/>
      <c r="C17" s="1007">
        <f>365-C14</f>
        <v>261</v>
      </c>
      <c r="D17" s="196"/>
      <c r="E17" s="64"/>
      <c r="F17" s="196"/>
      <c r="G17" s="64"/>
      <c r="H17" s="64"/>
      <c r="I17" s="168"/>
      <c r="J17" s="64"/>
      <c r="K17" s="64"/>
      <c r="L17" s="64"/>
      <c r="M17" s="168"/>
    </row>
    <row r="18" spans="1:13">
      <c r="A18" s="160" t="s">
        <v>22</v>
      </c>
      <c r="B18" s="64"/>
      <c r="C18" s="1007">
        <v>24</v>
      </c>
      <c r="D18" s="196"/>
      <c r="E18" s="64"/>
      <c r="F18" s="196"/>
      <c r="G18" s="64"/>
      <c r="H18" s="64"/>
      <c r="I18" s="168"/>
      <c r="J18" s="64"/>
      <c r="K18" s="64"/>
      <c r="L18" s="64"/>
      <c r="M18" s="168"/>
    </row>
    <row r="19" spans="1:13">
      <c r="A19" s="160" t="s">
        <v>23</v>
      </c>
      <c r="B19" s="64"/>
      <c r="C19" s="1006">
        <v>0.3</v>
      </c>
      <c r="D19" s="255"/>
      <c r="E19" s="108"/>
      <c r="F19" s="255"/>
      <c r="G19" s="108"/>
      <c r="H19" s="108"/>
      <c r="I19" s="206"/>
      <c r="J19" s="108"/>
      <c r="K19" s="108"/>
      <c r="L19" s="108"/>
      <c r="M19" s="206"/>
    </row>
    <row r="20" spans="1:13" s="425" customFormat="1">
      <c r="A20" s="160" t="s">
        <v>25</v>
      </c>
      <c r="B20" s="64"/>
      <c r="C20" s="1002">
        <f>3</f>
        <v>3</v>
      </c>
      <c r="D20" s="428">
        <f t="shared" ref="D20:M20" si="4">$C$20*(1+$B8)^D$4</f>
        <v>3.06</v>
      </c>
      <c r="E20" s="332">
        <f t="shared" si="4"/>
        <v>3.1212</v>
      </c>
      <c r="F20" s="428">
        <f t="shared" si="4"/>
        <v>3.183624</v>
      </c>
      <c r="G20" s="332">
        <f t="shared" si="4"/>
        <v>3.2472964800000002</v>
      </c>
      <c r="H20" s="332">
        <f t="shared" si="4"/>
        <v>3.3122424096</v>
      </c>
      <c r="I20" s="400">
        <f t="shared" si="4"/>
        <v>3.378487257792</v>
      </c>
      <c r="J20" s="332">
        <f t="shared" si="4"/>
        <v>3.4460570029478395</v>
      </c>
      <c r="K20" s="332">
        <f t="shared" si="4"/>
        <v>3.5149781430067968</v>
      </c>
      <c r="L20" s="332">
        <f t="shared" si="4"/>
        <v>3.5852777058669325</v>
      </c>
      <c r="M20" s="400">
        <f t="shared" si="4"/>
        <v>3.6569832599842713</v>
      </c>
    </row>
    <row r="21" spans="1:13" ht="14.4" thickBot="1">
      <c r="A21" s="133" t="s">
        <v>170</v>
      </c>
      <c r="B21" s="67"/>
      <c r="C21" s="1003">
        <v>0.5</v>
      </c>
      <c r="D21" s="430">
        <f t="shared" ref="D21:M21" si="5">$C$21*(1+$B8)^D$4</f>
        <v>0.51</v>
      </c>
      <c r="E21" s="429">
        <f t="shared" si="5"/>
        <v>0.5202</v>
      </c>
      <c r="F21" s="430">
        <f t="shared" si="5"/>
        <v>0.53060399999999996</v>
      </c>
      <c r="G21" s="429">
        <f t="shared" si="5"/>
        <v>0.54121607999999999</v>
      </c>
      <c r="H21" s="429">
        <f t="shared" si="5"/>
        <v>0.55204040160000001</v>
      </c>
      <c r="I21" s="401">
        <f t="shared" si="5"/>
        <v>0.56308120963200003</v>
      </c>
      <c r="J21" s="429">
        <f t="shared" si="5"/>
        <v>0.57434283382463991</v>
      </c>
      <c r="K21" s="429">
        <f t="shared" si="5"/>
        <v>0.58582969050113276</v>
      </c>
      <c r="L21" s="429">
        <f t="shared" si="5"/>
        <v>0.59754628431115542</v>
      </c>
      <c r="M21" s="401">
        <f t="shared" si="5"/>
        <v>0.60949720999737855</v>
      </c>
    </row>
    <row r="22" spans="1:13" outlineLevel="1">
      <c r="A22" s="307" t="s">
        <v>171</v>
      </c>
      <c r="B22" s="190"/>
      <c r="C22" s="233">
        <f>C9*C11*$C13*12</f>
        <v>0</v>
      </c>
      <c r="D22" s="421">
        <f t="shared" ref="D22:M22" si="6">D9*D11*$C13*12</f>
        <v>0</v>
      </c>
      <c r="E22" s="431">
        <f t="shared" si="6"/>
        <v>1527120.7603199999</v>
      </c>
      <c r="F22" s="421">
        <f t="shared" si="6"/>
        <v>1557663.1755264001</v>
      </c>
      <c r="G22" s="216">
        <f t="shared" si="6"/>
        <v>1588816.4390369281</v>
      </c>
      <c r="H22" s="431">
        <f t="shared" si="6"/>
        <v>1620592.7678176663</v>
      </c>
      <c r="I22" s="432">
        <f t="shared" si="6"/>
        <v>1653004.6231740201</v>
      </c>
      <c r="J22" s="421">
        <f t="shared" si="6"/>
        <v>1686064.7156374999</v>
      </c>
      <c r="K22" s="431">
        <f t="shared" si="6"/>
        <v>1719786.0099502502</v>
      </c>
      <c r="L22" s="431">
        <f t="shared" si="6"/>
        <v>1754181.7301492554</v>
      </c>
      <c r="M22" s="432">
        <f t="shared" si="6"/>
        <v>1789265.3647522405</v>
      </c>
    </row>
    <row r="23" spans="1:13" outlineLevel="1">
      <c r="A23" s="160" t="s">
        <v>172</v>
      </c>
      <c r="B23" s="64"/>
      <c r="C23" s="138">
        <f>(C9*$C14*$C15*$C16*C20)+(C9*$C17*$C18*$C19*C20)</f>
        <v>0</v>
      </c>
      <c r="D23" s="239">
        <f t="shared" ref="D23:M23" si="7">(D9*$C$14*$C$15*$C$16*D20)+(D9*$C$17*$C$18*$C$19*D20)</f>
        <v>0</v>
      </c>
      <c r="E23" s="218">
        <f t="shared" si="7"/>
        <v>9836454.3091200013</v>
      </c>
      <c r="F23" s="239">
        <f t="shared" si="7"/>
        <v>10033183.3953024</v>
      </c>
      <c r="G23" s="218">
        <f t="shared" si="7"/>
        <v>10233847.06320845</v>
      </c>
      <c r="H23" s="218">
        <f t="shared" si="7"/>
        <v>10438524.004472617</v>
      </c>
      <c r="I23" s="240">
        <f t="shared" si="7"/>
        <v>10647294.484562069</v>
      </c>
      <c r="J23" s="239">
        <f t="shared" si="7"/>
        <v>10860240.37425331</v>
      </c>
      <c r="K23" s="218">
        <f t="shared" si="7"/>
        <v>11077445.181738377</v>
      </c>
      <c r="L23" s="218">
        <f t="shared" si="7"/>
        <v>11298994.085373145</v>
      </c>
      <c r="M23" s="240">
        <f t="shared" si="7"/>
        <v>11524973.967080608</v>
      </c>
    </row>
    <row r="24" spans="1:13" ht="14.4" outlineLevel="1" thickBot="1">
      <c r="A24" s="133" t="s">
        <v>167</v>
      </c>
      <c r="B24" s="67"/>
      <c r="C24" s="437">
        <f t="shared" ref="C24:M24" si="8">C10*C21</f>
        <v>0</v>
      </c>
      <c r="D24" s="417">
        <f t="shared" si="8"/>
        <v>0</v>
      </c>
      <c r="E24" s="433">
        <f t="shared" si="8"/>
        <v>124764.768</v>
      </c>
      <c r="F24" s="417">
        <f t="shared" si="8"/>
        <v>127260.06335999999</v>
      </c>
      <c r="G24" s="433">
        <f t="shared" si="8"/>
        <v>129805.2646272</v>
      </c>
      <c r="H24" s="433">
        <f t="shared" si="8"/>
        <v>132401.369919744</v>
      </c>
      <c r="I24" s="434">
        <f t="shared" si="8"/>
        <v>135049.39731813889</v>
      </c>
      <c r="J24" s="417">
        <f t="shared" si="8"/>
        <v>137750.38526450164</v>
      </c>
      <c r="K24" s="433">
        <f t="shared" si="8"/>
        <v>140505.39296979169</v>
      </c>
      <c r="L24" s="433">
        <f t="shared" si="8"/>
        <v>143315.50082918751</v>
      </c>
      <c r="M24" s="434">
        <f t="shared" si="8"/>
        <v>146181.81084577128</v>
      </c>
    </row>
    <row r="25" spans="1:13" s="263" customFormat="1">
      <c r="A25" s="62" t="s">
        <v>437</v>
      </c>
      <c r="B25" s="64"/>
      <c r="C25" s="196"/>
      <c r="D25" s="123"/>
      <c r="E25" s="302"/>
      <c r="F25" s="123"/>
      <c r="G25" s="73"/>
      <c r="H25" s="73"/>
      <c r="I25" s="111"/>
      <c r="J25" s="63"/>
      <c r="K25" s="73"/>
      <c r="L25" s="73"/>
      <c r="M25" s="111"/>
    </row>
    <row r="26" spans="1:13">
      <c r="A26" s="63" t="s">
        <v>10</v>
      </c>
      <c r="B26" s="122">
        <v>0.02</v>
      </c>
      <c r="C26" s="278"/>
      <c r="D26" s="63"/>
      <c r="E26" s="73"/>
      <c r="F26" s="63"/>
      <c r="G26" s="73"/>
      <c r="H26" s="73"/>
      <c r="I26" s="111"/>
      <c r="J26" s="63"/>
      <c r="K26" s="73"/>
      <c r="L26" s="73"/>
      <c r="M26" s="111"/>
    </row>
    <row r="27" spans="1:13">
      <c r="A27" s="63" t="s">
        <v>27</v>
      </c>
      <c r="B27" s="64"/>
      <c r="C27" s="305">
        <v>0</v>
      </c>
      <c r="D27" s="198">
        <f>C27</f>
        <v>0</v>
      </c>
      <c r="E27" s="171">
        <f>C27</f>
        <v>0</v>
      </c>
      <c r="F27" s="198">
        <f>C66+C67</f>
        <v>1411.27</v>
      </c>
      <c r="G27" s="171">
        <f>F27</f>
        <v>1411.27</v>
      </c>
      <c r="H27" s="171">
        <f>F27</f>
        <v>1411.27</v>
      </c>
      <c r="I27" s="176">
        <f>F27</f>
        <v>1411.27</v>
      </c>
      <c r="J27" s="198">
        <f>F27</f>
        <v>1411.27</v>
      </c>
      <c r="K27" s="171">
        <f>F27</f>
        <v>1411.27</v>
      </c>
      <c r="L27" s="171">
        <f>F27</f>
        <v>1411.27</v>
      </c>
      <c r="M27" s="176">
        <f>F27</f>
        <v>1411.27</v>
      </c>
    </row>
    <row r="28" spans="1:13">
      <c r="A28" s="63" t="s">
        <v>82</v>
      </c>
      <c r="B28" s="64"/>
      <c r="C28" s="305">
        <v>0</v>
      </c>
      <c r="D28" s="198">
        <f t="shared" ref="D28:E28" si="9">C28</f>
        <v>0</v>
      </c>
      <c r="E28" s="171">
        <f t="shared" si="9"/>
        <v>0</v>
      </c>
      <c r="F28" s="198">
        <f>D66+D67</f>
        <v>282254</v>
      </c>
      <c r="G28" s="171">
        <f t="shared" ref="G28:M28" si="10">F28</f>
        <v>282254</v>
      </c>
      <c r="H28" s="171">
        <f>D66</f>
        <v>55950</v>
      </c>
      <c r="I28" s="176">
        <f t="shared" si="10"/>
        <v>55950</v>
      </c>
      <c r="J28" s="198">
        <f t="shared" si="10"/>
        <v>55950</v>
      </c>
      <c r="K28" s="171">
        <f t="shared" si="10"/>
        <v>55950</v>
      </c>
      <c r="L28" s="171">
        <f t="shared" si="10"/>
        <v>55950</v>
      </c>
      <c r="M28" s="176">
        <f t="shared" si="10"/>
        <v>55950</v>
      </c>
    </row>
    <row r="29" spans="1:13">
      <c r="A29" s="160" t="s">
        <v>18</v>
      </c>
      <c r="B29" s="64"/>
      <c r="C29" s="416">
        <f t="shared" ref="C29:M29" si="11">C11</f>
        <v>170</v>
      </c>
      <c r="D29" s="428">
        <f t="shared" si="11"/>
        <v>173.4</v>
      </c>
      <c r="E29" s="332">
        <f t="shared" si="11"/>
        <v>176.86799999999999</v>
      </c>
      <c r="F29" s="428">
        <f t="shared" si="11"/>
        <v>180.40536</v>
      </c>
      <c r="G29" s="332">
        <f t="shared" si="11"/>
        <v>184.01346720000001</v>
      </c>
      <c r="H29" s="332">
        <f t="shared" si="11"/>
        <v>187.69373654399999</v>
      </c>
      <c r="I29" s="400">
        <f t="shared" si="11"/>
        <v>191.44761127488002</v>
      </c>
      <c r="J29" s="428">
        <f t="shared" si="11"/>
        <v>195.27656350037756</v>
      </c>
      <c r="K29" s="332">
        <f t="shared" si="11"/>
        <v>199.18209477038513</v>
      </c>
      <c r="L29" s="332">
        <f t="shared" si="11"/>
        <v>203.16573666579285</v>
      </c>
      <c r="M29" s="400">
        <f t="shared" si="11"/>
        <v>207.2290513991087</v>
      </c>
    </row>
    <row r="30" spans="1:13">
      <c r="A30" s="160" t="s">
        <v>19</v>
      </c>
      <c r="B30" s="64"/>
      <c r="C30" s="205">
        <v>0.6</v>
      </c>
      <c r="D30" s="255"/>
      <c r="E30" s="108"/>
      <c r="F30" s="255"/>
      <c r="G30" s="108"/>
      <c r="H30" s="108"/>
      <c r="I30" s="206"/>
      <c r="J30" s="255"/>
      <c r="K30" s="108"/>
      <c r="L30" s="108"/>
      <c r="M30" s="206"/>
    </row>
    <row r="31" spans="1:13">
      <c r="A31" s="160" t="s">
        <v>20</v>
      </c>
      <c r="B31" s="64"/>
      <c r="C31" s="205">
        <v>0.6</v>
      </c>
      <c r="D31" s="255"/>
      <c r="E31" s="108"/>
      <c r="F31" s="255"/>
      <c r="G31" s="108"/>
      <c r="H31" s="108"/>
      <c r="I31" s="206"/>
      <c r="J31" s="255"/>
      <c r="K31" s="108"/>
      <c r="L31" s="108"/>
      <c r="M31" s="206"/>
    </row>
    <row r="32" spans="1:13">
      <c r="A32" s="160" t="s">
        <v>21</v>
      </c>
      <c r="B32" s="64"/>
      <c r="C32" s="435">
        <f>52*2</f>
        <v>104</v>
      </c>
      <c r="D32" s="196"/>
      <c r="E32" s="64"/>
      <c r="F32" s="196"/>
      <c r="G32" s="64"/>
      <c r="H32" s="64"/>
      <c r="I32" s="168"/>
      <c r="J32" s="196"/>
      <c r="K32" s="64"/>
      <c r="L32" s="64"/>
      <c r="M32" s="168"/>
    </row>
    <row r="33" spans="1:14">
      <c r="A33" s="160" t="s">
        <v>22</v>
      </c>
      <c r="B33" s="64"/>
      <c r="C33" s="435">
        <v>24</v>
      </c>
      <c r="D33" s="196"/>
      <c r="E33" s="64"/>
      <c r="F33" s="196"/>
      <c r="G33" s="64"/>
      <c r="H33" s="64"/>
      <c r="I33" s="168"/>
      <c r="J33" s="196"/>
      <c r="K33" s="64"/>
      <c r="L33" s="64"/>
      <c r="M33" s="168"/>
    </row>
    <row r="34" spans="1:14">
      <c r="A34" s="160" t="s">
        <v>23</v>
      </c>
      <c r="B34" s="64"/>
      <c r="C34" s="205">
        <v>0.3</v>
      </c>
      <c r="D34" s="255"/>
      <c r="E34" s="108"/>
      <c r="F34" s="255"/>
      <c r="G34" s="108"/>
      <c r="H34" s="108"/>
      <c r="I34" s="206"/>
      <c r="J34" s="255"/>
      <c r="K34" s="108"/>
      <c r="L34" s="108"/>
      <c r="M34" s="206"/>
    </row>
    <row r="35" spans="1:14">
      <c r="A35" s="160" t="s">
        <v>24</v>
      </c>
      <c r="B35" s="64"/>
      <c r="C35" s="196">
        <f>365-C32</f>
        <v>261</v>
      </c>
      <c r="D35" s="196"/>
      <c r="E35" s="64"/>
      <c r="F35" s="196"/>
      <c r="G35" s="64"/>
      <c r="H35" s="64"/>
      <c r="I35" s="168"/>
      <c r="J35" s="196"/>
      <c r="K35" s="64"/>
      <c r="L35" s="64"/>
      <c r="M35" s="168"/>
    </row>
    <row r="36" spans="1:14">
      <c r="A36" s="160" t="s">
        <v>22</v>
      </c>
      <c r="B36" s="64"/>
      <c r="C36" s="435">
        <v>24</v>
      </c>
      <c r="D36" s="196"/>
      <c r="E36" s="64"/>
      <c r="F36" s="196"/>
      <c r="G36" s="64"/>
      <c r="H36" s="64"/>
      <c r="I36" s="168"/>
      <c r="J36" s="196"/>
      <c r="K36" s="64"/>
      <c r="L36" s="64"/>
      <c r="M36" s="168"/>
    </row>
    <row r="37" spans="1:14">
      <c r="A37" s="160" t="s">
        <v>23</v>
      </c>
      <c r="B37" s="64"/>
      <c r="C37" s="205">
        <v>0.3</v>
      </c>
      <c r="D37" s="255"/>
      <c r="E37" s="108"/>
      <c r="F37" s="255"/>
      <c r="G37" s="108"/>
      <c r="H37" s="108"/>
      <c r="I37" s="206"/>
      <c r="J37" s="255"/>
      <c r="K37" s="108"/>
      <c r="L37" s="108"/>
      <c r="M37" s="206"/>
    </row>
    <row r="38" spans="1:14" s="425" customFormat="1">
      <c r="A38" s="160" t="s">
        <v>25</v>
      </c>
      <c r="B38" s="64"/>
      <c r="C38" s="416">
        <f>C20</f>
        <v>3</v>
      </c>
      <c r="D38" s="428">
        <f t="shared" ref="D38:M38" si="12">$C$20*(1+$B26)^D$4</f>
        <v>3.06</v>
      </c>
      <c r="E38" s="332">
        <f t="shared" si="12"/>
        <v>3.1212</v>
      </c>
      <c r="F38" s="428">
        <f t="shared" si="12"/>
        <v>3.183624</v>
      </c>
      <c r="G38" s="332">
        <f t="shared" si="12"/>
        <v>3.2472964800000002</v>
      </c>
      <c r="H38" s="332">
        <f t="shared" si="12"/>
        <v>3.3122424096</v>
      </c>
      <c r="I38" s="400">
        <f t="shared" si="12"/>
        <v>3.378487257792</v>
      </c>
      <c r="J38" s="428">
        <f t="shared" si="12"/>
        <v>3.4460570029478395</v>
      </c>
      <c r="K38" s="332">
        <f t="shared" si="12"/>
        <v>3.5149781430067968</v>
      </c>
      <c r="L38" s="332">
        <f t="shared" si="12"/>
        <v>3.5852777058669325</v>
      </c>
      <c r="M38" s="400">
        <f t="shared" si="12"/>
        <v>3.6569832599842713</v>
      </c>
    </row>
    <row r="39" spans="1:14" ht="14.4" thickBot="1">
      <c r="A39" s="133" t="s">
        <v>170</v>
      </c>
      <c r="B39" s="67"/>
      <c r="C39" s="436">
        <f>C21</f>
        <v>0.5</v>
      </c>
      <c r="D39" s="430">
        <f t="shared" ref="D39:M39" si="13">$C$21*(1+$B26)^D$4</f>
        <v>0.51</v>
      </c>
      <c r="E39" s="429">
        <f t="shared" si="13"/>
        <v>0.5202</v>
      </c>
      <c r="F39" s="430">
        <f t="shared" si="13"/>
        <v>0.53060399999999996</v>
      </c>
      <c r="G39" s="429">
        <f t="shared" si="13"/>
        <v>0.54121607999999999</v>
      </c>
      <c r="H39" s="429">
        <f t="shared" si="13"/>
        <v>0.55204040160000001</v>
      </c>
      <c r="I39" s="401">
        <f t="shared" si="13"/>
        <v>0.56308120963200003</v>
      </c>
      <c r="J39" s="430">
        <f t="shared" si="13"/>
        <v>0.57434283382463991</v>
      </c>
      <c r="K39" s="429">
        <f t="shared" si="13"/>
        <v>0.58582969050113276</v>
      </c>
      <c r="L39" s="429">
        <f t="shared" si="13"/>
        <v>0.59754628431115542</v>
      </c>
      <c r="M39" s="401">
        <f t="shared" si="13"/>
        <v>0.60949720999737855</v>
      </c>
    </row>
    <row r="40" spans="1:14" outlineLevel="1">
      <c r="A40" s="307" t="s">
        <v>171</v>
      </c>
      <c r="B40" s="190"/>
      <c r="C40" s="233">
        <f>C27*C29*$C31*12</f>
        <v>0</v>
      </c>
      <c r="D40" s="421">
        <f t="shared" ref="D40:M40" si="14">D27*D29*$C31*12</f>
        <v>0</v>
      </c>
      <c r="E40" s="431">
        <f t="shared" si="14"/>
        <v>0</v>
      </c>
      <c r="F40" s="421">
        <f t="shared" si="14"/>
        <v>1833124.84133184</v>
      </c>
      <c r="G40" s="216">
        <f t="shared" si="14"/>
        <v>1869787.3381584766</v>
      </c>
      <c r="H40" s="431">
        <f t="shared" si="14"/>
        <v>1907183.0849216462</v>
      </c>
      <c r="I40" s="432">
        <f t="shared" si="14"/>
        <v>1945326.7466200795</v>
      </c>
      <c r="J40" s="421">
        <f t="shared" si="14"/>
        <v>1984233.2815524801</v>
      </c>
      <c r="K40" s="431">
        <f t="shared" si="14"/>
        <v>2023917.9471835303</v>
      </c>
      <c r="L40" s="431">
        <f t="shared" si="14"/>
        <v>2064396.3061272008</v>
      </c>
      <c r="M40" s="432">
        <f t="shared" si="14"/>
        <v>2105684.2322497452</v>
      </c>
    </row>
    <row r="41" spans="1:14" outlineLevel="1">
      <c r="A41" s="160" t="s">
        <v>172</v>
      </c>
      <c r="B41" s="64"/>
      <c r="C41" s="138">
        <f>(C27*$C32*$C33*$C34*C38)+(C27*$C35*$C36*$C37*C38)</f>
        <v>0</v>
      </c>
      <c r="D41" s="239">
        <f t="shared" ref="D41:M41" si="15">(D27*$C32*$C33*$C34*D38)+(D27*$C35*$C36*$C37*D38)</f>
        <v>0</v>
      </c>
      <c r="E41" s="218">
        <f t="shared" si="15"/>
        <v>0</v>
      </c>
      <c r="F41" s="239">
        <f t="shared" si="15"/>
        <v>11807480.595637439</v>
      </c>
      <c r="G41" s="218">
        <f t="shared" si="15"/>
        <v>12043630.20755019</v>
      </c>
      <c r="H41" s="218">
        <f t="shared" si="15"/>
        <v>12284502.811701192</v>
      </c>
      <c r="I41" s="240">
        <f t="shared" si="15"/>
        <v>12530192.867935216</v>
      </c>
      <c r="J41" s="239">
        <f t="shared" si="15"/>
        <v>12780796.725293918</v>
      </c>
      <c r="K41" s="218">
        <f t="shared" si="15"/>
        <v>13036412.659799799</v>
      </c>
      <c r="L41" s="218">
        <f t="shared" si="15"/>
        <v>13297140.912995793</v>
      </c>
      <c r="M41" s="240">
        <f t="shared" si="15"/>
        <v>13563083.73125571</v>
      </c>
    </row>
    <row r="42" spans="1:14" ht="14.4" outlineLevel="1" thickBot="1">
      <c r="A42" s="133" t="s">
        <v>167</v>
      </c>
      <c r="B42" s="67"/>
      <c r="C42" s="437">
        <f t="shared" ref="C42:M42" si="16">C28*C39</f>
        <v>0</v>
      </c>
      <c r="D42" s="417">
        <f t="shared" si="16"/>
        <v>0</v>
      </c>
      <c r="E42" s="433">
        <f t="shared" si="16"/>
        <v>0</v>
      </c>
      <c r="F42" s="417">
        <f t="shared" si="16"/>
        <v>149765.10141599999</v>
      </c>
      <c r="G42" s="433">
        <f t="shared" si="16"/>
        <v>152760.40344431999</v>
      </c>
      <c r="H42" s="433">
        <f t="shared" si="16"/>
        <v>30886.66046952</v>
      </c>
      <c r="I42" s="434">
        <f t="shared" si="16"/>
        <v>31504.393678910401</v>
      </c>
      <c r="J42" s="417">
        <f t="shared" si="16"/>
        <v>32134.481552488603</v>
      </c>
      <c r="K42" s="433">
        <f t="shared" si="16"/>
        <v>32777.171183538376</v>
      </c>
      <c r="L42" s="433">
        <f t="shared" si="16"/>
        <v>33432.714607209149</v>
      </c>
      <c r="M42" s="434">
        <f t="shared" si="16"/>
        <v>34101.368899353329</v>
      </c>
    </row>
    <row r="43" spans="1:14" s="263" customFormat="1" ht="14.4" thickBot="1">
      <c r="A43" s="185" t="s">
        <v>0</v>
      </c>
      <c r="B43" s="182"/>
      <c r="C43" s="191"/>
      <c r="D43" s="734"/>
      <c r="E43" s="735"/>
      <c r="F43" s="734"/>
      <c r="G43" s="995"/>
      <c r="H43" s="735"/>
      <c r="I43" s="736"/>
      <c r="J43" s="734"/>
      <c r="K43" s="735"/>
      <c r="L43" s="735"/>
      <c r="M43" s="736"/>
    </row>
    <row r="44" spans="1:14" s="263" customFormat="1">
      <c r="A44" s="307" t="s">
        <v>171</v>
      </c>
      <c r="B44" s="64"/>
      <c r="C44" s="137">
        <f>SUM(C22,C40)</f>
        <v>0</v>
      </c>
      <c r="D44" s="421">
        <f t="shared" ref="D44:M44" si="17">SUM(D22,D40)</f>
        <v>0</v>
      </c>
      <c r="E44" s="431">
        <f t="shared" si="17"/>
        <v>1527120.7603199999</v>
      </c>
      <c r="F44" s="421">
        <f t="shared" si="17"/>
        <v>3390788.0168582401</v>
      </c>
      <c r="G44" s="431">
        <f t="shared" si="17"/>
        <v>3458603.7771954047</v>
      </c>
      <c r="H44" s="431">
        <f t="shared" si="17"/>
        <v>3527775.8527393127</v>
      </c>
      <c r="I44" s="431">
        <f t="shared" si="17"/>
        <v>3598331.3697940996</v>
      </c>
      <c r="J44" s="421">
        <f t="shared" si="17"/>
        <v>3670297.99718998</v>
      </c>
      <c r="K44" s="431">
        <f t="shared" si="17"/>
        <v>3743703.9571337802</v>
      </c>
      <c r="L44" s="431">
        <f t="shared" si="17"/>
        <v>3818578.036276456</v>
      </c>
      <c r="M44" s="432">
        <f t="shared" si="17"/>
        <v>3894949.5970019856</v>
      </c>
    </row>
    <row r="45" spans="1:14" s="263" customFormat="1">
      <c r="A45" s="160" t="s">
        <v>172</v>
      </c>
      <c r="B45" s="64"/>
      <c r="C45" s="138">
        <f>SUM(C23,C41)</f>
        <v>0</v>
      </c>
      <c r="D45" s="239">
        <f t="shared" ref="D45:M45" si="18">SUM(D23,D41)</f>
        <v>0</v>
      </c>
      <c r="E45" s="218">
        <f t="shared" si="18"/>
        <v>9836454.3091200013</v>
      </c>
      <c r="F45" s="239">
        <f t="shared" si="18"/>
        <v>21840663.990939841</v>
      </c>
      <c r="G45" s="218">
        <f t="shared" si="18"/>
        <v>22277477.27075864</v>
      </c>
      <c r="H45" s="218">
        <f t="shared" si="18"/>
        <v>22723026.816173807</v>
      </c>
      <c r="I45" s="218">
        <f t="shared" si="18"/>
        <v>23177487.352497287</v>
      </c>
      <c r="J45" s="239">
        <f t="shared" si="18"/>
        <v>23641037.09954723</v>
      </c>
      <c r="K45" s="218">
        <f t="shared" si="18"/>
        <v>24113857.841538176</v>
      </c>
      <c r="L45" s="218">
        <f t="shared" si="18"/>
        <v>24596134.998368938</v>
      </c>
      <c r="M45" s="240">
        <f t="shared" si="18"/>
        <v>25088057.698336318</v>
      </c>
      <c r="N45" s="218"/>
    </row>
    <row r="46" spans="1:14" s="263" customFormat="1">
      <c r="A46" s="438" t="s">
        <v>116</v>
      </c>
      <c r="B46" s="227"/>
      <c r="C46" s="253">
        <f>-SUM(C24,C42)</f>
        <v>0</v>
      </c>
      <c r="D46" s="254">
        <f t="shared" ref="D46:M46" si="19">-SUM(D24,D42)</f>
        <v>0</v>
      </c>
      <c r="E46" s="220">
        <f t="shared" si="19"/>
        <v>-124764.768</v>
      </c>
      <c r="F46" s="254">
        <f t="shared" si="19"/>
        <v>-277025.16477599996</v>
      </c>
      <c r="G46" s="220">
        <f t="shared" si="19"/>
        <v>-282565.66807151999</v>
      </c>
      <c r="H46" s="220">
        <f t="shared" si="19"/>
        <v>-163288.03038926399</v>
      </c>
      <c r="I46" s="220">
        <f t="shared" si="19"/>
        <v>-166553.79099704928</v>
      </c>
      <c r="J46" s="254">
        <f t="shared" si="19"/>
        <v>-169884.86681699025</v>
      </c>
      <c r="K46" s="220">
        <f t="shared" si="19"/>
        <v>-173282.56415333005</v>
      </c>
      <c r="L46" s="220">
        <f t="shared" si="19"/>
        <v>-176748.21543639665</v>
      </c>
      <c r="M46" s="223">
        <f t="shared" si="19"/>
        <v>-180283.17974512459</v>
      </c>
    </row>
    <row r="47" spans="1:14" s="263" customFormat="1" ht="14.4" thickBot="1">
      <c r="A47" s="115" t="s">
        <v>5</v>
      </c>
      <c r="B47" s="67"/>
      <c r="C47" s="249">
        <f t="shared" ref="C47:M47" si="20">SUM(C44:C46)</f>
        <v>0</v>
      </c>
      <c r="D47" s="250">
        <f t="shared" si="20"/>
        <v>0</v>
      </c>
      <c r="E47" s="224">
        <f t="shared" si="20"/>
        <v>11238810.301440002</v>
      </c>
      <c r="F47" s="250">
        <f t="shared" si="20"/>
        <v>24954426.843022078</v>
      </c>
      <c r="G47" s="224">
        <f t="shared" si="20"/>
        <v>25453515.379882526</v>
      </c>
      <c r="H47" s="224">
        <f t="shared" si="20"/>
        <v>26087514.638523854</v>
      </c>
      <c r="I47" s="225">
        <f t="shared" si="20"/>
        <v>26609264.931294337</v>
      </c>
      <c r="J47" s="250">
        <f t="shared" si="20"/>
        <v>27141450.22992022</v>
      </c>
      <c r="K47" s="224">
        <f t="shared" si="20"/>
        <v>27684279.234518629</v>
      </c>
      <c r="L47" s="224">
        <f t="shared" si="20"/>
        <v>28237964.819208998</v>
      </c>
      <c r="M47" s="225">
        <f t="shared" si="20"/>
        <v>28802724.11559318</v>
      </c>
    </row>
    <row r="48" spans="1:14" s="263" customFormat="1" ht="14.4" thickBot="1">
      <c r="A48" s="185" t="s">
        <v>2</v>
      </c>
      <c r="B48" s="182"/>
      <c r="C48" s="191"/>
      <c r="D48" s="232"/>
      <c r="E48" s="188"/>
      <c r="F48" s="232"/>
      <c r="G48" s="996"/>
      <c r="H48" s="188"/>
      <c r="I48" s="189"/>
      <c r="J48" s="232"/>
      <c r="K48" s="188"/>
      <c r="L48" s="188"/>
      <c r="M48" s="189"/>
    </row>
    <row r="49" spans="1:13" s="263" customFormat="1">
      <c r="A49" s="725" t="s">
        <v>101</v>
      </c>
      <c r="B49" s="64"/>
      <c r="C49" s="416">
        <f>'Summary Board'!F104</f>
        <v>60.588000000000001</v>
      </c>
      <c r="D49" s="280">
        <f t="shared" ref="D49:M49" si="21">$C$49*(1+$B$8)^D4</f>
        <v>61.799759999999999</v>
      </c>
      <c r="E49" s="281">
        <f t="shared" si="21"/>
        <v>63.035755199999997</v>
      </c>
      <c r="F49" s="199">
        <f t="shared" si="21"/>
        <v>64.296470303999996</v>
      </c>
      <c r="G49" s="186">
        <f t="shared" si="21"/>
        <v>65.582399710079997</v>
      </c>
      <c r="H49" s="186">
        <f t="shared" si="21"/>
        <v>66.894047704281604</v>
      </c>
      <c r="I49" s="187">
        <f t="shared" si="21"/>
        <v>68.231928658367238</v>
      </c>
      <c r="J49" s="199">
        <f t="shared" si="21"/>
        <v>69.596567231534564</v>
      </c>
      <c r="K49" s="186">
        <f t="shared" si="21"/>
        <v>70.98849857616527</v>
      </c>
      <c r="L49" s="186">
        <f t="shared" si="21"/>
        <v>72.408268547688564</v>
      </c>
      <c r="M49" s="187">
        <f t="shared" si="21"/>
        <v>73.856433918642338</v>
      </c>
    </row>
    <row r="50" spans="1:13" s="263" customFormat="1">
      <c r="A50" s="160" t="s">
        <v>12</v>
      </c>
      <c r="B50" s="64"/>
      <c r="C50" s="246">
        <f>C51/SUM($C$51:$M$51)</f>
        <v>0</v>
      </c>
      <c r="D50" s="246">
        <f t="shared" ref="D50:M50" si="22">D51/SUM($C$51:$M$51)</f>
        <v>0.44956198874029563</v>
      </c>
      <c r="E50" s="229">
        <f t="shared" si="22"/>
        <v>0</v>
      </c>
      <c r="F50" s="246">
        <f t="shared" si="22"/>
        <v>0.55043801125970437</v>
      </c>
      <c r="G50" s="173">
        <f t="shared" si="22"/>
        <v>0</v>
      </c>
      <c r="H50" s="173">
        <f t="shared" si="22"/>
        <v>0</v>
      </c>
      <c r="I50" s="229">
        <f t="shared" si="22"/>
        <v>0</v>
      </c>
      <c r="J50" s="246">
        <f t="shared" si="22"/>
        <v>0</v>
      </c>
      <c r="K50" s="173">
        <f t="shared" si="22"/>
        <v>0</v>
      </c>
      <c r="L50" s="173">
        <f t="shared" si="22"/>
        <v>0</v>
      </c>
      <c r="M50" s="229">
        <f t="shared" si="22"/>
        <v>0</v>
      </c>
    </row>
    <row r="51" spans="1:13" s="263" customFormat="1">
      <c r="A51" s="160" t="s">
        <v>2</v>
      </c>
      <c r="B51" s="64"/>
      <c r="C51" s="328">
        <f>'Development Schedule'!D103*C49</f>
        <v>0</v>
      </c>
      <c r="D51" s="328">
        <f>'Development Schedule'!E103*D49</f>
        <v>14822054.4384</v>
      </c>
      <c r="E51" s="330">
        <f>'Development Schedule'!F103*E49</f>
        <v>0</v>
      </c>
      <c r="F51" s="328">
        <f>'Development Schedule'!G103*F49</f>
        <v>18147935.929185215</v>
      </c>
      <c r="G51" s="329">
        <f>'Development Schedule'!H103*G49</f>
        <v>0</v>
      </c>
      <c r="H51" s="329">
        <f>'Development Schedule'!I103*H49</f>
        <v>0</v>
      </c>
      <c r="I51" s="330">
        <f>'Development Schedule'!J103*I49</f>
        <v>0</v>
      </c>
      <c r="J51" s="328">
        <f>'Development Schedule'!K103*J49</f>
        <v>0</v>
      </c>
      <c r="K51" s="329">
        <f>'Development Schedule'!L103*K49</f>
        <v>0</v>
      </c>
      <c r="L51" s="329">
        <f>'Development Schedule'!M103*L49</f>
        <v>0</v>
      </c>
      <c r="M51" s="330">
        <f>'Development Schedule'!N103*M49</f>
        <v>0</v>
      </c>
    </row>
    <row r="52" spans="1:13" s="263" customFormat="1">
      <c r="A52" s="222" t="s">
        <v>13</v>
      </c>
      <c r="B52" s="227"/>
      <c r="C52" s="1005"/>
      <c r="D52" s="248"/>
      <c r="E52" s="231"/>
      <c r="F52" s="248"/>
      <c r="G52" s="228"/>
      <c r="H52" s="228"/>
      <c r="I52" s="231"/>
      <c r="J52" s="248"/>
      <c r="K52" s="228"/>
      <c r="L52" s="228"/>
      <c r="M52" s="231"/>
    </row>
    <row r="53" spans="1:13" s="263" customFormat="1" ht="14.4" thickBot="1">
      <c r="A53" s="737" t="s">
        <v>3</v>
      </c>
      <c r="B53" s="67"/>
      <c r="C53" s="250">
        <f>SUM(C51:C52)</f>
        <v>0</v>
      </c>
      <c r="D53" s="250">
        <f t="shared" ref="D53:M53" si="23">SUM(D51:D52)</f>
        <v>14822054.4384</v>
      </c>
      <c r="E53" s="225">
        <f t="shared" si="23"/>
        <v>0</v>
      </c>
      <c r="F53" s="250">
        <f t="shared" si="23"/>
        <v>18147935.929185215</v>
      </c>
      <c r="G53" s="224">
        <f t="shared" si="23"/>
        <v>0</v>
      </c>
      <c r="H53" s="224">
        <f t="shared" si="23"/>
        <v>0</v>
      </c>
      <c r="I53" s="225">
        <f t="shared" si="23"/>
        <v>0</v>
      </c>
      <c r="J53" s="250">
        <f t="shared" si="23"/>
        <v>0</v>
      </c>
      <c r="K53" s="224">
        <f t="shared" si="23"/>
        <v>0</v>
      </c>
      <c r="L53" s="224">
        <f t="shared" si="23"/>
        <v>0</v>
      </c>
      <c r="M53" s="225">
        <f t="shared" si="23"/>
        <v>0</v>
      </c>
    </row>
    <row r="54" spans="1:13" s="263" customFormat="1" ht="14.4" thickBot="1">
      <c r="A54" s="185" t="s">
        <v>4</v>
      </c>
      <c r="B54" s="182"/>
      <c r="C54" s="191"/>
      <c r="D54" s="232"/>
      <c r="E54" s="188"/>
      <c r="F54" s="232"/>
      <c r="G54" s="996"/>
      <c r="H54" s="188"/>
      <c r="I54" s="189"/>
      <c r="J54" s="232"/>
      <c r="K54" s="188"/>
      <c r="L54" s="188"/>
      <c r="M54" s="189"/>
    </row>
    <row r="55" spans="1:13" s="426" customFormat="1">
      <c r="A55" s="160" t="s">
        <v>5</v>
      </c>
      <c r="B55" s="64"/>
      <c r="C55" s="137">
        <f>C47</f>
        <v>0</v>
      </c>
      <c r="D55" s="247">
        <f t="shared" ref="D55:M55" si="24">D47</f>
        <v>0</v>
      </c>
      <c r="E55" s="216">
        <f t="shared" si="24"/>
        <v>11238810.301440002</v>
      </c>
      <c r="F55" s="247">
        <f t="shared" si="24"/>
        <v>24954426.843022078</v>
      </c>
      <c r="G55" s="216">
        <f t="shared" si="24"/>
        <v>25453515.379882526</v>
      </c>
      <c r="H55" s="216">
        <f t="shared" si="24"/>
        <v>26087514.638523854</v>
      </c>
      <c r="I55" s="230">
        <f t="shared" si="24"/>
        <v>26609264.931294337</v>
      </c>
      <c r="J55" s="247">
        <f t="shared" si="24"/>
        <v>27141450.22992022</v>
      </c>
      <c r="K55" s="216">
        <f t="shared" si="24"/>
        <v>27684279.234518629</v>
      </c>
      <c r="L55" s="216">
        <f t="shared" si="24"/>
        <v>28237964.819208998</v>
      </c>
      <c r="M55" s="230">
        <f t="shared" si="24"/>
        <v>28802724.11559318</v>
      </c>
    </row>
    <row r="56" spans="1:13" s="263" customFormat="1">
      <c r="A56" s="160" t="s">
        <v>59</v>
      </c>
      <c r="B56" s="108">
        <f>D72</f>
        <v>6.7000000000000004E-2</v>
      </c>
      <c r="C56" s="139">
        <v>0</v>
      </c>
      <c r="D56" s="237">
        <f>C56</f>
        <v>0</v>
      </c>
      <c r="E56" s="226">
        <f t="shared" ref="E56:L57" si="25">D56</f>
        <v>0</v>
      </c>
      <c r="F56" s="237">
        <f t="shared" si="25"/>
        <v>0</v>
      </c>
      <c r="G56" s="226">
        <f t="shared" si="25"/>
        <v>0</v>
      </c>
      <c r="H56" s="226">
        <f t="shared" si="25"/>
        <v>0</v>
      </c>
      <c r="I56" s="238">
        <f t="shared" si="25"/>
        <v>0</v>
      </c>
      <c r="J56" s="237">
        <f t="shared" si="25"/>
        <v>0</v>
      </c>
      <c r="K56" s="226">
        <f t="shared" si="25"/>
        <v>0</v>
      </c>
      <c r="L56" s="226">
        <f t="shared" si="25"/>
        <v>0</v>
      </c>
      <c r="M56" s="1081">
        <f>M55/B56</f>
        <v>429891404.71034592</v>
      </c>
    </row>
    <row r="57" spans="1:13" s="263" customFormat="1" outlineLevel="1">
      <c r="A57" s="160" t="s">
        <v>60</v>
      </c>
      <c r="B57" s="108">
        <f>D73</f>
        <v>0.03</v>
      </c>
      <c r="C57" s="139">
        <v>0</v>
      </c>
      <c r="D57" s="237">
        <f>C57</f>
        <v>0</v>
      </c>
      <c r="E57" s="226">
        <f t="shared" si="25"/>
        <v>0</v>
      </c>
      <c r="F57" s="237">
        <f t="shared" si="25"/>
        <v>0</v>
      </c>
      <c r="G57" s="226">
        <f t="shared" si="25"/>
        <v>0</v>
      </c>
      <c r="H57" s="226">
        <f t="shared" si="25"/>
        <v>0</v>
      </c>
      <c r="I57" s="238">
        <f t="shared" si="25"/>
        <v>0</v>
      </c>
      <c r="J57" s="237">
        <f t="shared" si="25"/>
        <v>0</v>
      </c>
      <c r="K57" s="226">
        <f t="shared" si="25"/>
        <v>0</v>
      </c>
      <c r="L57" s="226">
        <f t="shared" si="25"/>
        <v>0</v>
      </c>
      <c r="M57" s="238">
        <f>M56*-B57</f>
        <v>-12896742.141310377</v>
      </c>
    </row>
    <row r="58" spans="1:13" s="263" customFormat="1" outlineLevel="1">
      <c r="A58" s="222" t="s">
        <v>102</v>
      </c>
      <c r="B58" s="286"/>
      <c r="C58" s="253">
        <f>-C53</f>
        <v>0</v>
      </c>
      <c r="D58" s="254">
        <f t="shared" ref="D58:M58" si="26">-D53</f>
        <v>-14822054.4384</v>
      </c>
      <c r="E58" s="220">
        <f t="shared" si="26"/>
        <v>0</v>
      </c>
      <c r="F58" s="254">
        <f t="shared" si="26"/>
        <v>-18147935.929185215</v>
      </c>
      <c r="G58" s="220">
        <f t="shared" si="26"/>
        <v>0</v>
      </c>
      <c r="H58" s="220">
        <f t="shared" si="26"/>
        <v>0</v>
      </c>
      <c r="I58" s="223">
        <f t="shared" si="26"/>
        <v>0</v>
      </c>
      <c r="J58" s="254">
        <f t="shared" si="26"/>
        <v>0</v>
      </c>
      <c r="K58" s="220">
        <f t="shared" si="26"/>
        <v>0</v>
      </c>
      <c r="L58" s="220">
        <f t="shared" si="26"/>
        <v>0</v>
      </c>
      <c r="M58" s="223">
        <f t="shared" si="26"/>
        <v>0</v>
      </c>
    </row>
    <row r="59" spans="1:13" s="263" customFormat="1" ht="14.4" outlineLevel="1" thickBot="1">
      <c r="A59" s="737" t="s">
        <v>6</v>
      </c>
      <c r="B59" s="117"/>
      <c r="C59" s="249">
        <f>SUM(C55:C58)</f>
        <v>0</v>
      </c>
      <c r="D59" s="250">
        <f t="shared" ref="D59:M59" si="27">SUM(D55:D58)</f>
        <v>-14822054.4384</v>
      </c>
      <c r="E59" s="224">
        <f t="shared" si="27"/>
        <v>11238810.301440002</v>
      </c>
      <c r="F59" s="250">
        <f t="shared" si="27"/>
        <v>6806490.9138368629</v>
      </c>
      <c r="G59" s="224">
        <f t="shared" si="27"/>
        <v>25453515.379882526</v>
      </c>
      <c r="H59" s="224">
        <f t="shared" si="27"/>
        <v>26087514.638523854</v>
      </c>
      <c r="I59" s="225">
        <f t="shared" si="27"/>
        <v>26609264.931294337</v>
      </c>
      <c r="J59" s="250">
        <f t="shared" si="27"/>
        <v>27141450.22992022</v>
      </c>
      <c r="K59" s="224">
        <f t="shared" si="27"/>
        <v>27684279.234518629</v>
      </c>
      <c r="L59" s="224">
        <f t="shared" si="27"/>
        <v>28237964.819208998</v>
      </c>
      <c r="M59" s="225">
        <f t="shared" si="27"/>
        <v>445797386.68462873</v>
      </c>
    </row>
    <row r="60" spans="1:13" s="263" customFormat="1" ht="14.4" outlineLevel="1" thickBot="1">
      <c r="A60" s="114" t="s">
        <v>26</v>
      </c>
      <c r="B60" s="105"/>
      <c r="C60" s="359">
        <f>C59+NPV(D72,D59:M59)</f>
        <v>340658944.18179524</v>
      </c>
      <c r="D60" s="356"/>
      <c r="E60" s="357"/>
      <c r="F60" s="356"/>
      <c r="G60" s="166"/>
      <c r="H60" s="357"/>
      <c r="I60" s="358"/>
      <c r="J60" s="107"/>
      <c r="K60" s="107"/>
      <c r="L60" s="107"/>
      <c r="M60" s="175"/>
    </row>
    <row r="61" spans="1:13" s="263" customFormat="1" ht="14.4" thickBot="1">
      <c r="A61" s="80" t="s">
        <v>61</v>
      </c>
      <c r="B61" s="144"/>
      <c r="C61" s="260">
        <f>IRR(C59:M59,1)</f>
        <v>0.98894276773548873</v>
      </c>
      <c r="D61" s="241"/>
      <c r="E61" s="144"/>
      <c r="F61" s="241"/>
      <c r="G61" s="67"/>
      <c r="H61" s="144"/>
      <c r="I61" s="159"/>
      <c r="J61" s="144"/>
      <c r="K61" s="144"/>
      <c r="L61" s="144"/>
      <c r="M61" s="159"/>
    </row>
    <row r="62" spans="1:13" s="263" customFormat="1" ht="14.4" thickBot="1">
      <c r="A62" s="80"/>
      <c r="B62" s="144"/>
      <c r="C62" s="380"/>
      <c r="D62" s="144"/>
      <c r="E62" s="64"/>
      <c r="F62" s="64"/>
      <c r="G62" s="64"/>
      <c r="H62" s="64"/>
      <c r="I62" s="64"/>
      <c r="J62" s="64"/>
      <c r="K62" s="64"/>
      <c r="L62" s="64"/>
      <c r="M62" s="64"/>
    </row>
    <row r="63" spans="1:13" s="263" customFormat="1" ht="14.4" thickBot="1">
      <c r="A63" s="907" t="s">
        <v>96</v>
      </c>
      <c r="B63" s="973"/>
      <c r="C63" s="973"/>
      <c r="D63" s="998"/>
    </row>
    <row r="64" spans="1:13" s="263" customFormat="1" ht="14.4" thickBot="1">
      <c r="A64" s="78"/>
      <c r="B64" s="144"/>
      <c r="C64" s="83" t="s">
        <v>168</v>
      </c>
      <c r="D64" s="84" t="s">
        <v>95</v>
      </c>
      <c r="E64" s="39" t="s">
        <v>464</v>
      </c>
    </row>
    <row r="65" spans="1:13" s="263" customFormat="1">
      <c r="A65" s="63" t="s">
        <v>432</v>
      </c>
      <c r="B65" s="64"/>
      <c r="C65" s="171">
        <f>D65/$D$71</f>
        <v>1199.2</v>
      </c>
      <c r="D65" s="427">
        <f>'Development Schedule'!C10</f>
        <v>239840</v>
      </c>
    </row>
    <row r="66" spans="1:13" s="263" customFormat="1">
      <c r="A66" s="63" t="s">
        <v>433</v>
      </c>
      <c r="B66" s="64"/>
      <c r="C66" s="171">
        <f>D66/$D$71</f>
        <v>279.75</v>
      </c>
      <c r="D66" s="214">
        <f>'Development Schedule'!C51</f>
        <v>55950</v>
      </c>
    </row>
    <row r="67" spans="1:13" s="263" customFormat="1" ht="14.4" thickBot="1">
      <c r="A67" s="63" t="s">
        <v>434</v>
      </c>
      <c r="B67" s="64"/>
      <c r="C67" s="171">
        <f>D67/$D$71</f>
        <v>1131.52</v>
      </c>
      <c r="D67" s="214">
        <f>'Development Schedule'!C59</f>
        <v>226304</v>
      </c>
    </row>
    <row r="68" spans="1:13" s="263" customFormat="1" ht="14.4" thickBot="1">
      <c r="A68" s="80" t="s">
        <v>31</v>
      </c>
      <c r="B68" s="83"/>
      <c r="C68" s="82">
        <f>D68/$D$71</f>
        <v>2610.4699999999998</v>
      </c>
      <c r="D68" s="997">
        <f>SUM(D65:D67)</f>
        <v>522094</v>
      </c>
    </row>
    <row r="69" spans="1:13" s="263" customFormat="1" ht="14.4" thickBot="1">
      <c r="A69" s="39"/>
      <c r="B69" s="57"/>
      <c r="C69" s="57"/>
      <c r="D69" s="39"/>
    </row>
    <row r="70" spans="1:13" s="263" customFormat="1" ht="14.4" thickBot="1">
      <c r="A70" s="907" t="s">
        <v>103</v>
      </c>
      <c r="B70" s="908"/>
      <c r="C70" s="908"/>
      <c r="D70" s="999"/>
    </row>
    <row r="71" spans="1:13" s="263" customFormat="1">
      <c r="A71" s="63" t="s">
        <v>169</v>
      </c>
      <c r="B71" s="64"/>
      <c r="C71" s="64"/>
      <c r="D71" s="124">
        <v>200</v>
      </c>
    </row>
    <row r="72" spans="1:13" s="263" customFormat="1">
      <c r="A72" s="63" t="s">
        <v>104</v>
      </c>
      <c r="B72" s="64"/>
      <c r="C72" s="64"/>
      <c r="D72" s="760">
        <v>6.7000000000000004E-2</v>
      </c>
    </row>
    <row r="73" spans="1:13" s="263" customFormat="1">
      <c r="A73" s="63" t="s">
        <v>105</v>
      </c>
      <c r="B73" s="64"/>
      <c r="C73" s="64"/>
      <c r="D73" s="350">
        <v>0.03</v>
      </c>
    </row>
    <row r="74" spans="1:13" s="263" customFormat="1" ht="14.4" thickBot="1">
      <c r="A74" s="66" t="s">
        <v>92</v>
      </c>
      <c r="B74" s="67"/>
      <c r="C74" s="67"/>
      <c r="D74" s="125">
        <v>0.08</v>
      </c>
    </row>
    <row r="75" spans="1:13" s="263" customFormat="1">
      <c r="B75" s="264"/>
      <c r="C75" s="264"/>
    </row>
    <row r="76" spans="1:13" s="263" customFormat="1">
      <c r="B76" s="2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s="263" customFormat="1">
      <c r="A77" s="1"/>
      <c r="B77" s="2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s="263" customFormat="1">
      <c r="A78" s="1"/>
      <c r="B78" s="2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s="263" customFormat="1">
      <c r="A79" s="1"/>
      <c r="B79" s="2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</row>
  </sheetData>
  <mergeCells count="3">
    <mergeCell ref="D3:E3"/>
    <mergeCell ref="F3:I3"/>
    <mergeCell ref="J3:M3"/>
  </mergeCells>
  <phoneticPr fontId="3" type="noConversion"/>
  <printOptions horizontalCentered="1"/>
  <pageMargins left="0.5" right="0.5" top="1" bottom="0.5" header="0.5" footer="0.5"/>
  <pageSetup scale="59" orientation="landscape" r:id="rId1"/>
  <headerFooter alignWithMargins="0">
    <oddHeader>&amp;L&amp;"Arial,Bold"8. Income Statement: Structured Parking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59AC8-C8C0-4586-958C-65D9F9FCEE15}">
  <dimension ref="A1:S42"/>
  <sheetViews>
    <sheetView view="pageBreakPreview" zoomScaleNormal="100" zoomScaleSheetLayoutView="100" workbookViewId="0">
      <selection activeCell="I13" sqref="I13"/>
    </sheetView>
  </sheetViews>
  <sheetFormatPr defaultRowHeight="13.2"/>
  <cols>
    <col min="1" max="1" width="13.6640625" customWidth="1"/>
    <col min="2" max="2" width="16.44140625" customWidth="1"/>
    <col min="3" max="3" width="16.109375" customWidth="1"/>
    <col min="4" max="4" width="13.6640625" customWidth="1"/>
    <col min="5" max="5" width="16.21875" customWidth="1"/>
    <col min="6" max="6" width="13.77734375" customWidth="1"/>
    <col min="7" max="12" width="13.6640625" customWidth="1"/>
    <col min="13" max="13" width="15.6640625" customWidth="1"/>
    <col min="14" max="14" width="13.6640625" customWidth="1"/>
  </cols>
  <sheetData>
    <row r="1" spans="1:19" ht="13.8" thickBot="1">
      <c r="A1" s="39"/>
      <c r="B1" s="57"/>
      <c r="C1" s="57"/>
      <c r="D1" s="39"/>
      <c r="E1" s="39"/>
      <c r="F1" s="39"/>
      <c r="G1" s="39"/>
      <c r="H1" s="39"/>
      <c r="I1" s="39"/>
      <c r="J1" s="39"/>
      <c r="K1" s="39"/>
      <c r="L1" s="134" t="s">
        <v>93</v>
      </c>
      <c r="M1" s="306">
        <v>191863</v>
      </c>
      <c r="N1" s="39"/>
      <c r="O1" s="39"/>
      <c r="P1" s="39"/>
      <c r="Q1" s="39"/>
      <c r="R1" s="39"/>
      <c r="S1" s="39"/>
    </row>
    <row r="2" spans="1:19" ht="13.8" thickBot="1">
      <c r="A2" s="39"/>
      <c r="B2" s="57"/>
      <c r="C2" s="57"/>
      <c r="D2" s="39"/>
      <c r="E2" s="39"/>
      <c r="F2" s="39"/>
      <c r="G2" s="118"/>
      <c r="H2" s="39"/>
      <c r="I2" s="39"/>
      <c r="J2" s="39"/>
      <c r="K2" s="39"/>
      <c r="L2" s="343"/>
      <c r="M2" s="344"/>
      <c r="N2" s="39"/>
      <c r="O2" s="39"/>
      <c r="P2" s="39"/>
      <c r="Q2" s="39"/>
      <c r="R2" s="39"/>
      <c r="S2" s="39"/>
    </row>
    <row r="3" spans="1:19" ht="13.8" thickBot="1">
      <c r="A3" s="123"/>
      <c r="B3" s="190"/>
      <c r="C3" s="1046" t="s">
        <v>57</v>
      </c>
      <c r="D3" s="1227" t="s">
        <v>36</v>
      </c>
      <c r="E3" s="1235"/>
      <c r="F3" s="1229" t="s">
        <v>78</v>
      </c>
      <c r="G3" s="1230"/>
      <c r="H3" s="1230"/>
      <c r="I3" s="1231"/>
      <c r="J3" s="1232" t="s">
        <v>79</v>
      </c>
      <c r="K3" s="1233"/>
      <c r="L3" s="1233"/>
      <c r="M3" s="1234"/>
      <c r="N3" s="39"/>
      <c r="O3" s="39"/>
      <c r="P3" s="39"/>
      <c r="Q3" s="39"/>
      <c r="R3" s="39"/>
      <c r="S3" s="39"/>
    </row>
    <row r="4" spans="1:19" ht="13.8" thickBot="1">
      <c r="A4" s="63"/>
      <c r="B4" s="64"/>
      <c r="C4" s="276">
        <v>0</v>
      </c>
      <c r="D4" s="101">
        <f>C4+1</f>
        <v>1</v>
      </c>
      <c r="E4" s="100">
        <f t="shared" ref="E4:M5" si="0">D4+1</f>
        <v>2</v>
      </c>
      <c r="F4" s="101">
        <f t="shared" si="0"/>
        <v>3</v>
      </c>
      <c r="G4" s="1047">
        <f t="shared" si="0"/>
        <v>4</v>
      </c>
      <c r="H4" s="135">
        <f t="shared" si="0"/>
        <v>5</v>
      </c>
      <c r="I4" s="102">
        <f t="shared" si="0"/>
        <v>6</v>
      </c>
      <c r="J4" s="101">
        <f t="shared" si="0"/>
        <v>7</v>
      </c>
      <c r="K4" s="100">
        <f t="shared" si="0"/>
        <v>8</v>
      </c>
      <c r="L4" s="100">
        <f t="shared" si="0"/>
        <v>9</v>
      </c>
      <c r="M4" s="102">
        <f t="shared" si="0"/>
        <v>10</v>
      </c>
      <c r="N4" s="39"/>
      <c r="O4" s="39"/>
      <c r="P4" s="39"/>
      <c r="Q4" s="39"/>
      <c r="R4" s="39"/>
      <c r="S4" s="39"/>
    </row>
    <row r="5" spans="1:19" ht="13.8" thickBot="1">
      <c r="A5" s="63"/>
      <c r="B5" s="345"/>
      <c r="C5" s="348" t="s">
        <v>337</v>
      </c>
      <c r="D5" s="339">
        <v>2021</v>
      </c>
      <c r="E5" s="340">
        <f>D5+1</f>
        <v>2022</v>
      </c>
      <c r="F5" s="341">
        <f t="shared" si="0"/>
        <v>2023</v>
      </c>
      <c r="G5" s="1047">
        <f t="shared" si="0"/>
        <v>2024</v>
      </c>
      <c r="H5" s="340">
        <f t="shared" si="0"/>
        <v>2025</v>
      </c>
      <c r="I5" s="342">
        <f t="shared" si="0"/>
        <v>2026</v>
      </c>
      <c r="J5" s="341">
        <f t="shared" si="0"/>
        <v>2027</v>
      </c>
      <c r="K5" s="340">
        <f t="shared" si="0"/>
        <v>2028</v>
      </c>
      <c r="L5" s="340">
        <f>K5+1</f>
        <v>2029</v>
      </c>
      <c r="M5" s="342">
        <f>L5+1</f>
        <v>2030</v>
      </c>
      <c r="N5" s="39"/>
      <c r="O5" s="39"/>
      <c r="P5" s="39"/>
      <c r="Q5" s="39"/>
      <c r="R5" s="39"/>
      <c r="S5" s="39"/>
    </row>
    <row r="6" spans="1:19" ht="13.8" thickBot="1">
      <c r="A6" s="185" t="s">
        <v>9</v>
      </c>
      <c r="B6" s="182"/>
      <c r="C6" s="277"/>
      <c r="D6" s="194"/>
      <c r="E6" s="183"/>
      <c r="F6" s="194"/>
      <c r="G6" s="183"/>
      <c r="H6" s="183"/>
      <c r="I6" s="184"/>
      <c r="J6" s="194"/>
      <c r="K6" s="183"/>
      <c r="L6" s="183"/>
      <c r="M6" s="184"/>
      <c r="N6" s="39"/>
      <c r="O6" s="39"/>
      <c r="P6" s="39"/>
      <c r="Q6" s="39"/>
      <c r="R6" s="39"/>
      <c r="S6" s="39"/>
    </row>
    <row r="7" spans="1:19">
      <c r="A7" s="300" t="s">
        <v>473</v>
      </c>
      <c r="B7" s="190"/>
      <c r="C7" s="349"/>
      <c r="D7" s="123"/>
      <c r="E7" s="302"/>
      <c r="F7" s="123"/>
      <c r="G7" s="302"/>
      <c r="H7" s="302"/>
      <c r="I7" s="303"/>
      <c r="J7" s="123"/>
      <c r="K7" s="302"/>
      <c r="L7" s="302"/>
      <c r="M7" s="303"/>
      <c r="N7" s="39"/>
      <c r="O7" s="39"/>
      <c r="P7" s="39"/>
      <c r="Q7" s="39"/>
      <c r="R7" s="39"/>
      <c r="S7" s="39"/>
    </row>
    <row r="8" spans="1:19">
      <c r="A8" s="160" t="s">
        <v>10</v>
      </c>
      <c r="B8" s="122">
        <v>0.02</v>
      </c>
      <c r="C8" s="278"/>
      <c r="D8" s="132"/>
      <c r="E8" s="106"/>
      <c r="F8" s="132"/>
      <c r="G8" s="106"/>
      <c r="H8" s="106"/>
      <c r="I8" s="110"/>
      <c r="J8" s="132"/>
      <c r="K8" s="106"/>
      <c r="L8" s="106"/>
      <c r="M8" s="110"/>
      <c r="N8" s="39"/>
      <c r="O8" s="39"/>
      <c r="P8" s="39"/>
      <c r="Q8" s="39"/>
      <c r="R8" s="39"/>
      <c r="S8" s="39"/>
    </row>
    <row r="9" spans="1:19">
      <c r="A9" s="160" t="s">
        <v>475</v>
      </c>
      <c r="B9" s="64"/>
      <c r="C9" s="198">
        <f>'Development Schedule'!D100</f>
        <v>0</v>
      </c>
      <c r="D9" s="198">
        <f>'Development Schedule'!E100</f>
        <v>0</v>
      </c>
      <c r="E9" s="171">
        <f>'Development Schedule'!F100</f>
        <v>24673</v>
      </c>
      <c r="F9" s="198">
        <f>'Development Schedule'!G100</f>
        <v>38964.800000000003</v>
      </c>
      <c r="G9" s="171">
        <f>'Development Schedule'!H100</f>
        <v>88306.666666666657</v>
      </c>
      <c r="H9" s="171">
        <f>'Development Schedule'!I100</f>
        <v>86237.666666666657</v>
      </c>
      <c r="I9" s="176">
        <f>'Development Schedule'!J100</f>
        <v>88336.666666666657</v>
      </c>
      <c r="J9" s="198">
        <f>'Development Schedule'!K100</f>
        <v>0</v>
      </c>
      <c r="K9" s="171">
        <f>'Development Schedule'!L100</f>
        <v>0</v>
      </c>
      <c r="L9" s="171">
        <f>'Development Schedule'!M100</f>
        <v>0</v>
      </c>
      <c r="M9" s="176">
        <f>'Development Schedule'!N100</f>
        <v>0</v>
      </c>
      <c r="N9" s="39"/>
      <c r="O9" s="39"/>
      <c r="P9" s="39"/>
      <c r="Q9" s="39"/>
      <c r="R9" s="39"/>
      <c r="S9" s="39"/>
    </row>
    <row r="10" spans="1:19">
      <c r="A10" s="160" t="s">
        <v>476</v>
      </c>
      <c r="B10" s="64"/>
      <c r="C10" s="198">
        <f>C9</f>
        <v>0</v>
      </c>
      <c r="D10" s="198">
        <f>C9+D9</f>
        <v>0</v>
      </c>
      <c r="E10" s="171">
        <f>SUM(C9:E9)</f>
        <v>24673</v>
      </c>
      <c r="F10" s="198">
        <f>SUM(C9:F9)</f>
        <v>63637.8</v>
      </c>
      <c r="G10" s="171">
        <f>SUM(C9:G9)</f>
        <v>151944.46666666667</v>
      </c>
      <c r="H10" s="171">
        <f>SUM(C9:H9)</f>
        <v>238182.13333333333</v>
      </c>
      <c r="I10" s="176">
        <f>SUM(C9:I9)</f>
        <v>326518.8</v>
      </c>
      <c r="J10" s="198">
        <f>SUM(C9:J9)</f>
        <v>326518.8</v>
      </c>
      <c r="K10" s="171">
        <f>SUM(C9:K9)</f>
        <v>326518.8</v>
      </c>
      <c r="L10" s="171">
        <f>SUM(C9:L9)</f>
        <v>326518.8</v>
      </c>
      <c r="M10" s="176">
        <f>SUM(C9:M9)</f>
        <v>326518.8</v>
      </c>
      <c r="N10" s="39"/>
      <c r="O10" s="39"/>
      <c r="P10" s="39"/>
      <c r="Q10" s="39"/>
      <c r="R10" s="39"/>
      <c r="S10" s="39"/>
    </row>
    <row r="11" spans="1:19">
      <c r="A11" s="160" t="s">
        <v>480</v>
      </c>
      <c r="B11" s="723"/>
      <c r="C11" s="198">
        <f>C10*5</f>
        <v>0</v>
      </c>
      <c r="D11" s="198">
        <f>D10*5</f>
        <v>0</v>
      </c>
      <c r="E11" s="171">
        <f>E10/17.6</f>
        <v>1401.875</v>
      </c>
      <c r="F11" s="198">
        <f t="shared" ref="F11:M11" si="1">F10/17.6</f>
        <v>3615.784090909091</v>
      </c>
      <c r="G11" s="171">
        <f t="shared" si="1"/>
        <v>8633.2083333333339</v>
      </c>
      <c r="H11" s="171">
        <f t="shared" si="1"/>
        <v>13533.075757575756</v>
      </c>
      <c r="I11" s="176">
        <f t="shared" si="1"/>
        <v>18552.204545454544</v>
      </c>
      <c r="J11" s="198">
        <f t="shared" si="1"/>
        <v>18552.204545454544</v>
      </c>
      <c r="K11" s="171">
        <f t="shared" si="1"/>
        <v>18552.204545454544</v>
      </c>
      <c r="L11" s="171">
        <f t="shared" si="1"/>
        <v>18552.204545454544</v>
      </c>
      <c r="M11" s="176">
        <f t="shared" si="1"/>
        <v>18552.204545454544</v>
      </c>
      <c r="N11" s="39"/>
      <c r="O11" s="39"/>
      <c r="P11" s="39"/>
      <c r="Q11" s="39"/>
      <c r="R11" s="39"/>
      <c r="S11" s="39"/>
    </row>
    <row r="12" spans="1:19" ht="13.8" thickBot="1">
      <c r="A12" s="133" t="s">
        <v>479</v>
      </c>
      <c r="B12" s="67"/>
      <c r="C12" s="279">
        <f>D40</f>
        <v>0.15</v>
      </c>
      <c r="D12" s="285">
        <f t="shared" ref="D12:M12" si="2">$C$12*(1+$B$8)^D$4</f>
        <v>0.153</v>
      </c>
      <c r="E12" s="273">
        <f t="shared" si="2"/>
        <v>0.15606</v>
      </c>
      <c r="F12" s="285">
        <f t="shared" si="2"/>
        <v>0.15918119999999999</v>
      </c>
      <c r="G12" s="273">
        <f t="shared" si="2"/>
        <v>0.16236482399999999</v>
      </c>
      <c r="H12" s="273">
        <f t="shared" si="2"/>
        <v>0.16561212047999999</v>
      </c>
      <c r="I12" s="274">
        <f t="shared" si="2"/>
        <v>0.1689243628896</v>
      </c>
      <c r="J12" s="285">
        <f t="shared" si="2"/>
        <v>0.17230285014739197</v>
      </c>
      <c r="K12" s="273">
        <f t="shared" si="2"/>
        <v>0.17574890715033983</v>
      </c>
      <c r="L12" s="273">
        <f t="shared" si="2"/>
        <v>0.17926388529334661</v>
      </c>
      <c r="M12" s="274">
        <f t="shared" si="2"/>
        <v>0.18284916299921355</v>
      </c>
      <c r="N12" s="39"/>
      <c r="O12" s="39"/>
      <c r="P12" s="39"/>
      <c r="Q12" s="39"/>
      <c r="R12" s="39"/>
      <c r="S12" s="39"/>
    </row>
    <row r="13" spans="1:19">
      <c r="A13" s="160" t="s">
        <v>474</v>
      </c>
      <c r="B13" s="64"/>
      <c r="C13" s="247">
        <f>C11*C12</f>
        <v>0</v>
      </c>
      <c r="D13" s="421">
        <f t="shared" ref="D13" si="3">D11*D12</f>
        <v>0</v>
      </c>
      <c r="E13" s="432">
        <f>(E11*E12)*365</f>
        <v>79853.463562499994</v>
      </c>
      <c r="F13" s="235">
        <f>(F11*F12)*365</f>
        <v>210081.17044411361</v>
      </c>
      <c r="G13" s="235">
        <f t="shared" ref="G13:M13" si="4">(G11*G12)*365</f>
        <v>511631.21333290503</v>
      </c>
      <c r="H13" s="235">
        <f t="shared" si="4"/>
        <v>818053.10108244023</v>
      </c>
      <c r="I13" s="235">
        <f t="shared" si="4"/>
        <v>1143880.5565590344</v>
      </c>
      <c r="J13" s="234">
        <f t="shared" si="4"/>
        <v>1166758.1676902147</v>
      </c>
      <c r="K13" s="235">
        <f t="shared" si="4"/>
        <v>1190093.3310440192</v>
      </c>
      <c r="L13" s="235">
        <f t="shared" si="4"/>
        <v>1213895.1976648993</v>
      </c>
      <c r="M13" s="236">
        <f t="shared" si="4"/>
        <v>1238173.1016181975</v>
      </c>
      <c r="N13" s="39"/>
      <c r="O13" s="39"/>
      <c r="P13" s="39"/>
      <c r="Q13" s="39"/>
      <c r="R13" s="39"/>
      <c r="S13" s="39"/>
    </row>
    <row r="14" spans="1:19" ht="13.8" thickBot="1">
      <c r="A14" s="133" t="s">
        <v>167</v>
      </c>
      <c r="B14" s="67"/>
      <c r="C14" s="417">
        <f t="shared" ref="C14:M14" si="5">C11*($D$38*(1+$B$8)^C$4)</f>
        <v>0</v>
      </c>
      <c r="D14" s="418">
        <f t="shared" si="5"/>
        <v>0</v>
      </c>
      <c r="E14" s="420">
        <f t="shared" si="5"/>
        <v>43.755322499999998</v>
      </c>
      <c r="F14" s="419">
        <f t="shared" si="5"/>
        <v>115.11297010636362</v>
      </c>
      <c r="G14" s="419">
        <f t="shared" si="5"/>
        <v>280.34587031939998</v>
      </c>
      <c r="H14" s="419">
        <f t="shared" si="5"/>
        <v>448.24827456572064</v>
      </c>
      <c r="I14" s="419">
        <f t="shared" si="5"/>
        <v>626.78386660769013</v>
      </c>
      <c r="J14" s="418">
        <f t="shared" si="5"/>
        <v>639.3195439398437</v>
      </c>
      <c r="K14" s="419">
        <f t="shared" si="5"/>
        <v>652.10593481864066</v>
      </c>
      <c r="L14" s="419">
        <f t="shared" si="5"/>
        <v>665.14805351501343</v>
      </c>
      <c r="M14" s="420">
        <f t="shared" si="5"/>
        <v>678.45101458531371</v>
      </c>
      <c r="N14" s="39"/>
      <c r="O14" s="39"/>
      <c r="P14" s="39"/>
      <c r="Q14" s="39"/>
      <c r="R14" s="39"/>
      <c r="S14" s="39"/>
    </row>
    <row r="15" spans="1:19" ht="13.8" thickBot="1">
      <c r="A15" s="185" t="s">
        <v>0</v>
      </c>
      <c r="B15" s="182"/>
      <c r="C15" s="191"/>
      <c r="D15" s="232"/>
      <c r="E15" s="188"/>
      <c r="F15" s="232"/>
      <c r="G15" s="188"/>
      <c r="H15" s="188"/>
      <c r="I15" s="189"/>
      <c r="J15" s="232"/>
      <c r="K15" s="188"/>
      <c r="L15" s="188"/>
      <c r="M15" s="189"/>
      <c r="N15" s="39"/>
      <c r="O15" s="39"/>
      <c r="P15" s="39"/>
      <c r="Q15" s="39"/>
      <c r="R15" s="39"/>
      <c r="S15" s="39"/>
    </row>
    <row r="16" spans="1:19">
      <c r="A16" s="160" t="s">
        <v>497</v>
      </c>
      <c r="B16" s="64"/>
      <c r="C16" s="137">
        <f t="shared" ref="C16:M16" si="6">SUM(C13)</f>
        <v>0</v>
      </c>
      <c r="D16" s="247">
        <f t="shared" si="6"/>
        <v>0</v>
      </c>
      <c r="E16" s="216">
        <f t="shared" si="6"/>
        <v>79853.463562499994</v>
      </c>
      <c r="F16" s="247">
        <f t="shared" si="6"/>
        <v>210081.17044411361</v>
      </c>
      <c r="G16" s="216">
        <f t="shared" si="6"/>
        <v>511631.21333290503</v>
      </c>
      <c r="H16" s="216">
        <f t="shared" si="6"/>
        <v>818053.10108244023</v>
      </c>
      <c r="I16" s="230">
        <f t="shared" si="6"/>
        <v>1143880.5565590344</v>
      </c>
      <c r="J16" s="247">
        <f t="shared" si="6"/>
        <v>1166758.1676902147</v>
      </c>
      <c r="K16" s="216">
        <f t="shared" si="6"/>
        <v>1190093.3310440192</v>
      </c>
      <c r="L16" s="216">
        <f t="shared" si="6"/>
        <v>1213895.1976648993</v>
      </c>
      <c r="M16" s="230">
        <f t="shared" si="6"/>
        <v>1238173.1016181975</v>
      </c>
      <c r="N16" s="39"/>
      <c r="O16" s="39"/>
      <c r="P16" s="39"/>
      <c r="Q16" s="39"/>
      <c r="R16" s="39"/>
      <c r="S16" s="39"/>
    </row>
    <row r="17" spans="1:19">
      <c r="A17" s="222" t="s">
        <v>116</v>
      </c>
      <c r="B17" s="351"/>
      <c r="C17" s="354">
        <f t="shared" ref="C17:M17" si="7">C14</f>
        <v>0</v>
      </c>
      <c r="D17" s="1030">
        <f t="shared" si="7"/>
        <v>0</v>
      </c>
      <c r="E17" s="1032">
        <f t="shared" si="7"/>
        <v>43.755322499999998</v>
      </c>
      <c r="F17" s="1030">
        <f t="shared" si="7"/>
        <v>115.11297010636362</v>
      </c>
      <c r="G17" s="1032">
        <f t="shared" si="7"/>
        <v>280.34587031939998</v>
      </c>
      <c r="H17" s="1032">
        <f t="shared" si="7"/>
        <v>448.24827456572064</v>
      </c>
      <c r="I17" s="1031">
        <f t="shared" si="7"/>
        <v>626.78386660769013</v>
      </c>
      <c r="J17" s="1030">
        <f t="shared" si="7"/>
        <v>639.3195439398437</v>
      </c>
      <c r="K17" s="1032">
        <f t="shared" si="7"/>
        <v>652.10593481864066</v>
      </c>
      <c r="L17" s="1032">
        <f t="shared" si="7"/>
        <v>665.14805351501343</v>
      </c>
      <c r="M17" s="1031">
        <f t="shared" si="7"/>
        <v>678.45101458531371</v>
      </c>
      <c r="N17" s="39"/>
      <c r="O17" s="39"/>
      <c r="P17" s="39"/>
      <c r="Q17" s="39"/>
      <c r="R17" s="39"/>
      <c r="S17" s="39"/>
    </row>
    <row r="18" spans="1:19" ht="13.8" thickBot="1">
      <c r="A18" s="1045" t="s">
        <v>5</v>
      </c>
      <c r="B18" s="67"/>
      <c r="C18" s="249">
        <f t="shared" ref="C18:M18" si="8">SUM(C16:C17)</f>
        <v>0</v>
      </c>
      <c r="D18" s="250">
        <f t="shared" si="8"/>
        <v>0</v>
      </c>
      <c r="E18" s="224">
        <f t="shared" si="8"/>
        <v>79897.218884999995</v>
      </c>
      <c r="F18" s="250">
        <f t="shared" si="8"/>
        <v>210196.28341421997</v>
      </c>
      <c r="G18" s="224">
        <f t="shared" si="8"/>
        <v>511911.55920322443</v>
      </c>
      <c r="H18" s="224">
        <f t="shared" si="8"/>
        <v>818501.34935700591</v>
      </c>
      <c r="I18" s="225">
        <f t="shared" si="8"/>
        <v>1144507.340425642</v>
      </c>
      <c r="J18" s="250">
        <f t="shared" si="8"/>
        <v>1167397.4872341545</v>
      </c>
      <c r="K18" s="224">
        <f t="shared" si="8"/>
        <v>1190745.4369788379</v>
      </c>
      <c r="L18" s="224">
        <f t="shared" si="8"/>
        <v>1214560.3457184143</v>
      </c>
      <c r="M18" s="225">
        <f t="shared" si="8"/>
        <v>1238851.5526327828</v>
      </c>
      <c r="N18" s="39"/>
      <c r="O18" s="39"/>
      <c r="P18" s="39"/>
      <c r="Q18" s="39"/>
      <c r="R18" s="39"/>
      <c r="S18" s="39"/>
    </row>
    <row r="19" spans="1:19" ht="13.8" thickBot="1">
      <c r="A19" s="185" t="s">
        <v>2</v>
      </c>
      <c r="B19" s="182"/>
      <c r="C19" s="191"/>
      <c r="D19" s="232"/>
      <c r="E19" s="188"/>
      <c r="F19" s="232"/>
      <c r="G19" s="188"/>
      <c r="H19" s="188"/>
      <c r="I19" s="189"/>
      <c r="J19" s="232"/>
      <c r="K19" s="188"/>
      <c r="L19" s="188"/>
      <c r="M19" s="189"/>
      <c r="N19" s="39"/>
      <c r="O19" s="39"/>
      <c r="P19" s="39"/>
      <c r="Q19" s="39"/>
      <c r="R19" s="39"/>
      <c r="S19" s="39"/>
    </row>
    <row r="20" spans="1:19">
      <c r="A20" s="160" t="s">
        <v>101</v>
      </c>
      <c r="B20" s="64"/>
      <c r="C20" s="722">
        <f>'Summary Board'!F106</f>
        <v>22.44</v>
      </c>
      <c r="D20" s="199">
        <f t="shared" ref="D20:M20" si="9">$C$20*(1+$B$8)^D4</f>
        <v>22.888800000000003</v>
      </c>
      <c r="E20" s="186">
        <f t="shared" si="9"/>
        <v>23.346576000000002</v>
      </c>
      <c r="F20" s="280">
        <f t="shared" si="9"/>
        <v>23.813507519999998</v>
      </c>
      <c r="G20" s="186">
        <f t="shared" si="9"/>
        <v>24.289777670399999</v>
      </c>
      <c r="H20" s="186">
        <f t="shared" si="9"/>
        <v>24.775573223808003</v>
      </c>
      <c r="I20" s="186">
        <f t="shared" si="9"/>
        <v>25.271084688284162</v>
      </c>
      <c r="J20" s="280">
        <f t="shared" si="9"/>
        <v>25.776506382049842</v>
      </c>
      <c r="K20" s="186">
        <f t="shared" si="9"/>
        <v>26.292036509690838</v>
      </c>
      <c r="L20" s="186">
        <f t="shared" si="9"/>
        <v>26.817877239884655</v>
      </c>
      <c r="M20" s="187">
        <f t="shared" si="9"/>
        <v>27.354234784682351</v>
      </c>
      <c r="N20" s="39"/>
      <c r="O20" s="39"/>
      <c r="P20" s="39"/>
      <c r="Q20" s="39"/>
      <c r="R20" s="39"/>
      <c r="S20" s="39"/>
    </row>
    <row r="21" spans="1:19">
      <c r="A21" s="160" t="s">
        <v>12</v>
      </c>
      <c r="B21" s="64"/>
      <c r="C21" s="245">
        <f>C22/SUM($C$22:$M$22)</f>
        <v>0</v>
      </c>
      <c r="D21" s="246">
        <f t="shared" ref="D21:M21" si="10">D22/SUM($C$22:$M$22)</f>
        <v>0</v>
      </c>
      <c r="E21" s="173">
        <f t="shared" si="10"/>
        <v>7.1843736327992846E-2</v>
      </c>
      <c r="F21" s="246">
        <f t="shared" si="10"/>
        <v>0.1157283003128292</v>
      </c>
      <c r="G21" s="173">
        <f t="shared" si="10"/>
        <v>0.26752279104261795</v>
      </c>
      <c r="H21" s="173">
        <f t="shared" si="10"/>
        <v>0.26647990455907067</v>
      </c>
      <c r="I21" s="173">
        <f t="shared" si="10"/>
        <v>0.27842526775748927</v>
      </c>
      <c r="J21" s="246">
        <f t="shared" si="10"/>
        <v>0</v>
      </c>
      <c r="K21" s="173">
        <f t="shared" si="10"/>
        <v>0</v>
      </c>
      <c r="L21" s="173">
        <f t="shared" si="10"/>
        <v>0</v>
      </c>
      <c r="M21" s="173">
        <f t="shared" si="10"/>
        <v>0</v>
      </c>
      <c r="N21" s="39"/>
      <c r="O21" s="39"/>
      <c r="P21" s="39"/>
      <c r="Q21" s="39"/>
      <c r="R21" s="39"/>
      <c r="S21" s="39"/>
    </row>
    <row r="22" spans="1:19">
      <c r="A22" s="160" t="s">
        <v>2</v>
      </c>
      <c r="B22" s="64"/>
      <c r="C22" s="149">
        <f>'Development Schedule'!D100*C20</f>
        <v>0</v>
      </c>
      <c r="D22" s="328">
        <f>'Development Schedule'!E100*D20</f>
        <v>0</v>
      </c>
      <c r="E22" s="329">
        <f>'Development Schedule'!F100*E20</f>
        <v>576030.06964800006</v>
      </c>
      <c r="F22" s="328">
        <f>'Development Schedule'!G100*F20</f>
        <v>927888.55781529599</v>
      </c>
      <c r="G22" s="329">
        <f>'Development Schedule'!H100*G20</f>
        <v>2144949.3001474557</v>
      </c>
      <c r="H22" s="329">
        <f>'Development Schedule'!I100*H20</f>
        <v>2136587.6251503462</v>
      </c>
      <c r="I22" s="329">
        <f>'Development Schedule'!J100*I20</f>
        <v>2232363.3844140619</v>
      </c>
      <c r="J22" s="328">
        <f>'Development Schedule'!K100*J20</f>
        <v>0</v>
      </c>
      <c r="K22" s="329">
        <f>'Development Schedule'!L100*K20</f>
        <v>0</v>
      </c>
      <c r="L22" s="329">
        <f>'Development Schedule'!M100*L20</f>
        <v>0</v>
      </c>
      <c r="M22" s="330">
        <f>'Development Schedule'!N100*M20</f>
        <v>0</v>
      </c>
      <c r="N22" s="39"/>
      <c r="O22" s="39"/>
      <c r="P22" s="39"/>
      <c r="Q22" s="39"/>
      <c r="R22" s="39"/>
      <c r="S22" s="39"/>
    </row>
    <row r="23" spans="1:19">
      <c r="A23" s="222" t="s">
        <v>13</v>
      </c>
      <c r="B23" s="227"/>
      <c r="C23" s="152"/>
      <c r="D23" s="248"/>
      <c r="E23" s="228"/>
      <c r="F23" s="248"/>
      <c r="G23" s="228"/>
      <c r="H23" s="228"/>
      <c r="I23" s="228"/>
      <c r="J23" s="248"/>
      <c r="K23" s="228"/>
      <c r="L23" s="228"/>
      <c r="M23" s="231"/>
      <c r="N23" s="39"/>
      <c r="O23" s="39"/>
      <c r="P23" s="39"/>
      <c r="Q23" s="39"/>
      <c r="R23" s="39"/>
      <c r="S23" s="39"/>
    </row>
    <row r="24" spans="1:19" ht="13.8" thickBot="1">
      <c r="A24" s="1045" t="s">
        <v>3</v>
      </c>
      <c r="B24" s="67"/>
      <c r="C24" s="250">
        <f>SUM(C22:C23)</f>
        <v>0</v>
      </c>
      <c r="D24" s="250">
        <f t="shared" ref="D24:M24" si="11">SUM(D22:D23)</f>
        <v>0</v>
      </c>
      <c r="E24" s="224">
        <f t="shared" si="11"/>
        <v>576030.06964800006</v>
      </c>
      <c r="F24" s="250">
        <f t="shared" si="11"/>
        <v>927888.55781529599</v>
      </c>
      <c r="G24" s="224">
        <f t="shared" si="11"/>
        <v>2144949.3001474557</v>
      </c>
      <c r="H24" s="224">
        <f t="shared" si="11"/>
        <v>2136587.6251503462</v>
      </c>
      <c r="I24" s="224">
        <f t="shared" si="11"/>
        <v>2232363.3844140619</v>
      </c>
      <c r="J24" s="224">
        <f t="shared" si="11"/>
        <v>0</v>
      </c>
      <c r="K24" s="224">
        <f t="shared" si="11"/>
        <v>0</v>
      </c>
      <c r="L24" s="224">
        <f t="shared" si="11"/>
        <v>0</v>
      </c>
      <c r="M24" s="225">
        <f t="shared" si="11"/>
        <v>0</v>
      </c>
      <c r="N24" s="39"/>
      <c r="O24" s="39"/>
      <c r="P24" s="39"/>
      <c r="Q24" s="39"/>
      <c r="R24" s="39"/>
      <c r="S24" s="39"/>
    </row>
    <row r="25" spans="1:19" ht="13.8" thickBot="1">
      <c r="A25" s="185" t="s">
        <v>4</v>
      </c>
      <c r="B25" s="182"/>
      <c r="C25" s="191"/>
      <c r="D25" s="232"/>
      <c r="E25" s="188"/>
      <c r="F25" s="232"/>
      <c r="G25" s="188"/>
      <c r="H25" s="188"/>
      <c r="I25" s="189"/>
      <c r="J25" s="1105"/>
      <c r="K25" s="188"/>
      <c r="L25" s="188"/>
      <c r="M25" s="189"/>
      <c r="N25" s="39"/>
      <c r="O25" s="39"/>
      <c r="P25" s="39"/>
      <c r="Q25" s="39"/>
      <c r="R25" s="39"/>
      <c r="S25" s="39"/>
    </row>
    <row r="26" spans="1:19">
      <c r="A26" s="160" t="s">
        <v>5</v>
      </c>
      <c r="B26" s="64"/>
      <c r="C26" s="137">
        <f>C18</f>
        <v>0</v>
      </c>
      <c r="D26" s="247">
        <f t="shared" ref="D26:M26" si="12">D18</f>
        <v>0</v>
      </c>
      <c r="E26" s="216">
        <f t="shared" si="12"/>
        <v>79897.218884999995</v>
      </c>
      <c r="F26" s="247">
        <f t="shared" si="12"/>
        <v>210196.28341421997</v>
      </c>
      <c r="G26" s="216">
        <f t="shared" si="12"/>
        <v>511911.55920322443</v>
      </c>
      <c r="H26" s="216">
        <f t="shared" si="12"/>
        <v>818501.34935700591</v>
      </c>
      <c r="I26" s="230">
        <f t="shared" si="12"/>
        <v>1144507.340425642</v>
      </c>
      <c r="J26" s="247">
        <f t="shared" si="12"/>
        <v>1167397.4872341545</v>
      </c>
      <c r="K26" s="216">
        <f t="shared" si="12"/>
        <v>1190745.4369788379</v>
      </c>
      <c r="L26" s="216">
        <f t="shared" si="12"/>
        <v>1214560.3457184143</v>
      </c>
      <c r="M26" s="230">
        <f t="shared" si="12"/>
        <v>1238851.5526327828</v>
      </c>
      <c r="N26" s="39"/>
      <c r="O26" s="39"/>
      <c r="P26" s="39"/>
      <c r="Q26" s="39"/>
      <c r="R26" s="39"/>
      <c r="S26" s="39"/>
    </row>
    <row r="27" spans="1:19">
      <c r="A27" s="160" t="s">
        <v>59</v>
      </c>
      <c r="B27" s="108">
        <f>D39</f>
        <v>8.4000000000000005E-2</v>
      </c>
      <c r="C27" s="139">
        <v>0</v>
      </c>
      <c r="D27" s="237">
        <f>C27</f>
        <v>0</v>
      </c>
      <c r="E27" s="226">
        <f t="shared" ref="E27:L27" si="13">D27</f>
        <v>0</v>
      </c>
      <c r="F27" s="237">
        <f t="shared" si="13"/>
        <v>0</v>
      </c>
      <c r="G27" s="226">
        <f t="shared" si="13"/>
        <v>0</v>
      </c>
      <c r="H27" s="226">
        <f t="shared" si="13"/>
        <v>0</v>
      </c>
      <c r="I27" s="238">
        <f t="shared" si="13"/>
        <v>0</v>
      </c>
      <c r="J27" s="237">
        <f t="shared" si="13"/>
        <v>0</v>
      </c>
      <c r="K27" s="226">
        <f t="shared" si="13"/>
        <v>0</v>
      </c>
      <c r="L27" s="226">
        <f t="shared" si="13"/>
        <v>0</v>
      </c>
      <c r="M27" s="238">
        <f>M26/B27</f>
        <v>14748232.76943789</v>
      </c>
      <c r="N27" s="39"/>
      <c r="O27" s="39"/>
      <c r="P27" s="39"/>
      <c r="Q27" s="39"/>
      <c r="R27" s="39"/>
      <c r="S27" s="39"/>
    </row>
    <row r="28" spans="1:19">
      <c r="A28" s="222" t="s">
        <v>102</v>
      </c>
      <c r="B28" s="286"/>
      <c r="C28" s="253">
        <f t="shared" ref="C28:M28" si="14">-C24</f>
        <v>0</v>
      </c>
      <c r="D28" s="254">
        <f t="shared" si="14"/>
        <v>0</v>
      </c>
      <c r="E28" s="220">
        <f t="shared" si="14"/>
        <v>-576030.06964800006</v>
      </c>
      <c r="F28" s="254">
        <f t="shared" si="14"/>
        <v>-927888.55781529599</v>
      </c>
      <c r="G28" s="220">
        <f t="shared" si="14"/>
        <v>-2144949.3001474557</v>
      </c>
      <c r="H28" s="220">
        <f t="shared" si="14"/>
        <v>-2136587.6251503462</v>
      </c>
      <c r="I28" s="223">
        <f t="shared" si="14"/>
        <v>-2232363.3844140619</v>
      </c>
      <c r="J28" s="254">
        <f t="shared" si="14"/>
        <v>0</v>
      </c>
      <c r="K28" s="220">
        <f t="shared" si="14"/>
        <v>0</v>
      </c>
      <c r="L28" s="220">
        <f t="shared" si="14"/>
        <v>0</v>
      </c>
      <c r="M28" s="223">
        <f t="shared" si="14"/>
        <v>0</v>
      </c>
      <c r="N28" s="39"/>
      <c r="O28" s="39"/>
      <c r="P28" s="39"/>
      <c r="Q28" s="39"/>
      <c r="R28" s="39"/>
      <c r="S28" s="39"/>
    </row>
    <row r="29" spans="1:19" ht="13.8" thickBot="1">
      <c r="A29" s="1045" t="s">
        <v>6</v>
      </c>
      <c r="B29" s="117"/>
      <c r="C29" s="249">
        <f t="shared" ref="C29:M29" si="15">SUM(C26:C28)</f>
        <v>0</v>
      </c>
      <c r="D29" s="250">
        <f t="shared" si="15"/>
        <v>0</v>
      </c>
      <c r="E29" s="224">
        <f t="shared" si="15"/>
        <v>-496132.85076300008</v>
      </c>
      <c r="F29" s="250">
        <f t="shared" si="15"/>
        <v>-717692.27440107602</v>
      </c>
      <c r="G29" s="224">
        <f t="shared" si="15"/>
        <v>-1633037.7409442312</v>
      </c>
      <c r="H29" s="224">
        <f t="shared" si="15"/>
        <v>-1318086.2757933403</v>
      </c>
      <c r="I29" s="225">
        <f t="shared" si="15"/>
        <v>-1087856.0439884199</v>
      </c>
      <c r="J29" s="250">
        <f t="shared" si="15"/>
        <v>1167397.4872341545</v>
      </c>
      <c r="K29" s="224">
        <f t="shared" si="15"/>
        <v>1190745.4369788379</v>
      </c>
      <c r="L29" s="224">
        <f t="shared" si="15"/>
        <v>1214560.3457184143</v>
      </c>
      <c r="M29" s="225">
        <f t="shared" si="15"/>
        <v>15987084.322070673</v>
      </c>
      <c r="N29" s="39"/>
      <c r="O29" s="39"/>
      <c r="P29" s="39"/>
      <c r="Q29" s="39"/>
      <c r="R29" s="39"/>
      <c r="S29" s="39"/>
    </row>
    <row r="30" spans="1:19" ht="13.8" thickBot="1">
      <c r="A30" s="114" t="s">
        <v>26</v>
      </c>
      <c r="B30" s="105"/>
      <c r="C30" s="359">
        <f>C29+NPV(D42,D29:M29)</f>
        <v>5559169.9213624736</v>
      </c>
      <c r="D30" s="356"/>
      <c r="E30" s="357"/>
      <c r="F30" s="356"/>
      <c r="G30" s="1008"/>
      <c r="H30" s="357"/>
      <c r="I30" s="358"/>
      <c r="J30" s="107"/>
      <c r="K30" s="107"/>
      <c r="L30" s="107"/>
      <c r="M30" s="175"/>
      <c r="N30" s="39"/>
      <c r="O30" s="39"/>
      <c r="P30" s="39"/>
      <c r="Q30" s="39"/>
      <c r="R30" s="39"/>
      <c r="S30" s="39"/>
    </row>
    <row r="31" spans="1:19" ht="13.8" thickBot="1">
      <c r="A31" s="80" t="s">
        <v>61</v>
      </c>
      <c r="B31" s="144"/>
      <c r="C31" s="260">
        <f>IRR(C29:M29,0)</f>
        <v>0.27675620128800271</v>
      </c>
      <c r="D31" s="241"/>
      <c r="E31" s="144"/>
      <c r="F31" s="241"/>
      <c r="G31" s="144"/>
      <c r="H31" s="144"/>
      <c r="I31" s="159"/>
      <c r="J31" s="144"/>
      <c r="K31" s="144"/>
      <c r="L31" s="144"/>
      <c r="M31" s="159"/>
      <c r="N31" s="39"/>
      <c r="O31" s="39"/>
      <c r="P31" s="39"/>
      <c r="Q31" s="39"/>
      <c r="R31" s="39"/>
      <c r="S31" s="39"/>
    </row>
    <row r="32" spans="1:19" ht="13.8" thickBot="1">
      <c r="A32" s="39"/>
      <c r="B32" s="57"/>
      <c r="C32" s="57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13.8" thickBot="1">
      <c r="A33" s="907" t="s">
        <v>96</v>
      </c>
      <c r="B33" s="973"/>
      <c r="C33" s="973"/>
      <c r="D33" s="998"/>
      <c r="E33" s="39"/>
      <c r="F33" s="1110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ht="13.8" thickBot="1">
      <c r="A34" s="123"/>
      <c r="B34" s="190"/>
      <c r="C34" s="382" t="s">
        <v>95</v>
      </c>
      <c r="D34" s="444" t="s">
        <v>95</v>
      </c>
      <c r="E34" s="39"/>
      <c r="F34" s="39"/>
      <c r="G34" s="39"/>
      <c r="H34" s="39"/>
      <c r="I34" s="39"/>
      <c r="J34" s="39"/>
      <c r="K34" s="39"/>
      <c r="L34" s="39"/>
      <c r="M34" s="39"/>
    </row>
    <row r="35" spans="1:19" ht="13.8" thickBot="1">
      <c r="A35" s="78" t="s">
        <v>399</v>
      </c>
      <c r="B35" s="144"/>
      <c r="C35" s="1028">
        <f>'Development Schedule'!C100</f>
        <v>326518.8</v>
      </c>
      <c r="D35" s="1029">
        <f>'Development Schedule'!C100</f>
        <v>326518.8</v>
      </c>
      <c r="E35" s="39"/>
      <c r="F35" s="39"/>
      <c r="G35" s="39"/>
      <c r="H35" s="39"/>
      <c r="I35" s="39"/>
      <c r="J35" s="39"/>
      <c r="K35" s="39"/>
      <c r="L35" s="39"/>
      <c r="M35" s="39"/>
    </row>
    <row r="36" spans="1:19" ht="13.8" thickBot="1">
      <c r="A36" s="73"/>
      <c r="B36" s="64"/>
      <c r="C36" s="304"/>
      <c r="D36" s="171"/>
      <c r="E36" s="39"/>
      <c r="F36" s="39"/>
      <c r="G36" s="39"/>
      <c r="H36" s="39"/>
      <c r="I36" s="39"/>
      <c r="J36" s="39"/>
      <c r="K36" s="39"/>
      <c r="L36" s="39"/>
      <c r="M36" s="39"/>
    </row>
    <row r="37" spans="1:19" ht="13.8" thickBot="1">
      <c r="A37" s="907" t="s">
        <v>103</v>
      </c>
      <c r="B37" s="908"/>
      <c r="C37" s="908"/>
      <c r="D37" s="999"/>
      <c r="E37" s="39"/>
      <c r="F37" s="39"/>
      <c r="G37" s="39"/>
      <c r="H37" s="39"/>
      <c r="I37" s="39"/>
      <c r="J37" s="39"/>
      <c r="K37" s="39"/>
      <c r="L37" s="39"/>
      <c r="M37" s="39"/>
    </row>
    <row r="38" spans="1:19">
      <c r="A38" s="63" t="s">
        <v>114</v>
      </c>
      <c r="B38" s="64"/>
      <c r="C38" s="64"/>
      <c r="D38" s="733">
        <f>C12*0.2</f>
        <v>0.03</v>
      </c>
      <c r="E38" s="39"/>
      <c r="F38" s="39"/>
      <c r="G38" s="39"/>
      <c r="H38" s="39"/>
      <c r="I38" s="39"/>
      <c r="J38" s="39"/>
      <c r="K38" s="39"/>
      <c r="L38" s="39"/>
      <c r="M38" s="39"/>
    </row>
    <row r="39" spans="1:19">
      <c r="A39" s="63" t="s">
        <v>104</v>
      </c>
      <c r="B39" s="64"/>
      <c r="C39" s="64"/>
      <c r="D39" s="350">
        <v>8.4000000000000005E-2</v>
      </c>
      <c r="E39" s="39"/>
      <c r="F39" s="39"/>
      <c r="G39" s="39"/>
      <c r="H39" s="39"/>
      <c r="I39" s="39"/>
      <c r="J39" s="39"/>
      <c r="K39" s="39"/>
      <c r="L39" s="39"/>
      <c r="M39" s="39"/>
    </row>
    <row r="40" spans="1:19">
      <c r="A40" s="63" t="s">
        <v>477</v>
      </c>
      <c r="B40" s="64"/>
      <c r="C40" s="64"/>
      <c r="D40" s="1102">
        <v>0.15</v>
      </c>
      <c r="E40" s="39"/>
      <c r="F40" s="39"/>
      <c r="G40" s="39"/>
      <c r="H40" s="39"/>
      <c r="I40" s="39"/>
      <c r="J40" s="39"/>
      <c r="K40" s="39"/>
      <c r="L40" s="39"/>
      <c r="M40" s="39"/>
    </row>
    <row r="41" spans="1:19">
      <c r="A41" s="63" t="s">
        <v>481</v>
      </c>
      <c r="B41" s="64"/>
      <c r="C41" s="64"/>
      <c r="D41" s="1106">
        <f>E11/E10</f>
        <v>5.6818181818181816E-2</v>
      </c>
      <c r="E41" s="39"/>
      <c r="F41" s="39"/>
      <c r="G41" s="39"/>
      <c r="H41" s="39"/>
      <c r="I41" s="39"/>
      <c r="J41" s="39"/>
      <c r="K41" s="39"/>
      <c r="L41" s="39"/>
      <c r="M41" s="39"/>
    </row>
    <row r="42" spans="1:19" ht="13.8" thickBot="1">
      <c r="A42" s="66" t="s">
        <v>92</v>
      </c>
      <c r="B42" s="67"/>
      <c r="C42" s="67"/>
      <c r="D42" s="125">
        <v>0.08</v>
      </c>
      <c r="E42" s="39"/>
      <c r="F42" s="39"/>
      <c r="G42" s="39"/>
      <c r="H42" s="39"/>
      <c r="I42" s="39"/>
      <c r="J42" s="39"/>
      <c r="K42" s="39"/>
      <c r="L42" s="39"/>
      <c r="M42" s="39"/>
    </row>
  </sheetData>
  <mergeCells count="3">
    <mergeCell ref="D3:E3"/>
    <mergeCell ref="F3:I3"/>
    <mergeCell ref="J3:M3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130"/>
  <sheetViews>
    <sheetView zoomScale="70" zoomScaleNormal="70" zoomScaleSheetLayoutView="70" zoomScalePageLayoutView="70" workbookViewId="0">
      <selection activeCell="I111" sqref="I111"/>
    </sheetView>
  </sheetViews>
  <sheetFormatPr defaultColWidth="9.109375" defaultRowHeight="13.2"/>
  <cols>
    <col min="1" max="1" width="32.33203125" style="38" customWidth="1"/>
    <col min="2" max="2" width="24.5546875" style="38" customWidth="1"/>
    <col min="3" max="3" width="12.88671875" style="38" customWidth="1"/>
    <col min="4" max="14" width="13.6640625" style="38" customWidth="1"/>
    <col min="15" max="16384" width="9.109375" style="38"/>
  </cols>
  <sheetData>
    <row r="1" spans="1:14">
      <c r="A1" s="1066" t="s">
        <v>81</v>
      </c>
      <c r="B1" s="1067"/>
      <c r="C1" s="1067"/>
      <c r="D1" s="1067"/>
      <c r="E1" s="1067"/>
      <c r="F1" s="1067"/>
      <c r="G1" s="1067"/>
      <c r="H1" s="1067"/>
      <c r="I1" s="1067"/>
      <c r="J1" s="1067"/>
      <c r="K1" s="1067"/>
      <c r="L1" s="1067"/>
      <c r="M1" s="1067"/>
      <c r="N1" s="1068"/>
    </row>
    <row r="2" spans="1:14" ht="13.8" thickBot="1">
      <c r="A2" s="1069" t="s">
        <v>80</v>
      </c>
      <c r="B2" s="1070"/>
      <c r="C2" s="1070"/>
      <c r="D2" s="1070"/>
      <c r="E2" s="1070"/>
      <c r="F2" s="1070"/>
      <c r="G2" s="1071"/>
      <c r="H2" s="1070"/>
      <c r="I2" s="1070"/>
      <c r="J2" s="1070"/>
      <c r="K2" s="1070"/>
      <c r="L2" s="1070"/>
      <c r="M2" s="1070"/>
      <c r="N2" s="1072"/>
    </row>
    <row r="3" spans="1:14" ht="13.8" thickBot="1">
      <c r="A3" s="47"/>
      <c r="B3" s="48"/>
      <c r="C3" s="48"/>
      <c r="D3" s="49" t="s">
        <v>57</v>
      </c>
      <c r="E3" s="1227" t="s">
        <v>36</v>
      </c>
      <c r="F3" s="1235"/>
      <c r="G3" s="1229" t="s">
        <v>78</v>
      </c>
      <c r="H3" s="1230"/>
      <c r="I3" s="1230"/>
      <c r="J3" s="1231"/>
      <c r="K3" s="1232" t="s">
        <v>79</v>
      </c>
      <c r="L3" s="1233"/>
      <c r="M3" s="1233"/>
      <c r="N3" s="1234"/>
    </row>
    <row r="4" spans="1:14" ht="13.8" thickBot="1">
      <c r="A4" s="43"/>
      <c r="B4" s="44" t="s">
        <v>83</v>
      </c>
      <c r="C4" s="44" t="s">
        <v>82</v>
      </c>
      <c r="D4" s="381" t="s">
        <v>337</v>
      </c>
      <c r="E4" s="276">
        <v>2021</v>
      </c>
      <c r="F4" s="44">
        <f>E4+1</f>
        <v>2022</v>
      </c>
      <c r="G4" s="45">
        <f t="shared" ref="G4:L4" si="0">F4+1</f>
        <v>2023</v>
      </c>
      <c r="H4" s="44">
        <f t="shared" si="0"/>
        <v>2024</v>
      </c>
      <c r="I4" s="44">
        <f t="shared" si="0"/>
        <v>2025</v>
      </c>
      <c r="J4" s="46">
        <f t="shared" si="0"/>
        <v>2026</v>
      </c>
      <c r="K4" s="45">
        <f t="shared" si="0"/>
        <v>2027</v>
      </c>
      <c r="L4" s="44">
        <f t="shared" si="0"/>
        <v>2028</v>
      </c>
      <c r="M4" s="44">
        <f>L4+1</f>
        <v>2029</v>
      </c>
      <c r="N4" s="46">
        <f>M4+1</f>
        <v>2030</v>
      </c>
    </row>
    <row r="5" spans="1:14" ht="4.5" customHeight="1">
      <c r="A5" s="123"/>
      <c r="B5" s="72"/>
      <c r="C5" s="72"/>
      <c r="D5" s="72"/>
      <c r="E5" s="71"/>
      <c r="F5" s="739"/>
      <c r="G5" s="71"/>
      <c r="H5" s="72"/>
      <c r="I5" s="72"/>
      <c r="J5" s="739"/>
      <c r="K5" s="72"/>
      <c r="L5" s="72"/>
      <c r="M5" s="72"/>
      <c r="N5" s="739"/>
    </row>
    <row r="6" spans="1:14" s="944" customFormat="1">
      <c r="A6" s="938" t="s">
        <v>382</v>
      </c>
      <c r="B6" s="939"/>
      <c r="C6" s="939"/>
      <c r="D6" s="940"/>
      <c r="E6" s="941"/>
      <c r="F6" s="942"/>
      <c r="G6" s="943"/>
      <c r="H6" s="940"/>
      <c r="I6" s="940"/>
      <c r="J6" s="942"/>
      <c r="K6" s="940"/>
      <c r="L6" s="940"/>
      <c r="M6" s="940"/>
      <c r="N6" s="942"/>
    </row>
    <row r="7" spans="1:14">
      <c r="A7" s="63" t="s">
        <v>369</v>
      </c>
      <c r="B7" s="64" t="s">
        <v>84</v>
      </c>
      <c r="C7" s="720">
        <f>'Land Values'!E8</f>
        <v>546477</v>
      </c>
      <c r="D7" s="87"/>
      <c r="E7" s="69">
        <f>C7*(1/3)</f>
        <v>182159</v>
      </c>
      <c r="F7" s="75">
        <f>C7*(1/3)</f>
        <v>182159</v>
      </c>
      <c r="G7" s="911">
        <f>C7*(1/3)</f>
        <v>182159</v>
      </c>
      <c r="H7" s="87"/>
      <c r="I7" s="87"/>
      <c r="J7" s="89"/>
      <c r="K7" s="87"/>
      <c r="L7" s="87"/>
      <c r="M7" s="87"/>
      <c r="N7" s="89"/>
    </row>
    <row r="8" spans="1:14" s="928" customFormat="1">
      <c r="A8" s="934" t="s">
        <v>383</v>
      </c>
      <c r="B8" s="929"/>
      <c r="C8" s="930"/>
      <c r="D8" s="924"/>
      <c r="E8" s="931"/>
      <c r="F8" s="932"/>
      <c r="G8" s="933"/>
      <c r="H8" s="924"/>
      <c r="I8" s="924"/>
      <c r="J8" s="926"/>
      <c r="K8" s="924"/>
      <c r="L8" s="924"/>
      <c r="M8" s="924"/>
      <c r="N8" s="926"/>
    </row>
    <row r="9" spans="1:14">
      <c r="A9" s="63" t="s">
        <v>413</v>
      </c>
      <c r="B9" s="64" t="s">
        <v>84</v>
      </c>
      <c r="C9" s="720">
        <f>26940+42240</f>
        <v>69180</v>
      </c>
      <c r="D9" s="87"/>
      <c r="E9" s="69">
        <f>C9</f>
        <v>69180</v>
      </c>
      <c r="F9" s="75"/>
      <c r="G9" s="59"/>
      <c r="H9" s="87"/>
      <c r="I9" s="87"/>
      <c r="J9" s="89"/>
      <c r="K9" s="87"/>
      <c r="L9" s="87"/>
      <c r="M9" s="87"/>
      <c r="N9" s="89"/>
    </row>
    <row r="10" spans="1:14">
      <c r="A10" s="63" t="s">
        <v>435</v>
      </c>
      <c r="B10" s="64" t="s">
        <v>49</v>
      </c>
      <c r="C10" s="720">
        <f>197600+42240</f>
        <v>239840</v>
      </c>
      <c r="D10" s="87"/>
      <c r="E10" s="69">
        <f>C10</f>
        <v>239840</v>
      </c>
      <c r="F10" s="75"/>
      <c r="G10" s="59"/>
      <c r="H10" s="87"/>
      <c r="I10" s="87"/>
      <c r="J10" s="89"/>
      <c r="K10" s="87"/>
      <c r="L10" s="87"/>
      <c r="M10" s="87"/>
      <c r="N10" s="89"/>
    </row>
    <row r="11" spans="1:14" s="921" customFormat="1">
      <c r="A11" s="947" t="s">
        <v>407</v>
      </c>
      <c r="B11" s="914"/>
      <c r="C11" s="915"/>
      <c r="D11" s="916"/>
      <c r="E11" s="917"/>
      <c r="F11" s="918"/>
      <c r="G11" s="919"/>
      <c r="H11" s="916"/>
      <c r="I11" s="916"/>
      <c r="J11" s="920"/>
      <c r="K11" s="916"/>
      <c r="L11" s="916"/>
      <c r="M11" s="916"/>
      <c r="N11" s="920"/>
    </row>
    <row r="12" spans="1:14">
      <c r="A12" s="63" t="s">
        <v>66</v>
      </c>
      <c r="B12" s="64" t="s">
        <v>66</v>
      </c>
      <c r="C12" s="766">
        <f>C15*3</f>
        <v>50580</v>
      </c>
      <c r="D12" s="87"/>
      <c r="E12" s="69"/>
      <c r="F12" s="75">
        <f>C12</f>
        <v>50580</v>
      </c>
      <c r="G12" s="911"/>
      <c r="H12" s="87"/>
      <c r="I12" s="87"/>
      <c r="J12" s="89"/>
      <c r="K12" s="87"/>
      <c r="L12" s="87"/>
      <c r="M12" s="87"/>
      <c r="N12" s="89"/>
    </row>
    <row r="13" spans="1:14">
      <c r="A13" s="63" t="s">
        <v>384</v>
      </c>
      <c r="B13" s="64" t="s">
        <v>66</v>
      </c>
      <c r="C13" s="720">
        <f>C15*4</f>
        <v>67440</v>
      </c>
      <c r="D13" s="87"/>
      <c r="E13" s="69">
        <f>C13</f>
        <v>67440</v>
      </c>
      <c r="F13" s="75"/>
      <c r="G13" s="911"/>
      <c r="H13" s="87"/>
      <c r="I13" s="87"/>
      <c r="J13" s="89"/>
      <c r="K13" s="87"/>
      <c r="L13" s="87"/>
      <c r="M13" s="87"/>
      <c r="N13" s="89"/>
    </row>
    <row r="14" spans="1:14">
      <c r="A14" s="63" t="s">
        <v>406</v>
      </c>
      <c r="B14" s="64" t="s">
        <v>66</v>
      </c>
      <c r="C14" s="766">
        <f>C15*4</f>
        <v>67440</v>
      </c>
      <c r="D14" s="87"/>
      <c r="E14" s="69"/>
      <c r="F14" s="75">
        <f>C14</f>
        <v>67440</v>
      </c>
      <c r="G14" s="911"/>
      <c r="H14" s="87"/>
      <c r="I14" s="87"/>
      <c r="J14" s="89"/>
      <c r="K14" s="87"/>
      <c r="L14" s="87"/>
      <c r="M14" s="87"/>
      <c r="N14" s="89"/>
    </row>
    <row r="15" spans="1:14">
      <c r="A15" s="63" t="s">
        <v>405</v>
      </c>
      <c r="B15" s="64" t="s">
        <v>47</v>
      </c>
      <c r="C15" s="720">
        <v>16860</v>
      </c>
      <c r="D15" s="87"/>
      <c r="E15" s="69">
        <f t="shared" ref="E15:E21" si="1">C15</f>
        <v>16860</v>
      </c>
      <c r="F15" s="75"/>
      <c r="G15" s="59"/>
      <c r="H15" s="87"/>
      <c r="I15" s="87"/>
      <c r="J15" s="89"/>
      <c r="K15" s="87"/>
      <c r="L15" s="87"/>
      <c r="M15" s="87"/>
      <c r="N15" s="89"/>
    </row>
    <row r="16" spans="1:14">
      <c r="A16" s="63" t="s">
        <v>402</v>
      </c>
      <c r="B16" s="64" t="s">
        <v>392</v>
      </c>
      <c r="C16" s="720">
        <f>C15*0.25</f>
        <v>4215</v>
      </c>
      <c r="D16" s="87"/>
      <c r="E16" s="69"/>
      <c r="F16" s="75">
        <f>C16</f>
        <v>4215</v>
      </c>
      <c r="G16" s="59"/>
      <c r="H16" s="87"/>
      <c r="I16" s="87"/>
      <c r="J16" s="89"/>
      <c r="K16" s="87"/>
      <c r="L16" s="87"/>
      <c r="M16" s="87"/>
      <c r="N16" s="89"/>
    </row>
    <row r="17" spans="1:14">
      <c r="A17" s="63" t="s">
        <v>404</v>
      </c>
      <c r="B17" s="64" t="s">
        <v>47</v>
      </c>
      <c r="C17" s="720">
        <f>C15*0.25</f>
        <v>4215</v>
      </c>
      <c r="D17" s="87"/>
      <c r="E17" s="69"/>
      <c r="F17" s="75">
        <f>C17</f>
        <v>4215</v>
      </c>
      <c r="G17" s="59"/>
      <c r="H17" s="87"/>
      <c r="I17" s="87"/>
      <c r="J17" s="89"/>
      <c r="K17" s="87"/>
      <c r="L17" s="87"/>
      <c r="M17" s="87"/>
      <c r="N17" s="89"/>
    </row>
    <row r="18" spans="1:14">
      <c r="A18" s="63" t="s">
        <v>403</v>
      </c>
      <c r="B18" s="64" t="s">
        <v>84</v>
      </c>
      <c r="C18" s="720">
        <f>C15*0.25</f>
        <v>4215</v>
      </c>
      <c r="D18" s="87"/>
      <c r="E18" s="69"/>
      <c r="F18" s="75">
        <f>C18</f>
        <v>4215</v>
      </c>
      <c r="G18" s="59"/>
      <c r="H18" s="87"/>
      <c r="I18" s="87"/>
      <c r="J18" s="89"/>
      <c r="K18" s="87"/>
      <c r="L18" s="87"/>
      <c r="M18" s="87"/>
      <c r="N18" s="89"/>
    </row>
    <row r="19" spans="1:14">
      <c r="A19" s="63" t="s">
        <v>400</v>
      </c>
      <c r="B19" s="64" t="s">
        <v>391</v>
      </c>
      <c r="C19" s="720">
        <f>C15*0.3</f>
        <v>5058</v>
      </c>
      <c r="D19" s="87"/>
      <c r="E19" s="69"/>
      <c r="F19" s="75">
        <f>C19</f>
        <v>5058</v>
      </c>
      <c r="G19" s="59"/>
      <c r="H19" s="87"/>
      <c r="I19" s="87"/>
      <c r="J19" s="89"/>
      <c r="K19" s="87"/>
      <c r="L19" s="87"/>
      <c r="M19" s="87"/>
      <c r="N19" s="89"/>
    </row>
    <row r="20" spans="1:14" s="921" customFormat="1">
      <c r="A20" s="947" t="s">
        <v>408</v>
      </c>
      <c r="B20" s="914"/>
      <c r="C20" s="915"/>
      <c r="D20" s="916"/>
      <c r="E20" s="917"/>
      <c r="F20" s="918"/>
      <c r="G20" s="923"/>
      <c r="H20" s="916"/>
      <c r="I20" s="916"/>
      <c r="J20" s="920"/>
      <c r="K20" s="916"/>
      <c r="L20" s="916"/>
      <c r="M20" s="916"/>
      <c r="N20" s="920"/>
    </row>
    <row r="21" spans="1:14">
      <c r="A21" s="63" t="s">
        <v>87</v>
      </c>
      <c r="B21" s="64" t="s">
        <v>47</v>
      </c>
      <c r="C21" s="720">
        <v>38000</v>
      </c>
      <c r="D21" s="87"/>
      <c r="E21" s="69">
        <f t="shared" si="1"/>
        <v>38000</v>
      </c>
      <c r="F21" s="75"/>
      <c r="G21" s="59"/>
      <c r="H21" s="87"/>
      <c r="I21" s="87"/>
      <c r="J21" s="89"/>
      <c r="K21" s="87"/>
      <c r="L21" s="87"/>
      <c r="M21" s="87"/>
      <c r="N21" s="89"/>
    </row>
    <row r="22" spans="1:14">
      <c r="A22" s="63" t="s">
        <v>393</v>
      </c>
      <c r="B22" s="64" t="s">
        <v>47</v>
      </c>
      <c r="C22" s="720">
        <f>55000-38000</f>
        <v>17000</v>
      </c>
      <c r="D22" s="87"/>
      <c r="E22" s="69">
        <f>C22</f>
        <v>17000</v>
      </c>
      <c r="F22" s="75"/>
      <c r="G22" s="59"/>
      <c r="H22" s="87"/>
      <c r="I22" s="87"/>
      <c r="J22" s="89"/>
      <c r="K22" s="87"/>
      <c r="L22" s="87"/>
      <c r="M22" s="87"/>
      <c r="N22" s="89"/>
    </row>
    <row r="23" spans="1:14">
      <c r="A23" s="63" t="s">
        <v>401</v>
      </c>
      <c r="B23" s="64" t="s">
        <v>86</v>
      </c>
      <c r="C23" s="720">
        <v>150000</v>
      </c>
      <c r="D23" s="87"/>
      <c r="E23" s="69">
        <f>C23*(1/3)</f>
        <v>50000</v>
      </c>
      <c r="F23" s="75">
        <f>C23*(2/3)</f>
        <v>100000</v>
      </c>
      <c r="G23" s="59"/>
      <c r="H23" s="87"/>
      <c r="I23" s="87"/>
      <c r="J23" s="89"/>
      <c r="K23" s="87"/>
      <c r="L23" s="87"/>
      <c r="M23" s="87"/>
      <c r="N23" s="89"/>
    </row>
    <row r="24" spans="1:14">
      <c r="A24" s="63" t="s">
        <v>401</v>
      </c>
      <c r="B24" s="64" t="s">
        <v>85</v>
      </c>
      <c r="C24" s="720">
        <f>330000-C23</f>
        <v>180000</v>
      </c>
      <c r="D24" s="87"/>
      <c r="E24" s="69">
        <f>C24*(1/3)</f>
        <v>60000</v>
      </c>
      <c r="F24" s="75">
        <f>C24*(2/3)</f>
        <v>120000</v>
      </c>
      <c r="G24" s="59"/>
      <c r="H24" s="87"/>
      <c r="I24" s="87"/>
      <c r="J24" s="89"/>
      <c r="K24" s="87"/>
      <c r="L24" s="87"/>
      <c r="M24" s="87"/>
      <c r="N24" s="89"/>
    </row>
    <row r="25" spans="1:14">
      <c r="A25" s="63" t="s">
        <v>402</v>
      </c>
      <c r="B25" s="64" t="s">
        <v>392</v>
      </c>
      <c r="C25" s="720">
        <f>(C22+C21)*0.3</f>
        <v>16500</v>
      </c>
      <c r="D25" s="87"/>
      <c r="E25" s="69"/>
      <c r="F25" s="75">
        <f>C25</f>
        <v>16500</v>
      </c>
      <c r="G25" s="59"/>
      <c r="H25" s="87"/>
      <c r="I25" s="87"/>
      <c r="J25" s="89"/>
      <c r="K25" s="87"/>
      <c r="L25" s="87"/>
      <c r="M25" s="87"/>
      <c r="N25" s="89"/>
    </row>
    <row r="26" spans="1:14">
      <c r="A26" s="63" t="s">
        <v>400</v>
      </c>
      <c r="B26" s="64" t="s">
        <v>391</v>
      </c>
      <c r="C26" s="720">
        <f>(C22+C21)*0.3</f>
        <v>16500</v>
      </c>
      <c r="D26" s="87"/>
      <c r="E26" s="69"/>
      <c r="F26" s="75">
        <f>C26</f>
        <v>16500</v>
      </c>
      <c r="G26" s="59"/>
      <c r="H26" s="87"/>
      <c r="I26" s="87"/>
      <c r="J26" s="89"/>
      <c r="K26" s="87"/>
      <c r="L26" s="87"/>
      <c r="M26" s="87"/>
      <c r="N26" s="89"/>
    </row>
    <row r="27" spans="1:14">
      <c r="A27" s="63" t="s">
        <v>403</v>
      </c>
      <c r="B27" s="64" t="s">
        <v>84</v>
      </c>
      <c r="C27" s="720">
        <f>(C22+C21)*0.2</f>
        <v>11000</v>
      </c>
      <c r="D27" s="87"/>
      <c r="E27" s="69"/>
      <c r="F27" s="75">
        <f>C27</f>
        <v>11000</v>
      </c>
      <c r="G27" s="59"/>
      <c r="H27" s="87"/>
      <c r="I27" s="87"/>
      <c r="J27" s="89"/>
      <c r="K27" s="87"/>
      <c r="L27" s="87"/>
      <c r="M27" s="87"/>
      <c r="N27" s="89"/>
    </row>
    <row r="28" spans="1:14" s="928" customFormat="1">
      <c r="A28" s="934" t="s">
        <v>385</v>
      </c>
      <c r="B28" s="929"/>
      <c r="C28" s="930"/>
      <c r="D28" s="924"/>
      <c r="E28" s="931"/>
      <c r="F28" s="932"/>
      <c r="G28" s="927"/>
      <c r="H28" s="924"/>
      <c r="I28" s="924"/>
      <c r="J28" s="926"/>
      <c r="K28" s="924"/>
      <c r="L28" s="924"/>
      <c r="M28" s="924"/>
      <c r="N28" s="926"/>
    </row>
    <row r="29" spans="1:14">
      <c r="A29" s="63" t="s">
        <v>285</v>
      </c>
      <c r="B29" s="64" t="s">
        <v>66</v>
      </c>
      <c r="C29" s="720">
        <f>C31*7</f>
        <v>110824</v>
      </c>
      <c r="D29" s="87"/>
      <c r="E29" s="69">
        <f>C29*(1/3)</f>
        <v>36941.333333333328</v>
      </c>
      <c r="F29" s="75">
        <f>C29*(2/3)</f>
        <v>73882.666666666657</v>
      </c>
      <c r="G29" s="912"/>
      <c r="H29" s="87"/>
      <c r="I29" s="87"/>
      <c r="J29" s="89"/>
      <c r="K29" s="87"/>
      <c r="L29" s="87"/>
      <c r="M29" s="87"/>
      <c r="N29" s="89"/>
    </row>
    <row r="30" spans="1:14">
      <c r="A30" s="63" t="s">
        <v>380</v>
      </c>
      <c r="B30" s="64" t="s">
        <v>66</v>
      </c>
      <c r="C30" s="766">
        <f>C31*4</f>
        <v>63328</v>
      </c>
      <c r="D30" s="87"/>
      <c r="E30" s="69"/>
      <c r="F30" s="75">
        <f>C30</f>
        <v>63328</v>
      </c>
      <c r="G30" s="911"/>
      <c r="H30" s="87"/>
      <c r="I30" s="87"/>
      <c r="J30" s="89"/>
      <c r="K30" s="87"/>
      <c r="L30" s="87"/>
      <c r="M30" s="87"/>
      <c r="N30" s="89"/>
    </row>
    <row r="31" spans="1:14">
      <c r="A31" s="63" t="s">
        <v>395</v>
      </c>
      <c r="B31" s="64" t="s">
        <v>47</v>
      </c>
      <c r="C31" s="720">
        <v>15832</v>
      </c>
      <c r="D31" s="87"/>
      <c r="E31" s="69">
        <f t="shared" ref="E31" si="2">C31</f>
        <v>15832</v>
      </c>
      <c r="F31" s="75"/>
      <c r="G31" s="59"/>
      <c r="H31" s="87"/>
      <c r="I31" s="87"/>
      <c r="J31" s="89"/>
      <c r="K31" s="87"/>
      <c r="L31" s="87"/>
      <c r="M31" s="87"/>
      <c r="N31" s="89"/>
    </row>
    <row r="32" spans="1:14">
      <c r="A32" s="63" t="s">
        <v>399</v>
      </c>
      <c r="B32" s="64" t="s">
        <v>392</v>
      </c>
      <c r="C32" s="720">
        <f>C31*0.25</f>
        <v>3958</v>
      </c>
      <c r="D32" s="87"/>
      <c r="E32" s="69"/>
      <c r="F32" s="75">
        <f>C32</f>
        <v>3958</v>
      </c>
      <c r="G32" s="59"/>
      <c r="H32" s="87"/>
      <c r="I32" s="87"/>
      <c r="J32" s="89"/>
      <c r="K32" s="87"/>
      <c r="L32" s="87"/>
      <c r="M32" s="87"/>
      <c r="N32" s="89"/>
    </row>
    <row r="33" spans="1:14">
      <c r="A33" s="63" t="s">
        <v>390</v>
      </c>
      <c r="B33" s="64" t="s">
        <v>47</v>
      </c>
      <c r="C33" s="720">
        <f>C31*0.25</f>
        <v>3958</v>
      </c>
      <c r="D33" s="87"/>
      <c r="E33" s="69"/>
      <c r="F33" s="75">
        <f>C33</f>
        <v>3958</v>
      </c>
      <c r="G33" s="59"/>
      <c r="H33" s="87"/>
      <c r="I33" s="87"/>
      <c r="J33" s="89"/>
      <c r="K33" s="87"/>
      <c r="L33" s="87"/>
      <c r="M33" s="87"/>
      <c r="N33" s="89"/>
    </row>
    <row r="34" spans="1:14">
      <c r="A34" s="63" t="s">
        <v>394</v>
      </c>
      <c r="B34" s="64" t="s">
        <v>84</v>
      </c>
      <c r="C34" s="720">
        <f>C31*0.25</f>
        <v>3958</v>
      </c>
      <c r="D34" s="87"/>
      <c r="E34" s="69"/>
      <c r="F34" s="75">
        <f>C34</f>
        <v>3958</v>
      </c>
      <c r="G34" s="59"/>
      <c r="H34" s="87"/>
      <c r="I34" s="87"/>
      <c r="J34" s="89"/>
      <c r="K34" s="87"/>
      <c r="L34" s="87"/>
      <c r="M34" s="87"/>
      <c r="N34" s="89"/>
    </row>
    <row r="35" spans="1:14">
      <c r="A35" s="63" t="s">
        <v>386</v>
      </c>
      <c r="B35" s="64" t="s">
        <v>391</v>
      </c>
      <c r="C35" s="720">
        <f>C31*0.3</f>
        <v>4749.5999999999995</v>
      </c>
      <c r="D35" s="87"/>
      <c r="E35" s="69"/>
      <c r="F35" s="75">
        <f>C35</f>
        <v>4749.5999999999995</v>
      </c>
      <c r="G35" s="59"/>
      <c r="H35" s="87"/>
      <c r="I35" s="87"/>
      <c r="J35" s="89"/>
      <c r="K35" s="87"/>
      <c r="L35" s="87"/>
      <c r="M35" s="87"/>
      <c r="N35" s="89"/>
    </row>
    <row r="36" spans="1:14" ht="13.8" thickBot="1">
      <c r="A36" s="66" t="s">
        <v>381</v>
      </c>
      <c r="B36" s="67" t="s">
        <v>84</v>
      </c>
      <c r="C36" s="728">
        <v>35696</v>
      </c>
      <c r="D36" s="741"/>
      <c r="E36" s="70">
        <f>C36*(1/3)</f>
        <v>11898.666666666666</v>
      </c>
      <c r="F36" s="913">
        <f>C36*(2/3)</f>
        <v>23797.333333333332</v>
      </c>
      <c r="G36" s="70"/>
      <c r="H36" s="90"/>
      <c r="I36" s="90"/>
      <c r="J36" s="92"/>
      <c r="K36" s="90"/>
      <c r="L36" s="90"/>
      <c r="M36" s="90"/>
      <c r="N36" s="92"/>
    </row>
    <row r="37" spans="1:14" ht="4.5" customHeight="1">
      <c r="A37" s="59"/>
      <c r="B37" s="74"/>
      <c r="C37" s="720"/>
      <c r="D37" s="87"/>
      <c r="E37" s="94"/>
      <c r="F37" s="95"/>
      <c r="G37" s="952"/>
      <c r="H37" s="93"/>
      <c r="I37" s="93"/>
      <c r="J37" s="95"/>
      <c r="K37" s="93"/>
      <c r="L37" s="93"/>
      <c r="M37" s="93"/>
      <c r="N37" s="95"/>
    </row>
    <row r="38" spans="1:14" s="944" customFormat="1">
      <c r="A38" s="938" t="s">
        <v>370</v>
      </c>
      <c r="B38" s="945"/>
      <c r="C38" s="946"/>
      <c r="D38" s="940"/>
      <c r="E38" s="941"/>
      <c r="F38" s="942"/>
      <c r="G38" s="941"/>
      <c r="H38" s="940"/>
      <c r="I38" s="940"/>
      <c r="J38" s="942"/>
      <c r="K38" s="940"/>
      <c r="L38" s="940"/>
      <c r="M38" s="940"/>
      <c r="N38" s="942"/>
    </row>
    <row r="39" spans="1:14">
      <c r="A39" s="63" t="s">
        <v>162</v>
      </c>
      <c r="B39" s="64" t="s">
        <v>162</v>
      </c>
      <c r="C39" s="720">
        <v>122954</v>
      </c>
      <c r="D39" s="87"/>
      <c r="E39" s="88"/>
      <c r="F39" s="89"/>
      <c r="G39" s="69">
        <f>C39*(1/4)</f>
        <v>30738.5</v>
      </c>
      <c r="H39" s="65">
        <f>C39*(1/4)</f>
        <v>30738.5</v>
      </c>
      <c r="I39" s="65">
        <f>C39*(1/4)</f>
        <v>30738.5</v>
      </c>
      <c r="J39" s="75">
        <f>C39*(1/4)</f>
        <v>30738.5</v>
      </c>
      <c r="K39" s="87"/>
      <c r="L39" s="87"/>
      <c r="M39" s="87"/>
      <c r="N39" s="89"/>
    </row>
    <row r="40" spans="1:14" s="928" customFormat="1">
      <c r="A40" s="934" t="s">
        <v>414</v>
      </c>
      <c r="B40" s="935"/>
      <c r="C40" s="936"/>
      <c r="D40" s="924"/>
      <c r="E40" s="925"/>
      <c r="F40" s="926"/>
      <c r="G40" s="925"/>
      <c r="H40" s="924"/>
      <c r="I40" s="924"/>
      <c r="J40" s="926"/>
      <c r="K40" s="924"/>
      <c r="L40" s="924"/>
      <c r="M40" s="924"/>
      <c r="N40" s="926"/>
    </row>
    <row r="41" spans="1:14">
      <c r="A41" s="63" t="s">
        <v>367</v>
      </c>
      <c r="B41" s="64" t="s">
        <v>47</v>
      </c>
      <c r="C41" s="720">
        <v>70400</v>
      </c>
      <c r="D41" s="87"/>
      <c r="E41" s="88"/>
      <c r="F41" s="89"/>
      <c r="G41" s="69">
        <f>C41</f>
        <v>70400</v>
      </c>
      <c r="H41" s="65"/>
      <c r="I41" s="65"/>
      <c r="J41" s="89"/>
      <c r="K41" s="87"/>
      <c r="L41" s="87"/>
      <c r="M41" s="87"/>
      <c r="N41" s="89"/>
    </row>
    <row r="42" spans="1:14">
      <c r="A42" s="63" t="s">
        <v>368</v>
      </c>
      <c r="B42" s="64" t="s">
        <v>85</v>
      </c>
      <c r="C42" s="720">
        <v>27600</v>
      </c>
      <c r="D42" s="87"/>
      <c r="E42" s="88"/>
      <c r="F42" s="89"/>
      <c r="G42" s="69"/>
      <c r="H42" s="65">
        <f>C42</f>
        <v>27600</v>
      </c>
      <c r="I42" s="65"/>
      <c r="J42" s="89"/>
      <c r="K42" s="87"/>
      <c r="L42" s="87"/>
      <c r="M42" s="87"/>
      <c r="N42" s="89"/>
    </row>
    <row r="43" spans="1:14">
      <c r="A43" s="63" t="s">
        <v>368</v>
      </c>
      <c r="B43" s="64" t="s">
        <v>47</v>
      </c>
      <c r="C43" s="720">
        <v>20800</v>
      </c>
      <c r="D43" s="87"/>
      <c r="E43" s="88"/>
      <c r="F43" s="89"/>
      <c r="G43" s="69"/>
      <c r="H43" s="65">
        <f>C43</f>
        <v>20800</v>
      </c>
      <c r="I43" s="65"/>
      <c r="J43" s="89"/>
      <c r="K43" s="87"/>
      <c r="L43" s="87"/>
      <c r="M43" s="87"/>
      <c r="N43" s="89"/>
    </row>
    <row r="44" spans="1:14">
      <c r="A44" s="63" t="s">
        <v>397</v>
      </c>
      <c r="B44" s="64" t="s">
        <v>84</v>
      </c>
      <c r="C44" s="720">
        <v>9600</v>
      </c>
      <c r="D44" s="87"/>
      <c r="E44" s="88"/>
      <c r="F44" s="89"/>
      <c r="G44" s="69">
        <f>C44</f>
        <v>9600</v>
      </c>
      <c r="H44" s="65"/>
      <c r="I44" s="65"/>
      <c r="J44" s="75"/>
      <c r="K44" s="87"/>
      <c r="L44" s="87"/>
      <c r="M44" s="87"/>
      <c r="N44" s="89"/>
    </row>
    <row r="45" spans="1:14">
      <c r="A45" s="63" t="s">
        <v>399</v>
      </c>
      <c r="B45" s="64" t="s">
        <v>392</v>
      </c>
      <c r="C45" s="720">
        <v>233600</v>
      </c>
      <c r="D45" s="87"/>
      <c r="E45" s="88"/>
      <c r="F45" s="89"/>
      <c r="G45" s="69"/>
      <c r="H45" s="65">
        <f>C45*(1/3)</f>
        <v>77866.666666666657</v>
      </c>
      <c r="I45" s="65">
        <f>C45*(1/3)</f>
        <v>77866.666666666657</v>
      </c>
      <c r="J45" s="75">
        <f>C45*(1/3)</f>
        <v>77866.666666666657</v>
      </c>
      <c r="K45" s="87"/>
      <c r="L45" s="87"/>
      <c r="M45" s="87"/>
      <c r="N45" s="89"/>
    </row>
    <row r="46" spans="1:14">
      <c r="A46" s="63" t="s">
        <v>398</v>
      </c>
      <c r="B46" s="64" t="s">
        <v>84</v>
      </c>
      <c r="C46" s="720">
        <v>9600</v>
      </c>
      <c r="D46" s="87"/>
      <c r="E46" s="88"/>
      <c r="F46" s="89"/>
      <c r="G46" s="69">
        <f>C46</f>
        <v>9600</v>
      </c>
      <c r="H46" s="65"/>
      <c r="I46" s="65"/>
      <c r="J46" s="89"/>
      <c r="K46" s="87"/>
      <c r="L46" s="87"/>
      <c r="M46" s="87"/>
      <c r="N46" s="89"/>
    </row>
    <row r="47" spans="1:14" s="928" customFormat="1">
      <c r="A47" s="934" t="s">
        <v>396</v>
      </c>
      <c r="B47" s="929"/>
      <c r="C47" s="930"/>
      <c r="D47" s="924"/>
      <c r="E47" s="925"/>
      <c r="F47" s="926"/>
      <c r="G47" s="931"/>
      <c r="H47" s="937"/>
      <c r="I47" s="937"/>
      <c r="J47" s="926"/>
      <c r="K47" s="924"/>
      <c r="L47" s="924"/>
      <c r="M47" s="924"/>
      <c r="N47" s="926"/>
    </row>
    <row r="48" spans="1:14">
      <c r="A48" s="63" t="s">
        <v>371</v>
      </c>
      <c r="B48" s="64" t="s">
        <v>183</v>
      </c>
      <c r="C48" s="720">
        <f>48706*3</f>
        <v>146118</v>
      </c>
      <c r="D48" s="87"/>
      <c r="E48" s="88"/>
      <c r="F48" s="89"/>
      <c r="G48" s="69">
        <f>C48*(1/3)</f>
        <v>48706</v>
      </c>
      <c r="H48" s="65">
        <f>C48*(2/3)</f>
        <v>97412</v>
      </c>
      <c r="I48" s="65"/>
      <c r="J48" s="89"/>
      <c r="K48" s="87"/>
      <c r="L48" s="87"/>
      <c r="M48" s="87"/>
      <c r="N48" s="89"/>
    </row>
    <row r="49" spans="1:14">
      <c r="A49" s="63" t="s">
        <v>399</v>
      </c>
      <c r="B49" s="64" t="s">
        <v>392</v>
      </c>
      <c r="C49" s="720">
        <f>48706*0.8</f>
        <v>38964.800000000003</v>
      </c>
      <c r="D49" s="87"/>
      <c r="E49" s="88"/>
      <c r="F49" s="89"/>
      <c r="G49" s="69">
        <f>C49</f>
        <v>38964.800000000003</v>
      </c>
      <c r="H49" s="65"/>
      <c r="I49" s="65"/>
      <c r="J49" s="89"/>
      <c r="K49" s="87"/>
      <c r="L49" s="87"/>
      <c r="M49" s="87"/>
      <c r="N49" s="89"/>
    </row>
    <row r="50" spans="1:14" s="928" customFormat="1">
      <c r="A50" s="934" t="s">
        <v>387</v>
      </c>
      <c r="B50" s="929"/>
      <c r="C50" s="930"/>
      <c r="D50" s="924"/>
      <c r="E50" s="925"/>
      <c r="F50" s="926"/>
      <c r="G50" s="931"/>
      <c r="H50" s="937"/>
      <c r="I50" s="937"/>
      <c r="J50" s="926"/>
      <c r="K50" s="924"/>
      <c r="L50" s="924"/>
      <c r="M50" s="924"/>
      <c r="N50" s="926"/>
    </row>
    <row r="51" spans="1:14" s="928" customFormat="1">
      <c r="A51" s="63" t="s">
        <v>435</v>
      </c>
      <c r="B51" s="64" t="s">
        <v>49</v>
      </c>
      <c r="C51" s="720">
        <v>55950</v>
      </c>
      <c r="D51" s="87"/>
      <c r="E51" s="88"/>
      <c r="F51" s="89"/>
      <c r="G51" s="69">
        <f>C51</f>
        <v>55950</v>
      </c>
      <c r="H51" s="65"/>
      <c r="I51" s="65"/>
      <c r="J51" s="89"/>
      <c r="K51" s="87"/>
      <c r="L51" s="87"/>
      <c r="M51" s="87"/>
      <c r="N51" s="89"/>
    </row>
    <row r="52" spans="1:14">
      <c r="A52" s="63" t="s">
        <v>47</v>
      </c>
      <c r="B52" s="64" t="s">
        <v>47</v>
      </c>
      <c r="C52" s="720">
        <v>33484</v>
      </c>
      <c r="D52" s="87"/>
      <c r="E52" s="88"/>
      <c r="F52" s="89"/>
      <c r="G52" s="88"/>
      <c r="H52" s="65">
        <f>C52</f>
        <v>33484</v>
      </c>
      <c r="I52" s="60"/>
      <c r="J52" s="89"/>
      <c r="K52" s="87"/>
      <c r="L52" s="87"/>
      <c r="M52" s="87"/>
      <c r="N52" s="89"/>
    </row>
    <row r="53" spans="1:14">
      <c r="A53" s="63" t="s">
        <v>48</v>
      </c>
      <c r="B53" s="64" t="s">
        <v>48</v>
      </c>
      <c r="C53" s="720">
        <f>C52*5</f>
        <v>167420</v>
      </c>
      <c r="D53" s="87"/>
      <c r="E53" s="88"/>
      <c r="F53" s="89"/>
      <c r="G53" s="69">
        <f>C53*(1/3)</f>
        <v>55806.666666666664</v>
      </c>
      <c r="H53" s="65">
        <f>C53*(2/3)</f>
        <v>111613.33333333333</v>
      </c>
      <c r="I53" s="65"/>
      <c r="J53" s="89"/>
      <c r="K53" s="87"/>
      <c r="L53" s="87"/>
      <c r="M53" s="87"/>
      <c r="N53" s="89"/>
    </row>
    <row r="54" spans="1:14">
      <c r="A54" s="63" t="s">
        <v>390</v>
      </c>
      <c r="B54" s="64" t="s">
        <v>47</v>
      </c>
      <c r="C54" s="720">
        <f>C52*0.25</f>
        <v>8371</v>
      </c>
      <c r="D54" s="87"/>
      <c r="E54" s="88"/>
      <c r="F54" s="89"/>
      <c r="G54" s="69"/>
      <c r="H54" s="65"/>
      <c r="I54" s="65">
        <f>C54</f>
        <v>8371</v>
      </c>
      <c r="J54" s="89"/>
      <c r="K54" s="87"/>
      <c r="L54" s="87"/>
      <c r="M54" s="87"/>
      <c r="N54" s="89"/>
    </row>
    <row r="55" spans="1:14">
      <c r="A55" s="63" t="s">
        <v>399</v>
      </c>
      <c r="B55" s="64" t="s">
        <v>392</v>
      </c>
      <c r="C55" s="720">
        <f>C52*0.25</f>
        <v>8371</v>
      </c>
      <c r="D55" s="87"/>
      <c r="E55" s="88"/>
      <c r="F55" s="89"/>
      <c r="G55" s="69"/>
      <c r="H55" s="65"/>
      <c r="I55" s="65">
        <f>C55</f>
        <v>8371</v>
      </c>
      <c r="J55" s="89"/>
      <c r="K55" s="87"/>
      <c r="L55" s="87"/>
      <c r="M55" s="87"/>
      <c r="N55" s="89"/>
    </row>
    <row r="56" spans="1:14">
      <c r="A56" s="63" t="s">
        <v>394</v>
      </c>
      <c r="B56" s="64" t="s">
        <v>84</v>
      </c>
      <c r="C56" s="720">
        <f>C52*0.25</f>
        <v>8371</v>
      </c>
      <c r="D56" s="87"/>
      <c r="E56" s="88"/>
      <c r="F56" s="89"/>
      <c r="G56" s="69"/>
      <c r="H56" s="65"/>
      <c r="I56" s="65">
        <f>C56</f>
        <v>8371</v>
      </c>
      <c r="J56" s="89"/>
      <c r="K56" s="87"/>
      <c r="L56" s="87"/>
      <c r="M56" s="87"/>
      <c r="N56" s="89"/>
    </row>
    <row r="57" spans="1:14">
      <c r="A57" s="63" t="s">
        <v>400</v>
      </c>
      <c r="B57" s="64" t="s">
        <v>391</v>
      </c>
      <c r="C57" s="720">
        <f>C52*0.3</f>
        <v>10045.199999999999</v>
      </c>
      <c r="D57" s="87"/>
      <c r="E57" s="88"/>
      <c r="F57" s="89"/>
      <c r="G57" s="69"/>
      <c r="H57" s="65"/>
      <c r="I57" s="65">
        <f>C57</f>
        <v>10045.199999999999</v>
      </c>
      <c r="J57" s="89"/>
      <c r="K57" s="87"/>
      <c r="L57" s="87"/>
      <c r="M57" s="87"/>
      <c r="N57" s="89"/>
    </row>
    <row r="58" spans="1:14" s="928" customFormat="1">
      <c r="A58" s="934" t="s">
        <v>388</v>
      </c>
      <c r="B58" s="929"/>
      <c r="C58" s="930"/>
      <c r="D58" s="924"/>
      <c r="E58" s="925"/>
      <c r="F58" s="926"/>
      <c r="G58" s="931"/>
      <c r="H58" s="937"/>
      <c r="I58" s="937"/>
      <c r="J58" s="926"/>
      <c r="K58" s="924"/>
      <c r="L58" s="924"/>
      <c r="M58" s="924"/>
      <c r="N58" s="926"/>
    </row>
    <row r="59" spans="1:14" s="928" customFormat="1">
      <c r="A59" s="63" t="s">
        <v>435</v>
      </c>
      <c r="B59" s="64" t="s">
        <v>49</v>
      </c>
      <c r="C59" s="720">
        <v>226304</v>
      </c>
      <c r="D59" s="87"/>
      <c r="E59" s="88"/>
      <c r="F59" s="89"/>
      <c r="G59" s="69">
        <f>C59</f>
        <v>226304</v>
      </c>
      <c r="H59" s="65"/>
      <c r="I59" s="65"/>
      <c r="J59" s="89"/>
      <c r="K59" s="87"/>
      <c r="L59" s="87"/>
      <c r="M59" s="87"/>
      <c r="N59" s="89"/>
    </row>
    <row r="60" spans="1:14">
      <c r="A60" s="63" t="s">
        <v>381</v>
      </c>
      <c r="B60" s="64" t="s">
        <v>84</v>
      </c>
      <c r="C60" s="720">
        <v>28869</v>
      </c>
      <c r="D60" s="87"/>
      <c r="E60" s="88"/>
      <c r="F60" s="89"/>
      <c r="G60" s="88"/>
      <c r="H60" s="65">
        <f>C60</f>
        <v>28869</v>
      </c>
      <c r="I60" s="65"/>
      <c r="J60" s="61"/>
      <c r="K60" s="87"/>
      <c r="L60" s="87"/>
      <c r="M60" s="87"/>
      <c r="N60" s="89"/>
    </row>
    <row r="61" spans="1:14" s="921" customFormat="1">
      <c r="A61" s="947" t="s">
        <v>409</v>
      </c>
      <c r="B61" s="914"/>
      <c r="C61" s="915"/>
      <c r="D61" s="916"/>
      <c r="E61" s="922"/>
      <c r="F61" s="920"/>
      <c r="G61" s="917"/>
      <c r="H61" s="948"/>
      <c r="I61" s="948"/>
      <c r="J61" s="920"/>
      <c r="K61" s="916"/>
      <c r="L61" s="916"/>
      <c r="M61" s="916"/>
      <c r="N61" s="920"/>
    </row>
    <row r="62" spans="1:14">
      <c r="A62" s="63" t="s">
        <v>47</v>
      </c>
      <c r="B62" s="64" t="s">
        <v>47</v>
      </c>
      <c r="C62" s="720">
        <v>23500</v>
      </c>
      <c r="D62" s="87"/>
      <c r="E62" s="88"/>
      <c r="F62" s="89"/>
      <c r="G62" s="88"/>
      <c r="H62" s="904">
        <f>C62</f>
        <v>23500</v>
      </c>
      <c r="I62" s="65"/>
      <c r="J62" s="89"/>
      <c r="K62" s="87"/>
      <c r="L62" s="87"/>
      <c r="M62" s="87"/>
      <c r="N62" s="89"/>
    </row>
    <row r="63" spans="1:14">
      <c r="A63" s="63" t="s">
        <v>401</v>
      </c>
      <c r="B63" s="64" t="s">
        <v>86</v>
      </c>
      <c r="C63" s="720">
        <v>75000</v>
      </c>
      <c r="D63" s="87"/>
      <c r="E63" s="88"/>
      <c r="F63" s="89"/>
      <c r="G63" s="88"/>
      <c r="H63" s="904"/>
      <c r="I63" s="65">
        <f>C63</f>
        <v>75000</v>
      </c>
      <c r="J63" s="89"/>
      <c r="K63" s="87"/>
      <c r="L63" s="87"/>
      <c r="M63" s="87"/>
      <c r="N63" s="89"/>
    </row>
    <row r="64" spans="1:14" ht="12.6" customHeight="1">
      <c r="A64" s="63" t="s">
        <v>277</v>
      </c>
      <c r="B64" s="64" t="s">
        <v>85</v>
      </c>
      <c r="C64" s="720">
        <f>141000-C63</f>
        <v>66000</v>
      </c>
      <c r="D64" s="87"/>
      <c r="E64" s="88"/>
      <c r="F64" s="89"/>
      <c r="G64" s="88"/>
      <c r="H64" s="65"/>
      <c r="I64" s="65">
        <f>C64</f>
        <v>66000</v>
      </c>
      <c r="J64" s="75"/>
      <c r="K64" s="87"/>
      <c r="L64" s="87"/>
      <c r="M64" s="87"/>
      <c r="N64" s="89"/>
    </row>
    <row r="65" spans="1:14" ht="12.6" customHeight="1">
      <c r="A65" s="63" t="s">
        <v>400</v>
      </c>
      <c r="B65" s="64" t="s">
        <v>391</v>
      </c>
      <c r="C65" s="720">
        <f>C62*0.6</f>
        <v>14100</v>
      </c>
      <c r="D65" s="87"/>
      <c r="E65" s="88"/>
      <c r="F65" s="89"/>
      <c r="G65" s="88"/>
      <c r="H65" s="65"/>
      <c r="I65" s="65">
        <f>C65</f>
        <v>14100</v>
      </c>
      <c r="J65" s="75"/>
      <c r="K65" s="87"/>
      <c r="L65" s="87"/>
      <c r="M65" s="87"/>
      <c r="N65" s="89"/>
    </row>
    <row r="66" spans="1:14" ht="12.6" customHeight="1">
      <c r="A66" s="63" t="s">
        <v>394</v>
      </c>
      <c r="B66" s="64" t="s">
        <v>84</v>
      </c>
      <c r="C66" s="720">
        <f>C62*0.2</f>
        <v>4700</v>
      </c>
      <c r="D66" s="87"/>
      <c r="E66" s="88"/>
      <c r="F66" s="89"/>
      <c r="G66" s="88"/>
      <c r="H66" s="65"/>
      <c r="I66" s="65">
        <f>C66</f>
        <v>4700</v>
      </c>
      <c r="J66" s="75"/>
      <c r="K66" s="87"/>
      <c r="L66" s="87"/>
      <c r="M66" s="87"/>
      <c r="N66" s="89"/>
    </row>
    <row r="67" spans="1:14" s="921" customFormat="1" ht="12.6" customHeight="1">
      <c r="A67" s="947" t="s">
        <v>410</v>
      </c>
      <c r="B67" s="914"/>
      <c r="C67" s="915"/>
      <c r="D67" s="916"/>
      <c r="E67" s="922"/>
      <c r="F67" s="920"/>
      <c r="G67" s="922"/>
      <c r="H67" s="948"/>
      <c r="I67" s="948"/>
      <c r="J67" s="918"/>
      <c r="K67" s="916"/>
      <c r="L67" s="916"/>
      <c r="M67" s="916"/>
      <c r="N67" s="920"/>
    </row>
    <row r="68" spans="1:14">
      <c r="A68" s="63" t="s">
        <v>393</v>
      </c>
      <c r="B68" s="64" t="s">
        <v>47</v>
      </c>
      <c r="C68" s="720">
        <v>23500</v>
      </c>
      <c r="D68" s="87"/>
      <c r="E68" s="88"/>
      <c r="F68" s="89"/>
      <c r="G68" s="88"/>
      <c r="H68" s="65"/>
      <c r="I68" s="65">
        <f>C68</f>
        <v>23500</v>
      </c>
      <c r="J68" s="75"/>
      <c r="K68" s="87"/>
      <c r="L68" s="87"/>
      <c r="M68" s="87"/>
      <c r="N68" s="89"/>
    </row>
    <row r="69" spans="1:14">
      <c r="A69" s="63" t="s">
        <v>401</v>
      </c>
      <c r="B69" s="64" t="s">
        <v>373</v>
      </c>
      <c r="C69" s="720">
        <f>55000</f>
        <v>55000</v>
      </c>
      <c r="D69" s="87"/>
      <c r="E69" s="88"/>
      <c r="F69" s="89"/>
      <c r="G69" s="88"/>
      <c r="H69" s="65"/>
      <c r="I69" s="65"/>
      <c r="J69" s="75">
        <f>C69</f>
        <v>55000</v>
      </c>
      <c r="K69" s="87"/>
      <c r="L69" s="87"/>
      <c r="M69" s="87"/>
      <c r="N69" s="89"/>
    </row>
    <row r="70" spans="1:14">
      <c r="A70" s="63" t="s">
        <v>401</v>
      </c>
      <c r="B70" s="64" t="s">
        <v>374</v>
      </c>
      <c r="C70" s="720">
        <f>117500-55000</f>
        <v>62500</v>
      </c>
      <c r="D70" s="87"/>
      <c r="E70" s="88"/>
      <c r="F70" s="89"/>
      <c r="G70" s="88"/>
      <c r="H70" s="87"/>
      <c r="I70" s="65"/>
      <c r="J70" s="75">
        <f>C70</f>
        <v>62500</v>
      </c>
      <c r="K70" s="87"/>
      <c r="L70" s="87"/>
      <c r="M70" s="87"/>
      <c r="N70" s="89"/>
    </row>
    <row r="71" spans="1:14">
      <c r="A71" s="63" t="s">
        <v>400</v>
      </c>
      <c r="B71" s="64" t="s">
        <v>391</v>
      </c>
      <c r="C71" s="720">
        <f>C68*0.6</f>
        <v>14100</v>
      </c>
      <c r="D71" s="87"/>
      <c r="E71" s="88"/>
      <c r="F71" s="89"/>
      <c r="G71" s="88"/>
      <c r="H71" s="87"/>
      <c r="I71" s="65"/>
      <c r="J71" s="75">
        <f>C71</f>
        <v>14100</v>
      </c>
      <c r="K71" s="87"/>
      <c r="L71" s="87"/>
      <c r="M71" s="87"/>
      <c r="N71" s="89"/>
    </row>
    <row r="72" spans="1:14">
      <c r="A72" s="63" t="s">
        <v>394</v>
      </c>
      <c r="B72" s="64" t="s">
        <v>84</v>
      </c>
      <c r="C72" s="720">
        <f>C68*0.2</f>
        <v>4700</v>
      </c>
      <c r="D72" s="87"/>
      <c r="E72" s="88"/>
      <c r="F72" s="89"/>
      <c r="G72" s="88"/>
      <c r="H72" s="87"/>
      <c r="I72" s="65"/>
      <c r="J72" s="75">
        <f>C72</f>
        <v>4700</v>
      </c>
      <c r="K72" s="87"/>
      <c r="L72" s="87"/>
      <c r="M72" s="87"/>
      <c r="N72" s="89"/>
    </row>
    <row r="73" spans="1:14" s="921" customFormat="1">
      <c r="A73" s="947" t="s">
        <v>411</v>
      </c>
      <c r="B73" s="914"/>
      <c r="C73" s="915"/>
      <c r="D73" s="916"/>
      <c r="E73" s="922"/>
      <c r="F73" s="920"/>
      <c r="G73" s="922"/>
      <c r="H73" s="916"/>
      <c r="I73" s="948"/>
      <c r="J73" s="918"/>
      <c r="K73" s="916"/>
      <c r="L73" s="916"/>
      <c r="M73" s="916"/>
      <c r="N73" s="920"/>
    </row>
    <row r="74" spans="1:14">
      <c r="A74" s="63" t="s">
        <v>393</v>
      </c>
      <c r="B74" s="64" t="s">
        <v>47</v>
      </c>
      <c r="C74" s="720">
        <v>17400</v>
      </c>
      <c r="D74" s="87"/>
      <c r="E74" s="88"/>
      <c r="F74" s="89"/>
      <c r="G74" s="69"/>
      <c r="H74" s="65"/>
      <c r="I74" s="65">
        <f>C74</f>
        <v>17400</v>
      </c>
      <c r="J74" s="740"/>
      <c r="K74" s="87"/>
      <c r="L74" s="87"/>
      <c r="M74" s="87"/>
      <c r="N74" s="89"/>
    </row>
    <row r="75" spans="1:14">
      <c r="A75" s="63" t="s">
        <v>401</v>
      </c>
      <c r="B75" s="64" t="s">
        <v>85</v>
      </c>
      <c r="C75" s="720">
        <v>87000</v>
      </c>
      <c r="D75" s="87"/>
      <c r="E75" s="88"/>
      <c r="F75" s="89"/>
      <c r="G75" s="69"/>
      <c r="H75" s="65">
        <f>C75</f>
        <v>87000</v>
      </c>
      <c r="I75" s="65"/>
      <c r="J75" s="89"/>
      <c r="K75" s="87"/>
      <c r="L75" s="87"/>
      <c r="M75" s="87"/>
      <c r="N75" s="89"/>
    </row>
    <row r="76" spans="1:14">
      <c r="A76" s="63" t="s">
        <v>399</v>
      </c>
      <c r="B76" s="64" t="s">
        <v>392</v>
      </c>
      <c r="C76" s="720">
        <f>C74*0.6</f>
        <v>10440</v>
      </c>
      <c r="D76" s="87"/>
      <c r="E76" s="88"/>
      <c r="F76" s="89"/>
      <c r="G76" s="69"/>
      <c r="H76" s="65">
        <f>C76</f>
        <v>10440</v>
      </c>
      <c r="I76" s="65"/>
      <c r="J76" s="89"/>
      <c r="K76" s="87"/>
      <c r="L76" s="87"/>
      <c r="M76" s="87"/>
      <c r="N76" s="89"/>
    </row>
    <row r="77" spans="1:14">
      <c r="A77" s="63" t="s">
        <v>394</v>
      </c>
      <c r="B77" s="64" t="s">
        <v>84</v>
      </c>
      <c r="C77" s="720">
        <f>C74*0.2</f>
        <v>3480</v>
      </c>
      <c r="D77" s="87"/>
      <c r="E77" s="88"/>
      <c r="F77" s="89"/>
      <c r="G77" s="69"/>
      <c r="H77" s="65">
        <f>C77</f>
        <v>3480</v>
      </c>
      <c r="I77" s="65"/>
      <c r="J77" s="89"/>
      <c r="K77" s="87"/>
      <c r="L77" s="87"/>
      <c r="M77" s="87"/>
      <c r="N77" s="89"/>
    </row>
    <row r="78" spans="1:14" s="921" customFormat="1">
      <c r="A78" s="947" t="s">
        <v>412</v>
      </c>
      <c r="B78" s="914"/>
      <c r="C78" s="915"/>
      <c r="D78" s="916"/>
      <c r="E78" s="922"/>
      <c r="F78" s="920"/>
      <c r="G78" s="917"/>
      <c r="H78" s="948"/>
      <c r="I78" s="948"/>
      <c r="J78" s="920"/>
      <c r="K78" s="916"/>
      <c r="L78" s="916"/>
      <c r="M78" s="916"/>
      <c r="N78" s="920"/>
    </row>
    <row r="79" spans="1:14">
      <c r="A79" s="63" t="s">
        <v>393</v>
      </c>
      <c r="B79" s="64" t="s">
        <v>47</v>
      </c>
      <c r="C79" s="720">
        <v>17450</v>
      </c>
      <c r="D79" s="87"/>
      <c r="E79" s="88"/>
      <c r="F79" s="89"/>
      <c r="G79" s="69"/>
      <c r="H79" s="65"/>
      <c r="I79" s="65">
        <f>C79</f>
        <v>17450</v>
      </c>
      <c r="J79" s="89"/>
      <c r="K79" s="87"/>
      <c r="L79" s="87"/>
      <c r="M79" s="87"/>
      <c r="N79" s="89"/>
    </row>
    <row r="80" spans="1:14">
      <c r="A80" s="63" t="s">
        <v>401</v>
      </c>
      <c r="B80" s="64" t="s">
        <v>374</v>
      </c>
      <c r="C80" s="720">
        <v>139600</v>
      </c>
      <c r="D80" s="87"/>
      <c r="E80" s="88"/>
      <c r="F80" s="89"/>
      <c r="G80" s="69"/>
      <c r="H80" s="60"/>
      <c r="I80" s="65">
        <f>C80*(2/3)</f>
        <v>93066.666666666657</v>
      </c>
      <c r="J80" s="75">
        <f>C80*(1/3)</f>
        <v>46533.333333333328</v>
      </c>
      <c r="K80" s="87"/>
      <c r="L80" s="87"/>
      <c r="M80" s="87"/>
      <c r="N80" s="89"/>
    </row>
    <row r="81" spans="1:14">
      <c r="A81" s="63" t="s">
        <v>399</v>
      </c>
      <c r="B81" s="64" t="s">
        <v>392</v>
      </c>
      <c r="C81" s="720">
        <f>C79*0.6</f>
        <v>10470</v>
      </c>
      <c r="D81" s="87"/>
      <c r="E81" s="88"/>
      <c r="F81" s="89"/>
      <c r="G81" s="69"/>
      <c r="H81" s="60"/>
      <c r="I81" s="65"/>
      <c r="J81" s="75">
        <f>C81</f>
        <v>10470</v>
      </c>
      <c r="K81" s="87"/>
      <c r="L81" s="87"/>
      <c r="M81" s="87"/>
      <c r="N81" s="89"/>
    </row>
    <row r="82" spans="1:14" s="60" customFormat="1" ht="13.8" thickBot="1">
      <c r="A82" s="63" t="s">
        <v>394</v>
      </c>
      <c r="B82" s="64" t="s">
        <v>84</v>
      </c>
      <c r="C82" s="720">
        <f>C79*0.2</f>
        <v>3490</v>
      </c>
      <c r="D82" s="87"/>
      <c r="E82" s="91"/>
      <c r="F82" s="92"/>
      <c r="G82" s="70"/>
      <c r="H82" s="741"/>
      <c r="I82" s="68"/>
      <c r="J82" s="913">
        <f>C82</f>
        <v>3490</v>
      </c>
      <c r="K82" s="87"/>
      <c r="L82" s="87"/>
      <c r="M82" s="87"/>
      <c r="N82" s="89"/>
    </row>
    <row r="83" spans="1:14" s="60" customFormat="1" ht="4.2" customHeight="1">
      <c r="A83" s="123"/>
      <c r="B83" s="190"/>
      <c r="C83" s="950"/>
      <c r="D83" s="93"/>
      <c r="E83" s="94"/>
      <c r="F83" s="95"/>
      <c r="G83" s="952"/>
      <c r="H83" s="72"/>
      <c r="I83" s="951"/>
      <c r="J83" s="953"/>
      <c r="K83" s="94"/>
      <c r="L83" s="93"/>
      <c r="M83" s="93"/>
      <c r="N83" s="95"/>
    </row>
    <row r="84" spans="1:14" s="939" customFormat="1">
      <c r="A84" s="938" t="s">
        <v>389</v>
      </c>
      <c r="C84" s="946"/>
      <c r="D84" s="940"/>
      <c r="E84" s="941"/>
      <c r="F84" s="942"/>
      <c r="G84" s="941"/>
      <c r="H84" s="940"/>
      <c r="I84" s="940"/>
      <c r="J84" s="942"/>
      <c r="K84" s="941"/>
      <c r="L84" s="940"/>
      <c r="M84" s="940"/>
      <c r="N84" s="942"/>
    </row>
    <row r="85" spans="1:14" s="60" customFormat="1">
      <c r="A85" s="63" t="s">
        <v>417</v>
      </c>
      <c r="B85" s="64" t="s">
        <v>84</v>
      </c>
      <c r="C85" s="720">
        <v>15760</v>
      </c>
      <c r="D85" s="87"/>
      <c r="E85" s="88"/>
      <c r="F85" s="89"/>
      <c r="G85" s="88"/>
      <c r="H85" s="87"/>
      <c r="I85" s="87"/>
      <c r="J85" s="89"/>
      <c r="K85" s="69"/>
      <c r="L85" s="65">
        <f>C85</f>
        <v>15760</v>
      </c>
      <c r="M85" s="87"/>
      <c r="N85" s="89"/>
    </row>
    <row r="86" spans="1:14" s="60" customFormat="1">
      <c r="A86" s="63" t="s">
        <v>418</v>
      </c>
      <c r="B86" s="64" t="s">
        <v>84</v>
      </c>
      <c r="C86" s="720">
        <v>15760</v>
      </c>
      <c r="D86" s="87"/>
      <c r="E86" s="88"/>
      <c r="F86" s="89"/>
      <c r="G86" s="88"/>
      <c r="H86" s="87"/>
      <c r="I86" s="87"/>
      <c r="J86" s="89"/>
      <c r="K86" s="69"/>
      <c r="L86" s="65">
        <f>C86</f>
        <v>15760</v>
      </c>
      <c r="M86" s="65"/>
      <c r="N86" s="89"/>
    </row>
    <row r="87" spans="1:14" s="60" customFormat="1" ht="13.8" thickBot="1">
      <c r="A87" s="66" t="s">
        <v>372</v>
      </c>
      <c r="B87" s="67" t="s">
        <v>84</v>
      </c>
      <c r="C87" s="728">
        <f>'Land Values'!E40</f>
        <v>231383</v>
      </c>
      <c r="D87" s="90"/>
      <c r="E87" s="91"/>
      <c r="F87" s="92"/>
      <c r="G87" s="91"/>
      <c r="H87" s="90"/>
      <c r="I87" s="90"/>
      <c r="J87" s="92"/>
      <c r="K87" s="70">
        <f>C87*(1/4)</f>
        <v>57845.75</v>
      </c>
      <c r="L87" s="68">
        <f>C87*(1/4)</f>
        <v>57845.75</v>
      </c>
      <c r="M87" s="68">
        <f>C87*(1/2)</f>
        <v>115691.5</v>
      </c>
      <c r="N87" s="913"/>
    </row>
    <row r="88" spans="1:14" s="60" customFormat="1">
      <c r="A88" s="300" t="s">
        <v>106</v>
      </c>
      <c r="B88" s="190"/>
      <c r="C88" s="1040"/>
      <c r="D88" s="93"/>
      <c r="E88" s="93"/>
      <c r="F88" s="93"/>
      <c r="G88" s="93"/>
      <c r="H88" s="93"/>
      <c r="I88" s="93"/>
      <c r="J88" s="93"/>
      <c r="K88" s="93"/>
      <c r="L88" s="951"/>
      <c r="M88" s="93"/>
      <c r="N88" s="95"/>
    </row>
    <row r="89" spans="1:14">
      <c r="A89" s="63" t="s">
        <v>88</v>
      </c>
      <c r="B89" s="73"/>
      <c r="C89" s="949">
        <f>SUM(C53)</f>
        <v>167420</v>
      </c>
      <c r="D89" s="949">
        <f t="shared" ref="D89:N89" si="3">SUM(D53)</f>
        <v>0</v>
      </c>
      <c r="E89" s="949">
        <f t="shared" si="3"/>
        <v>0</v>
      </c>
      <c r="F89" s="949">
        <f t="shared" si="3"/>
        <v>0</v>
      </c>
      <c r="G89" s="949">
        <f t="shared" si="3"/>
        <v>55806.666666666664</v>
      </c>
      <c r="H89" s="949">
        <f t="shared" si="3"/>
        <v>111613.33333333333</v>
      </c>
      <c r="I89" s="949">
        <f t="shared" si="3"/>
        <v>0</v>
      </c>
      <c r="J89" s="949">
        <f t="shared" si="3"/>
        <v>0</v>
      </c>
      <c r="K89" s="949">
        <f t="shared" si="3"/>
        <v>0</v>
      </c>
      <c r="L89" s="949">
        <f t="shared" si="3"/>
        <v>0</v>
      </c>
      <c r="M89" s="949">
        <f t="shared" si="3"/>
        <v>0</v>
      </c>
      <c r="N89" s="954">
        <f t="shared" si="3"/>
        <v>0</v>
      </c>
    </row>
    <row r="90" spans="1:14">
      <c r="A90" s="63" t="s">
        <v>89</v>
      </c>
      <c r="B90" s="73"/>
      <c r="C90" s="949">
        <f>SUM(C79,C74,C68,C62,C52,C43,C22,C15)</f>
        <v>169994</v>
      </c>
      <c r="D90" s="949">
        <f t="shared" ref="D90:N90" si="4">SUM(D79,D74,D68,D62,D52,D43,D22,D15)</f>
        <v>0</v>
      </c>
      <c r="E90" s="949">
        <f t="shared" si="4"/>
        <v>33860</v>
      </c>
      <c r="F90" s="949">
        <f t="shared" si="4"/>
        <v>0</v>
      </c>
      <c r="G90" s="949">
        <f t="shared" si="4"/>
        <v>0</v>
      </c>
      <c r="H90" s="949">
        <f t="shared" si="4"/>
        <v>77784</v>
      </c>
      <c r="I90" s="949">
        <f t="shared" si="4"/>
        <v>58350</v>
      </c>
      <c r="J90" s="949">
        <f t="shared" si="4"/>
        <v>0</v>
      </c>
      <c r="K90" s="949">
        <f t="shared" si="4"/>
        <v>0</v>
      </c>
      <c r="L90" s="949">
        <f t="shared" si="4"/>
        <v>0</v>
      </c>
      <c r="M90" s="949">
        <f t="shared" si="4"/>
        <v>0</v>
      </c>
      <c r="N90" s="954">
        <f t="shared" si="4"/>
        <v>0</v>
      </c>
    </row>
    <row r="91" spans="1:14">
      <c r="A91" s="63" t="s">
        <v>447</v>
      </c>
      <c r="B91" s="73"/>
      <c r="C91" s="949">
        <f>SUM(C17,C33,C41,C54)</f>
        <v>86944</v>
      </c>
      <c r="D91" s="949">
        <f t="shared" ref="D91:N91" si="5">SUM(D17,D33,D41,D54)</f>
        <v>0</v>
      </c>
      <c r="E91" s="949">
        <f t="shared" si="5"/>
        <v>0</v>
      </c>
      <c r="F91" s="949">
        <f t="shared" si="5"/>
        <v>8173</v>
      </c>
      <c r="G91" s="949">
        <f t="shared" si="5"/>
        <v>70400</v>
      </c>
      <c r="H91" s="949">
        <f t="shared" si="5"/>
        <v>0</v>
      </c>
      <c r="I91" s="949">
        <f t="shared" si="5"/>
        <v>8371</v>
      </c>
      <c r="J91" s="949">
        <f t="shared" si="5"/>
        <v>0</v>
      </c>
      <c r="K91" s="949">
        <f t="shared" si="5"/>
        <v>0</v>
      </c>
      <c r="L91" s="949">
        <f t="shared" si="5"/>
        <v>0</v>
      </c>
      <c r="M91" s="949">
        <f t="shared" si="5"/>
        <v>0</v>
      </c>
      <c r="N91" s="954">
        <f t="shared" si="5"/>
        <v>0</v>
      </c>
    </row>
    <row r="92" spans="1:14">
      <c r="A92" s="63" t="s">
        <v>448</v>
      </c>
      <c r="B92" s="73"/>
      <c r="C92" s="949">
        <f>SUM(C21)</f>
        <v>38000</v>
      </c>
      <c r="D92" s="949">
        <f t="shared" ref="D92:N92" si="6">SUM(D21)</f>
        <v>0</v>
      </c>
      <c r="E92" s="949">
        <f t="shared" si="6"/>
        <v>38000</v>
      </c>
      <c r="F92" s="949">
        <f t="shared" si="6"/>
        <v>0</v>
      </c>
      <c r="G92" s="949">
        <f t="shared" si="6"/>
        <v>0</v>
      </c>
      <c r="H92" s="949">
        <f t="shared" si="6"/>
        <v>0</v>
      </c>
      <c r="I92" s="949">
        <f t="shared" si="6"/>
        <v>0</v>
      </c>
      <c r="J92" s="949">
        <f t="shared" si="6"/>
        <v>0</v>
      </c>
      <c r="K92" s="949">
        <f t="shared" si="6"/>
        <v>0</v>
      </c>
      <c r="L92" s="949">
        <f t="shared" si="6"/>
        <v>0</v>
      </c>
      <c r="M92" s="949">
        <f t="shared" si="6"/>
        <v>0</v>
      </c>
      <c r="N92" s="954">
        <f t="shared" si="6"/>
        <v>0</v>
      </c>
    </row>
    <row r="93" spans="1:14">
      <c r="A93" s="63" t="s">
        <v>375</v>
      </c>
      <c r="B93" s="73"/>
      <c r="C93" s="949">
        <f>SUM(C75,C64,C42,C24)</f>
        <v>360600</v>
      </c>
      <c r="D93" s="949">
        <f t="shared" ref="D93:N93" si="7">SUM(D75,D64,D42,D24)</f>
        <v>0</v>
      </c>
      <c r="E93" s="949">
        <f t="shared" si="7"/>
        <v>60000</v>
      </c>
      <c r="F93" s="949">
        <f t="shared" si="7"/>
        <v>120000</v>
      </c>
      <c r="G93" s="949">
        <f t="shared" si="7"/>
        <v>0</v>
      </c>
      <c r="H93" s="949">
        <f t="shared" si="7"/>
        <v>114600</v>
      </c>
      <c r="I93" s="949">
        <f t="shared" si="7"/>
        <v>66000</v>
      </c>
      <c r="J93" s="949">
        <f t="shared" si="7"/>
        <v>0</v>
      </c>
      <c r="K93" s="949">
        <f t="shared" si="7"/>
        <v>0</v>
      </c>
      <c r="L93" s="949">
        <f t="shared" si="7"/>
        <v>0</v>
      </c>
      <c r="M93" s="949">
        <f t="shared" si="7"/>
        <v>0</v>
      </c>
      <c r="N93" s="954">
        <f t="shared" si="7"/>
        <v>0</v>
      </c>
    </row>
    <row r="94" spans="1:14">
      <c r="A94" s="63" t="s">
        <v>376</v>
      </c>
      <c r="B94" s="73"/>
      <c r="C94" s="949">
        <f>SUM(C63,C23)</f>
        <v>225000</v>
      </c>
      <c r="D94" s="949">
        <f t="shared" ref="D94:N94" si="8">SUM(D63,D23)</f>
        <v>0</v>
      </c>
      <c r="E94" s="949">
        <f t="shared" si="8"/>
        <v>50000</v>
      </c>
      <c r="F94" s="949">
        <f t="shared" si="8"/>
        <v>100000</v>
      </c>
      <c r="G94" s="949">
        <f t="shared" si="8"/>
        <v>0</v>
      </c>
      <c r="H94" s="949">
        <f t="shared" si="8"/>
        <v>0</v>
      </c>
      <c r="I94" s="949">
        <f t="shared" si="8"/>
        <v>75000</v>
      </c>
      <c r="J94" s="949">
        <f t="shared" si="8"/>
        <v>0</v>
      </c>
      <c r="K94" s="949">
        <f t="shared" si="8"/>
        <v>0</v>
      </c>
      <c r="L94" s="949">
        <f t="shared" si="8"/>
        <v>0</v>
      </c>
      <c r="M94" s="949">
        <f t="shared" si="8"/>
        <v>0</v>
      </c>
      <c r="N94" s="954">
        <f t="shared" si="8"/>
        <v>0</v>
      </c>
    </row>
    <row r="95" spans="1:14">
      <c r="A95" s="63" t="s">
        <v>90</v>
      </c>
      <c r="B95" s="73"/>
      <c r="C95" s="949">
        <f>SUM(C80,C70)</f>
        <v>202100</v>
      </c>
      <c r="D95" s="949">
        <f t="shared" ref="D95:N95" si="9">SUM(D80,D70)</f>
        <v>0</v>
      </c>
      <c r="E95" s="949">
        <f t="shared" si="9"/>
        <v>0</v>
      </c>
      <c r="F95" s="949">
        <f t="shared" si="9"/>
        <v>0</v>
      </c>
      <c r="G95" s="949">
        <f t="shared" si="9"/>
        <v>0</v>
      </c>
      <c r="H95" s="949">
        <f t="shared" si="9"/>
        <v>0</v>
      </c>
      <c r="I95" s="949">
        <f t="shared" si="9"/>
        <v>93066.666666666657</v>
      </c>
      <c r="J95" s="949">
        <f t="shared" si="9"/>
        <v>109033.33333333333</v>
      </c>
      <c r="K95" s="949">
        <f t="shared" si="9"/>
        <v>0</v>
      </c>
      <c r="L95" s="949">
        <f t="shared" si="9"/>
        <v>0</v>
      </c>
      <c r="M95" s="949">
        <f t="shared" si="9"/>
        <v>0</v>
      </c>
      <c r="N95" s="954">
        <f t="shared" si="9"/>
        <v>0</v>
      </c>
    </row>
    <row r="96" spans="1:14">
      <c r="A96" s="63" t="s">
        <v>299</v>
      </c>
      <c r="B96" s="73"/>
      <c r="C96" s="949">
        <f>SUM(C69)</f>
        <v>55000</v>
      </c>
      <c r="D96" s="949">
        <f t="shared" ref="D96:N96" si="10">SUM(D69)</f>
        <v>0</v>
      </c>
      <c r="E96" s="949">
        <f t="shared" si="10"/>
        <v>0</v>
      </c>
      <c r="F96" s="949">
        <f t="shared" si="10"/>
        <v>0</v>
      </c>
      <c r="G96" s="949">
        <f t="shared" si="10"/>
        <v>0</v>
      </c>
      <c r="H96" s="949">
        <f t="shared" si="10"/>
        <v>0</v>
      </c>
      <c r="I96" s="949">
        <f t="shared" si="10"/>
        <v>0</v>
      </c>
      <c r="J96" s="949">
        <f t="shared" si="10"/>
        <v>55000</v>
      </c>
      <c r="K96" s="949">
        <f t="shared" si="10"/>
        <v>0</v>
      </c>
      <c r="L96" s="949">
        <f t="shared" si="10"/>
        <v>0</v>
      </c>
      <c r="M96" s="949">
        <f t="shared" si="10"/>
        <v>0</v>
      </c>
      <c r="N96" s="954">
        <f t="shared" si="10"/>
        <v>0</v>
      </c>
    </row>
    <row r="97" spans="1:15" s="60" customFormat="1" ht="13.8" customHeight="1">
      <c r="A97" s="729" t="s">
        <v>281</v>
      </c>
      <c r="B97" s="73"/>
      <c r="C97" s="949">
        <f>SUM(C48)</f>
        <v>146118</v>
      </c>
      <c r="D97" s="949">
        <f t="shared" ref="D97:N97" si="11">SUM(D48)</f>
        <v>0</v>
      </c>
      <c r="E97" s="949">
        <f t="shared" si="11"/>
        <v>0</v>
      </c>
      <c r="F97" s="949">
        <f t="shared" si="11"/>
        <v>0</v>
      </c>
      <c r="G97" s="949">
        <f t="shared" si="11"/>
        <v>48706</v>
      </c>
      <c r="H97" s="949">
        <f t="shared" si="11"/>
        <v>97412</v>
      </c>
      <c r="I97" s="949">
        <f t="shared" si="11"/>
        <v>0</v>
      </c>
      <c r="J97" s="949">
        <f t="shared" si="11"/>
        <v>0</v>
      </c>
      <c r="K97" s="949">
        <f t="shared" si="11"/>
        <v>0</v>
      </c>
      <c r="L97" s="949">
        <f t="shared" si="11"/>
        <v>0</v>
      </c>
      <c r="M97" s="949">
        <f t="shared" si="11"/>
        <v>0</v>
      </c>
      <c r="N97" s="954">
        <f t="shared" si="11"/>
        <v>0</v>
      </c>
    </row>
    <row r="98" spans="1:15" s="60" customFormat="1">
      <c r="A98" s="63" t="s">
        <v>377</v>
      </c>
      <c r="B98" s="73"/>
      <c r="C98" s="949">
        <f>SUM(C30,C29,C14,C13,C12)</f>
        <v>359612</v>
      </c>
      <c r="D98" s="949">
        <f t="shared" ref="D98:N98" si="12">SUM(D30,D29,D14,D13,D12)</f>
        <v>0</v>
      </c>
      <c r="E98" s="949">
        <f t="shared" si="12"/>
        <v>104381.33333333333</v>
      </c>
      <c r="F98" s="949">
        <f t="shared" si="12"/>
        <v>255230.66666666666</v>
      </c>
      <c r="G98" s="949">
        <f t="shared" si="12"/>
        <v>0</v>
      </c>
      <c r="H98" s="949">
        <f t="shared" si="12"/>
        <v>0</v>
      </c>
      <c r="I98" s="949">
        <f t="shared" si="12"/>
        <v>0</v>
      </c>
      <c r="J98" s="949">
        <f t="shared" si="12"/>
        <v>0</v>
      </c>
      <c r="K98" s="949">
        <f t="shared" si="12"/>
        <v>0</v>
      </c>
      <c r="L98" s="949">
        <f t="shared" si="12"/>
        <v>0</v>
      </c>
      <c r="M98" s="949">
        <f t="shared" si="12"/>
        <v>0</v>
      </c>
      <c r="N98" s="954">
        <f t="shared" si="12"/>
        <v>0</v>
      </c>
    </row>
    <row r="99" spans="1:15">
      <c r="A99" s="63" t="s">
        <v>378</v>
      </c>
      <c r="B99" s="73"/>
      <c r="C99" s="949">
        <f>SUM(C87,C86,C85,C82,C77,C72,C66,C60,C56,C46,C44,C36,C34,C27,C18,C9,C7)</f>
        <v>1006239</v>
      </c>
      <c r="D99" s="949">
        <f t="shared" ref="D99:N99" si="13">SUM(D87,D86,D85,D82,D77,D72,D66,D60,D56,D46,D44,D36,D34,D27,D18,D9,D7)</f>
        <v>0</v>
      </c>
      <c r="E99" s="949">
        <f t="shared" si="13"/>
        <v>263237.66666666669</v>
      </c>
      <c r="F99" s="949">
        <f t="shared" si="13"/>
        <v>225129.33333333331</v>
      </c>
      <c r="G99" s="949">
        <f t="shared" si="13"/>
        <v>201359</v>
      </c>
      <c r="H99" s="949">
        <f t="shared" si="13"/>
        <v>32349</v>
      </c>
      <c r="I99" s="949">
        <f t="shared" si="13"/>
        <v>13071</v>
      </c>
      <c r="J99" s="949">
        <f t="shared" si="13"/>
        <v>8190</v>
      </c>
      <c r="K99" s="949">
        <f t="shared" si="13"/>
        <v>57845.75</v>
      </c>
      <c r="L99" s="949">
        <f t="shared" si="13"/>
        <v>89365.75</v>
      </c>
      <c r="M99" s="949">
        <f t="shared" si="13"/>
        <v>115691.5</v>
      </c>
      <c r="N99" s="954">
        <f t="shared" si="13"/>
        <v>0</v>
      </c>
    </row>
    <row r="100" spans="1:15">
      <c r="A100" s="63" t="s">
        <v>415</v>
      </c>
      <c r="B100" s="73"/>
      <c r="C100" s="949">
        <f>SUM(C81,C76,C55,C49,C45,C32,C25,C16)</f>
        <v>326518.8</v>
      </c>
      <c r="D100" s="949">
        <f t="shared" ref="D100:N100" si="14">SUM(D81,D76,D55,D49,D45,D32,D25,D16)</f>
        <v>0</v>
      </c>
      <c r="E100" s="949">
        <f t="shared" si="14"/>
        <v>0</v>
      </c>
      <c r="F100" s="949">
        <f t="shared" si="14"/>
        <v>24673</v>
      </c>
      <c r="G100" s="949">
        <f t="shared" si="14"/>
        <v>38964.800000000003</v>
      </c>
      <c r="H100" s="949">
        <f t="shared" si="14"/>
        <v>88306.666666666657</v>
      </c>
      <c r="I100" s="949">
        <f t="shared" si="14"/>
        <v>86237.666666666657</v>
      </c>
      <c r="J100" s="949">
        <f t="shared" si="14"/>
        <v>88336.666666666657</v>
      </c>
      <c r="K100" s="949">
        <f t="shared" si="14"/>
        <v>0</v>
      </c>
      <c r="L100" s="949">
        <f t="shared" si="14"/>
        <v>0</v>
      </c>
      <c r="M100" s="949">
        <f t="shared" si="14"/>
        <v>0</v>
      </c>
      <c r="N100" s="954">
        <f t="shared" si="14"/>
        <v>0</v>
      </c>
    </row>
    <row r="101" spans="1:15">
      <c r="A101" s="63" t="s">
        <v>416</v>
      </c>
      <c r="B101" s="73"/>
      <c r="C101" s="949">
        <f>SUM(C71,C65,C57,C35,C26,C19)</f>
        <v>64552.799999999996</v>
      </c>
      <c r="D101" s="949">
        <f t="shared" ref="D101:N101" si="15">SUM(D71,D65,D57,D35,D26,D19)</f>
        <v>0</v>
      </c>
      <c r="E101" s="949">
        <f t="shared" si="15"/>
        <v>0</v>
      </c>
      <c r="F101" s="949">
        <f t="shared" si="15"/>
        <v>26307.599999999999</v>
      </c>
      <c r="G101" s="949">
        <f t="shared" si="15"/>
        <v>0</v>
      </c>
      <c r="H101" s="949">
        <f t="shared" si="15"/>
        <v>0</v>
      </c>
      <c r="I101" s="949">
        <f t="shared" si="15"/>
        <v>24145.199999999997</v>
      </c>
      <c r="J101" s="949">
        <f t="shared" si="15"/>
        <v>14100</v>
      </c>
      <c r="K101" s="949">
        <f t="shared" si="15"/>
        <v>0</v>
      </c>
      <c r="L101" s="949">
        <f t="shared" si="15"/>
        <v>0</v>
      </c>
      <c r="M101" s="949">
        <f t="shared" si="15"/>
        <v>0</v>
      </c>
      <c r="N101" s="954">
        <f t="shared" si="15"/>
        <v>0</v>
      </c>
    </row>
    <row r="102" spans="1:15">
      <c r="A102" s="63" t="s">
        <v>379</v>
      </c>
      <c r="B102" s="73"/>
      <c r="C102" s="949">
        <f>SUM(C39)</f>
        <v>122954</v>
      </c>
      <c r="D102" s="949">
        <f t="shared" ref="D102:N102" si="16">SUM(D39)</f>
        <v>0</v>
      </c>
      <c r="E102" s="949">
        <f t="shared" si="16"/>
        <v>0</v>
      </c>
      <c r="F102" s="949">
        <f t="shared" si="16"/>
        <v>0</v>
      </c>
      <c r="G102" s="949">
        <f t="shared" si="16"/>
        <v>30738.5</v>
      </c>
      <c r="H102" s="949">
        <f t="shared" si="16"/>
        <v>30738.5</v>
      </c>
      <c r="I102" s="949">
        <f t="shared" si="16"/>
        <v>30738.5</v>
      </c>
      <c r="J102" s="949">
        <f t="shared" si="16"/>
        <v>30738.5</v>
      </c>
      <c r="K102" s="949">
        <f t="shared" si="16"/>
        <v>0</v>
      </c>
      <c r="L102" s="949">
        <f t="shared" si="16"/>
        <v>0</v>
      </c>
      <c r="M102" s="949">
        <f t="shared" si="16"/>
        <v>0</v>
      </c>
      <c r="N102" s="954">
        <f t="shared" si="16"/>
        <v>0</v>
      </c>
    </row>
    <row r="103" spans="1:15" ht="13.8" thickBot="1">
      <c r="A103" s="66" t="s">
        <v>436</v>
      </c>
      <c r="B103" s="118"/>
      <c r="C103" s="1041">
        <f>SUM(C59,C51,C10)</f>
        <v>522094</v>
      </c>
      <c r="D103" s="1041">
        <f t="shared" ref="D103:N103" si="17">SUM(D59,D51,D10)</f>
        <v>0</v>
      </c>
      <c r="E103" s="1041">
        <f t="shared" si="17"/>
        <v>239840</v>
      </c>
      <c r="F103" s="1041">
        <f t="shared" si="17"/>
        <v>0</v>
      </c>
      <c r="G103" s="1041">
        <f t="shared" si="17"/>
        <v>282254</v>
      </c>
      <c r="H103" s="1041">
        <f t="shared" si="17"/>
        <v>0</v>
      </c>
      <c r="I103" s="1041">
        <f t="shared" si="17"/>
        <v>0</v>
      </c>
      <c r="J103" s="1041">
        <f t="shared" si="17"/>
        <v>0</v>
      </c>
      <c r="K103" s="1041">
        <f t="shared" si="17"/>
        <v>0</v>
      </c>
      <c r="L103" s="1041">
        <f t="shared" si="17"/>
        <v>0</v>
      </c>
      <c r="M103" s="1041">
        <f t="shared" si="17"/>
        <v>0</v>
      </c>
      <c r="N103" s="1042">
        <f t="shared" si="17"/>
        <v>0</v>
      </c>
      <c r="O103" s="949"/>
    </row>
    <row r="104" spans="1:15" ht="13.8" thickBot="1">
      <c r="A104" s="80" t="s">
        <v>31</v>
      </c>
      <c r="B104" s="79"/>
      <c r="C104" s="1000">
        <f>SUM(C89:C103)</f>
        <v>3853146.5999999996</v>
      </c>
      <c r="D104" s="82">
        <f t="shared" ref="D104:N104" si="18">SUM(D89:D102)</f>
        <v>0</v>
      </c>
      <c r="E104" s="85">
        <f t="shared" si="18"/>
        <v>549479</v>
      </c>
      <c r="F104" s="82">
        <f t="shared" si="18"/>
        <v>759513.59999999998</v>
      </c>
      <c r="G104" s="85">
        <f t="shared" si="18"/>
        <v>445974.96666666662</v>
      </c>
      <c r="H104" s="82">
        <f t="shared" si="18"/>
        <v>552803.5</v>
      </c>
      <c r="I104" s="82">
        <f t="shared" si="18"/>
        <v>454980.03333333327</v>
      </c>
      <c r="J104" s="86">
        <f t="shared" si="18"/>
        <v>305398.5</v>
      </c>
      <c r="K104" s="85">
        <f t="shared" si="18"/>
        <v>57845.75</v>
      </c>
      <c r="L104" s="82">
        <f t="shared" si="18"/>
        <v>89365.75</v>
      </c>
      <c r="M104" s="82">
        <f t="shared" si="18"/>
        <v>115691.5</v>
      </c>
      <c r="N104" s="86">
        <f t="shared" si="18"/>
        <v>0</v>
      </c>
    </row>
    <row r="105" spans="1:15"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</row>
    <row r="106" spans="1:15">
      <c r="A106" s="60"/>
      <c r="B106" s="60"/>
      <c r="C106" s="60"/>
      <c r="D106" s="60"/>
      <c r="E106" s="1138"/>
      <c r="F106" s="1138"/>
      <c r="G106" s="1138"/>
      <c r="H106" s="1138"/>
      <c r="I106" s="155"/>
      <c r="J106" s="155"/>
      <c r="K106" s="155"/>
      <c r="L106" s="155"/>
      <c r="M106" s="155"/>
      <c r="N106" s="155"/>
    </row>
    <row r="107" spans="1:15">
      <c r="A107" s="73"/>
      <c r="B107" s="73"/>
      <c r="C107" s="73"/>
      <c r="D107" s="73"/>
      <c r="E107" s="157"/>
      <c r="F107" s="157"/>
      <c r="G107" s="157"/>
      <c r="H107" s="157"/>
      <c r="I107" s="156"/>
      <c r="J107" s="156"/>
      <c r="K107" s="156"/>
      <c r="L107" s="156"/>
      <c r="M107" s="156"/>
      <c r="N107" s="156"/>
    </row>
    <row r="108" spans="1:15">
      <c r="A108" s="73"/>
      <c r="B108" s="1139"/>
      <c r="C108" s="1139"/>
      <c r="D108" s="60"/>
      <c r="E108" s="1113"/>
      <c r="F108" s="1115"/>
      <c r="G108" s="157"/>
      <c r="H108" s="157"/>
      <c r="I108" s="157"/>
      <c r="J108" s="157"/>
      <c r="K108" s="157"/>
      <c r="L108" s="157"/>
      <c r="M108" s="157"/>
      <c r="N108" s="157"/>
    </row>
    <row r="109" spans="1:15">
      <c r="A109" s="73"/>
      <c r="B109" s="1139"/>
      <c r="C109" s="1139"/>
      <c r="D109" s="60"/>
      <c r="E109" s="1113"/>
      <c r="F109" s="1115"/>
      <c r="G109" s="157"/>
      <c r="H109" s="157"/>
      <c r="I109" s="158"/>
      <c r="J109" s="158"/>
      <c r="K109" s="158"/>
      <c r="L109" s="158"/>
      <c r="M109" s="158"/>
      <c r="N109" s="158"/>
    </row>
    <row r="110" spans="1:15">
      <c r="A110" s="73"/>
      <c r="B110" s="1139"/>
      <c r="C110" s="1139"/>
      <c r="D110" s="60"/>
      <c r="E110" s="1113"/>
      <c r="F110" s="1115"/>
      <c r="G110" s="157"/>
      <c r="H110" s="157"/>
      <c r="I110" s="154"/>
      <c r="J110" s="154"/>
      <c r="K110" s="154"/>
      <c r="L110" s="154"/>
      <c r="M110" s="154"/>
      <c r="N110" s="154"/>
    </row>
    <row r="111" spans="1:15">
      <c r="A111" s="73"/>
      <c r="B111" s="1139"/>
      <c r="C111" s="1139"/>
      <c r="D111" s="60"/>
      <c r="E111" s="1113"/>
      <c r="F111" s="1115"/>
      <c r="G111" s="157"/>
      <c r="H111" s="157"/>
    </row>
    <row r="112" spans="1:15">
      <c r="A112" s="73"/>
      <c r="B112" s="1139"/>
      <c r="C112" s="1139"/>
      <c r="D112" s="1139"/>
      <c r="E112" s="1113"/>
      <c r="F112" s="1115"/>
      <c r="G112" s="157"/>
      <c r="H112" s="157"/>
    </row>
    <row r="113" spans="1:15">
      <c r="A113" s="73"/>
      <c r="B113" s="1139"/>
      <c r="C113" s="1139"/>
      <c r="D113" s="60"/>
      <c r="E113" s="1113"/>
      <c r="F113" s="1115"/>
      <c r="G113" s="157"/>
      <c r="H113" s="157"/>
    </row>
    <row r="114" spans="1:15">
      <c r="A114" s="73"/>
      <c r="B114" s="1139"/>
      <c r="C114" s="1139"/>
      <c r="D114" s="60"/>
      <c r="E114" s="1113"/>
      <c r="F114" s="1115"/>
      <c r="G114" s="157"/>
      <c r="H114" s="157"/>
    </row>
    <row r="115" spans="1:15">
      <c r="A115" s="73"/>
      <c r="B115" s="1139"/>
      <c r="C115" s="1139"/>
      <c r="D115" s="60"/>
      <c r="E115" s="1113"/>
      <c r="F115" s="1115"/>
      <c r="G115" s="157"/>
      <c r="H115" s="157"/>
    </row>
    <row r="116" spans="1:15">
      <c r="A116" s="73"/>
      <c r="B116" s="60"/>
      <c r="C116" s="1139"/>
      <c r="D116" s="60"/>
      <c r="E116" s="1113"/>
      <c r="F116" s="1115"/>
      <c r="G116" s="157"/>
      <c r="H116" s="157"/>
      <c r="O116" s="60"/>
    </row>
    <row r="117" spans="1:15">
      <c r="A117" s="73"/>
      <c r="B117" s="87"/>
      <c r="C117" s="87"/>
      <c r="D117" s="87"/>
      <c r="E117" s="87"/>
      <c r="F117" s="1115"/>
      <c r="G117" s="157"/>
      <c r="H117" s="157"/>
      <c r="O117" s="60"/>
    </row>
    <row r="122" spans="1:15">
      <c r="C122" s="1114"/>
      <c r="D122" s="1114"/>
      <c r="G122" s="464"/>
      <c r="H122" s="464"/>
    </row>
    <row r="123" spans="1:15">
      <c r="C123" s="1114"/>
      <c r="D123" s="1114"/>
      <c r="G123" s="464"/>
      <c r="H123" s="464"/>
    </row>
    <row r="124" spans="1:15">
      <c r="C124" s="1114"/>
      <c r="D124" s="1114"/>
      <c r="G124" s="464"/>
      <c r="H124" s="464"/>
    </row>
    <row r="125" spans="1:15">
      <c r="C125" s="1114"/>
      <c r="D125" s="1114"/>
      <c r="G125" s="464"/>
      <c r="H125" s="464"/>
    </row>
    <row r="126" spans="1:15">
      <c r="C126" s="1114"/>
      <c r="D126" s="1114"/>
      <c r="G126" s="464"/>
      <c r="H126" s="464"/>
    </row>
    <row r="127" spans="1:15">
      <c r="C127" s="1114"/>
      <c r="D127" s="1114"/>
    </row>
    <row r="128" spans="1:15">
      <c r="C128" s="1114"/>
      <c r="D128" s="1114"/>
    </row>
    <row r="129" spans="3:4">
      <c r="C129" s="1114"/>
      <c r="D129" s="1114"/>
    </row>
    <row r="130" spans="3:4">
      <c r="C130" s="1114"/>
      <c r="D130" s="1114"/>
    </row>
  </sheetData>
  <mergeCells count="3">
    <mergeCell ref="E3:F3"/>
    <mergeCell ref="G3:J3"/>
    <mergeCell ref="K3:N3"/>
  </mergeCells>
  <printOptions horizontalCentered="1"/>
  <pageMargins left="0" right="0" top="0.25" bottom="0.25" header="0.3" footer="0.3"/>
  <pageSetup scale="4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24"/>
  <sheetViews>
    <sheetView workbookViewId="0">
      <selection activeCell="E14" sqref="E14"/>
    </sheetView>
  </sheetViews>
  <sheetFormatPr defaultColWidth="9.109375" defaultRowHeight="13.2"/>
  <cols>
    <col min="1" max="1" width="6.109375" style="38" customWidth="1"/>
    <col min="2" max="2" width="14.6640625" style="38" customWidth="1"/>
    <col min="3" max="3" width="14.88671875" style="38" customWidth="1"/>
    <col min="4" max="4" width="10" style="38" customWidth="1"/>
    <col min="5" max="5" width="17.44140625" style="38" customWidth="1"/>
    <col min="6" max="6" width="12.6640625" style="38" customWidth="1"/>
    <col min="7" max="7" width="13.5546875" style="38" bestFit="1" customWidth="1"/>
    <col min="8" max="16384" width="9.109375" style="38"/>
  </cols>
  <sheetData>
    <row r="1" spans="1:8">
      <c r="A1" s="1236" t="s">
        <v>347</v>
      </c>
      <c r="B1" s="1237"/>
      <c r="C1" s="1237"/>
      <c r="D1" s="1237"/>
      <c r="E1" s="1237"/>
      <c r="F1" s="1238"/>
      <c r="G1" s="877"/>
      <c r="H1" s="877"/>
    </row>
    <row r="2" spans="1:8" ht="13.8" thickBot="1">
      <c r="A2" s="1239"/>
      <c r="B2" s="1240"/>
      <c r="C2" s="1240"/>
      <c r="D2" s="1240"/>
      <c r="E2" s="1240"/>
      <c r="F2" s="1241"/>
      <c r="G2" s="877"/>
      <c r="H2" s="877"/>
    </row>
    <row r="3" spans="1:8">
      <c r="A3" s="461"/>
      <c r="B3" s="382" t="s">
        <v>188</v>
      </c>
      <c r="C3" s="382" t="s">
        <v>190</v>
      </c>
      <c r="D3" s="444" t="s">
        <v>191</v>
      </c>
      <c r="E3" s="383" t="s">
        <v>31</v>
      </c>
      <c r="F3" s="383" t="s">
        <v>176</v>
      </c>
    </row>
    <row r="4" spans="1:8" ht="13.8" thickBot="1">
      <c r="A4" s="115" t="s">
        <v>187</v>
      </c>
      <c r="B4" s="135" t="s">
        <v>189</v>
      </c>
      <c r="C4" s="135" t="s">
        <v>176</v>
      </c>
      <c r="D4" s="167" t="s">
        <v>95</v>
      </c>
      <c r="E4" s="384" t="s">
        <v>176</v>
      </c>
      <c r="F4" s="384" t="s">
        <v>178</v>
      </c>
    </row>
    <row r="5" spans="1:8">
      <c r="A5" s="63" t="s">
        <v>192</v>
      </c>
      <c r="B5" s="345"/>
      <c r="C5" s="329">
        <f>'Land Values'!D8</f>
        <v>2641020</v>
      </c>
      <c r="D5" s="214">
        <f>'Land Values'!E8</f>
        <v>546477</v>
      </c>
      <c r="E5" s="137">
        <f>C5</f>
        <v>2641020</v>
      </c>
      <c r="F5" s="192">
        <f>E5/D5</f>
        <v>4.8328108959754941</v>
      </c>
    </row>
    <row r="6" spans="1:8">
      <c r="A6" s="63" t="s">
        <v>193</v>
      </c>
      <c r="B6" s="345"/>
      <c r="C6" s="329">
        <f>'Land Values'!D12</f>
        <v>1332500</v>
      </c>
      <c r="D6" s="214">
        <f>'Land Values'!E12</f>
        <v>51782</v>
      </c>
      <c r="E6" s="137">
        <f>C6</f>
        <v>1332500</v>
      </c>
      <c r="F6" s="192">
        <f t="shared" ref="F6:F10" si="0">E6/D6</f>
        <v>25.732880151403961</v>
      </c>
    </row>
    <row r="7" spans="1:8">
      <c r="A7" s="63" t="s">
        <v>194</v>
      </c>
      <c r="B7" s="345"/>
      <c r="C7" s="329">
        <f>'Land Values'!D16</f>
        <v>2548580</v>
      </c>
      <c r="D7" s="214">
        <f>'Land Values'!E16</f>
        <v>98800</v>
      </c>
      <c r="E7" s="137">
        <f t="shared" ref="E7:E14" si="1">C7</f>
        <v>2548580</v>
      </c>
      <c r="F7" s="192">
        <f t="shared" si="0"/>
        <v>25.795344129554657</v>
      </c>
    </row>
    <row r="8" spans="1:8">
      <c r="A8" s="63" t="s">
        <v>342</v>
      </c>
      <c r="B8" s="345"/>
      <c r="C8" s="329">
        <f>'Land Values'!D20</f>
        <v>720150</v>
      </c>
      <c r="D8" s="214">
        <f>'Land Values'!E20</f>
        <v>27975</v>
      </c>
      <c r="E8" s="137">
        <f t="shared" si="1"/>
        <v>720150</v>
      </c>
      <c r="F8" s="192">
        <f t="shared" si="0"/>
        <v>25.742627345844504</v>
      </c>
    </row>
    <row r="9" spans="1:8">
      <c r="A9" s="63" t="s">
        <v>343</v>
      </c>
      <c r="B9" s="345"/>
      <c r="C9" s="329">
        <f>'Land Values'!D24</f>
        <v>12998901.76</v>
      </c>
      <c r="D9" s="214">
        <f>'Land Values'!E24</f>
        <v>113152</v>
      </c>
      <c r="E9" s="137">
        <f t="shared" si="1"/>
        <v>12998901.76</v>
      </c>
      <c r="F9" s="192">
        <f t="shared" si="0"/>
        <v>114.88</v>
      </c>
    </row>
    <row r="10" spans="1:8">
      <c r="A10" s="63" t="s">
        <v>344</v>
      </c>
      <c r="B10" s="345"/>
      <c r="C10" s="329">
        <f>'Land Values'!D28</f>
        <v>942970</v>
      </c>
      <c r="D10" s="214">
        <f>'Land Values'!E28</f>
        <v>18132</v>
      </c>
      <c r="E10" s="137">
        <f t="shared" si="1"/>
        <v>942970</v>
      </c>
      <c r="F10" s="192">
        <f t="shared" si="0"/>
        <v>52.005846018089564</v>
      </c>
    </row>
    <row r="11" spans="1:8">
      <c r="A11" s="63" t="s">
        <v>345</v>
      </c>
      <c r="B11" s="64"/>
      <c r="C11" s="151">
        <f>'Land Values'!D32</f>
        <v>1921350</v>
      </c>
      <c r="D11" s="214">
        <f>'Land Values'!E32</f>
        <v>25616</v>
      </c>
      <c r="E11" s="137">
        <f t="shared" si="1"/>
        <v>1921350</v>
      </c>
      <c r="F11" s="466">
        <f>E11/D11</f>
        <v>75.005855715178015</v>
      </c>
    </row>
    <row r="12" spans="1:8">
      <c r="A12" s="63" t="s">
        <v>346</v>
      </c>
      <c r="B12" s="74"/>
      <c r="C12" s="878">
        <f>'Land Values'!D35</f>
        <v>3999860</v>
      </c>
      <c r="D12" s="214">
        <f>'Land Values'!E35</f>
        <v>18132</v>
      </c>
      <c r="E12" s="137">
        <f t="shared" ref="E12" si="2">C12</f>
        <v>3999860</v>
      </c>
      <c r="F12" s="1060">
        <f>E12/D12</f>
        <v>220.59673505404808</v>
      </c>
    </row>
    <row r="13" spans="1:8">
      <c r="A13" s="63" t="s">
        <v>421</v>
      </c>
      <c r="B13" s="74"/>
      <c r="C13" s="878">
        <f>'Land Values'!D40</f>
        <v>5969681.4000000004</v>
      </c>
      <c r="D13" s="214">
        <f>'Land Values'!E40</f>
        <v>231383</v>
      </c>
      <c r="E13" s="137">
        <f t="shared" si="1"/>
        <v>5969681.4000000004</v>
      </c>
      <c r="F13" s="1060">
        <f>E13/D13</f>
        <v>25.8</v>
      </c>
    </row>
    <row r="14" spans="1:8" ht="13.8" thickBot="1">
      <c r="A14" s="115" t="s">
        <v>31</v>
      </c>
      <c r="B14" s="465"/>
      <c r="C14" s="142">
        <f>SUM(C5:C13)</f>
        <v>33075013.159999996</v>
      </c>
      <c r="D14" s="458">
        <f>SUM(D5:D13)</f>
        <v>1131449</v>
      </c>
      <c r="E14" s="249">
        <f t="shared" si="1"/>
        <v>33075013.159999996</v>
      </c>
      <c r="F14" s="467">
        <f>E14/D14</f>
        <v>29.23243836885268</v>
      </c>
    </row>
    <row r="15" spans="1:8">
      <c r="A15" s="39"/>
      <c r="B15" s="460"/>
      <c r="C15" s="463"/>
      <c r="D15" s="462"/>
      <c r="E15" s="462"/>
      <c r="F15" s="463"/>
      <c r="G15" s="156"/>
      <c r="H15" s="464"/>
    </row>
    <row r="16" spans="1:8" ht="13.8" thickBot="1">
      <c r="A16" s="39"/>
      <c r="B16" s="460"/>
      <c r="C16" s="463"/>
      <c r="D16" s="462"/>
      <c r="E16" s="462"/>
      <c r="F16" s="463"/>
      <c r="G16" s="156"/>
      <c r="H16" s="464"/>
    </row>
    <row r="17" spans="1:8" ht="13.8" thickBot="1">
      <c r="A17" s="1242" t="s">
        <v>195</v>
      </c>
      <c r="B17" s="1243"/>
      <c r="C17" s="1243"/>
      <c r="D17" s="1243"/>
      <c r="E17" s="1243"/>
      <c r="F17" s="1244"/>
      <c r="G17" s="156"/>
      <c r="H17" s="464"/>
    </row>
    <row r="18" spans="1:8">
      <c r="A18" s="123" t="s">
        <v>82</v>
      </c>
      <c r="B18" s="77"/>
      <c r="C18" s="469"/>
      <c r="D18" s="470"/>
      <c r="E18" s="470"/>
      <c r="F18" s="709">
        <f>D14</f>
        <v>1131449</v>
      </c>
      <c r="G18" s="156"/>
      <c r="H18" s="464"/>
    </row>
    <row r="19" spans="1:8">
      <c r="A19" s="438"/>
      <c r="B19" s="468"/>
      <c r="C19" s="468"/>
      <c r="D19" s="468"/>
      <c r="E19" s="468"/>
      <c r="F19" s="153"/>
    </row>
    <row r="20" spans="1:8">
      <c r="A20" s="114" t="s">
        <v>196</v>
      </c>
      <c r="B20" s="60"/>
      <c r="C20" s="60"/>
      <c r="D20" s="60"/>
      <c r="E20" s="60"/>
      <c r="F20" s="471">
        <f>D12+D6</f>
        <v>69914</v>
      </c>
    </row>
    <row r="21" spans="1:8">
      <c r="A21" s="438" t="s">
        <v>341</v>
      </c>
      <c r="B21" s="468"/>
      <c r="C21" s="468"/>
      <c r="D21" s="468"/>
      <c r="E21" s="99" t="s">
        <v>197</v>
      </c>
      <c r="F21" s="710">
        <v>3</v>
      </c>
    </row>
    <row r="22" spans="1:8" ht="16.2" thickBot="1">
      <c r="A22" s="115" t="s">
        <v>198</v>
      </c>
      <c r="B22" s="116"/>
      <c r="C22" s="116"/>
      <c r="D22" s="116"/>
      <c r="E22" s="116"/>
      <c r="F22" s="143">
        <f>F20*F21</f>
        <v>209742</v>
      </c>
    </row>
    <row r="23" spans="1:8">
      <c r="A23" s="39" t="s">
        <v>332</v>
      </c>
    </row>
    <row r="24" spans="1:8">
      <c r="A24" s="39" t="s">
        <v>348</v>
      </c>
    </row>
  </sheetData>
  <mergeCells count="2">
    <mergeCell ref="A1:F2"/>
    <mergeCell ref="A17:F17"/>
  </mergeCells>
  <printOptions horizontalCentered="1"/>
  <pageMargins left="0.45" right="0.45" top="0.5" bottom="0.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50"/>
  <sheetViews>
    <sheetView zoomScale="85" zoomScaleNormal="85" workbookViewId="0">
      <selection activeCell="C38" sqref="C38:C39"/>
    </sheetView>
  </sheetViews>
  <sheetFormatPr defaultColWidth="9.109375" defaultRowHeight="13.2"/>
  <cols>
    <col min="1" max="1" width="16" style="39" customWidth="1"/>
    <col min="2" max="2" width="5.5546875" style="39" customWidth="1"/>
    <col min="3" max="3" width="22.109375" style="39" bestFit="1" customWidth="1"/>
    <col min="4" max="4" width="16.33203125" style="39" bestFit="1" customWidth="1"/>
    <col min="5" max="5" width="10.88671875" style="39" bestFit="1" customWidth="1"/>
    <col min="6" max="6" width="16.5546875" style="39" bestFit="1" customWidth="1"/>
    <col min="7" max="7" width="11.5546875" style="39" bestFit="1" customWidth="1"/>
    <col min="8" max="16384" width="9.109375" style="39"/>
  </cols>
  <sheetData>
    <row r="1" spans="1:10" s="375" customFormat="1">
      <c r="A1" s="1066" t="s">
        <v>81</v>
      </c>
      <c r="B1" s="1067"/>
      <c r="C1" s="1067"/>
      <c r="D1" s="1067"/>
      <c r="E1" s="1073"/>
      <c r="F1" s="1073"/>
      <c r="G1" s="1074"/>
      <c r="H1" s="39"/>
      <c r="I1" s="39"/>
      <c r="J1" s="39"/>
    </row>
    <row r="2" spans="1:10" s="375" customFormat="1" ht="13.8" thickBot="1">
      <c r="A2" s="1069" t="s">
        <v>174</v>
      </c>
      <c r="B2" s="1070"/>
      <c r="C2" s="1070"/>
      <c r="D2" s="1070"/>
      <c r="E2" s="1075"/>
      <c r="F2" s="1075"/>
      <c r="G2" s="1076"/>
      <c r="H2" s="39"/>
      <c r="I2" s="39"/>
      <c r="J2" s="39"/>
    </row>
    <row r="3" spans="1:10" s="375" customFormat="1">
      <c r="A3" s="1248" t="s">
        <v>177</v>
      </c>
      <c r="B3" s="382"/>
      <c r="C3" s="1246" t="s">
        <v>349</v>
      </c>
      <c r="D3" s="454" t="s">
        <v>175</v>
      </c>
      <c r="E3" s="444" t="s">
        <v>31</v>
      </c>
      <c r="F3" s="383" t="s">
        <v>31</v>
      </c>
      <c r="G3" s="444" t="s">
        <v>176</v>
      </c>
      <c r="H3" s="39"/>
      <c r="I3" s="39"/>
      <c r="J3" s="39"/>
    </row>
    <row r="4" spans="1:10" s="375" customFormat="1" ht="21.6" customHeight="1" thickBot="1">
      <c r="A4" s="1249"/>
      <c r="B4" s="879"/>
      <c r="C4" s="1247"/>
      <c r="D4" s="455" t="s">
        <v>176</v>
      </c>
      <c r="E4" s="167" t="s">
        <v>95</v>
      </c>
      <c r="F4" s="384" t="s">
        <v>176</v>
      </c>
      <c r="G4" s="167" t="s">
        <v>178</v>
      </c>
      <c r="H4" s="39"/>
      <c r="I4" s="39"/>
      <c r="J4" s="39"/>
    </row>
    <row r="5" spans="1:10" s="375" customFormat="1" ht="4.5" customHeight="1">
      <c r="A5" s="63"/>
      <c r="B5" s="73"/>
      <c r="C5" s="73"/>
      <c r="D5" s="63"/>
      <c r="E5" s="111"/>
      <c r="F5" s="450"/>
      <c r="G5" s="111"/>
      <c r="H5" s="39"/>
      <c r="I5" s="39"/>
      <c r="J5" s="39"/>
    </row>
    <row r="6" spans="1:10" s="375" customFormat="1">
      <c r="A6" s="62" t="s">
        <v>179</v>
      </c>
      <c r="B6" s="445"/>
      <c r="C6" s="1245" t="s">
        <v>338</v>
      </c>
      <c r="D6" s="62"/>
      <c r="E6" s="111"/>
      <c r="F6" s="450"/>
      <c r="G6" s="111"/>
      <c r="H6" s="39"/>
      <c r="I6" s="39"/>
      <c r="J6" s="39"/>
    </row>
    <row r="7" spans="1:10" s="375" customFormat="1">
      <c r="A7" s="63"/>
      <c r="B7" s="64"/>
      <c r="C7" s="1245"/>
      <c r="D7" s="457">
        <v>2641020</v>
      </c>
      <c r="E7" s="261">
        <v>546477</v>
      </c>
      <c r="F7" s="451">
        <f>D7</f>
        <v>2641020</v>
      </c>
      <c r="G7" s="400">
        <f>F7/E7</f>
        <v>4.8328108959754941</v>
      </c>
      <c r="H7" s="39"/>
      <c r="I7" s="39"/>
      <c r="J7" s="39"/>
    </row>
    <row r="8" spans="1:10" s="375" customFormat="1" ht="13.8" thickBot="1">
      <c r="A8" s="446"/>
      <c r="B8" s="118"/>
      <c r="C8" s="67"/>
      <c r="D8" s="141">
        <f>SUM(D7:D7)</f>
        <v>2641020</v>
      </c>
      <c r="E8" s="458">
        <f>SUM(E7:E7)</f>
        <v>546477</v>
      </c>
      <c r="F8" s="452">
        <f>SUM(F7:F7)</f>
        <v>2641020</v>
      </c>
      <c r="G8" s="447">
        <f>F8/E8</f>
        <v>4.8328108959754941</v>
      </c>
      <c r="H8" s="39"/>
      <c r="I8" s="39"/>
      <c r="J8" s="39"/>
    </row>
    <row r="9" spans="1:10" s="375" customFormat="1" ht="4.5" customHeight="1">
      <c r="A9" s="63"/>
      <c r="B9" s="73"/>
      <c r="C9" s="64"/>
      <c r="D9" s="63"/>
      <c r="E9" s="111"/>
      <c r="F9" s="450"/>
      <c r="G9" s="111"/>
      <c r="H9" s="39"/>
      <c r="I9" s="39"/>
      <c r="J9" s="39"/>
    </row>
    <row r="10" spans="1:10" s="375" customFormat="1">
      <c r="A10" s="62" t="s">
        <v>180</v>
      </c>
      <c r="B10" s="445"/>
      <c r="C10" s="1245" t="s">
        <v>50</v>
      </c>
      <c r="D10" s="62"/>
      <c r="E10" s="111"/>
      <c r="F10" s="450"/>
      <c r="G10" s="111"/>
      <c r="H10" s="39"/>
      <c r="I10" s="39"/>
      <c r="J10" s="39"/>
    </row>
    <row r="11" spans="1:10" s="375" customFormat="1">
      <c r="A11" s="63"/>
      <c r="B11" s="64"/>
      <c r="C11" s="1245"/>
      <c r="D11" s="457">
        <v>1332500</v>
      </c>
      <c r="E11" s="261">
        <v>51782</v>
      </c>
      <c r="F11" s="451">
        <f>D11</f>
        <v>1332500</v>
      </c>
      <c r="G11" s="400">
        <f>F11/E11</f>
        <v>25.732880151403961</v>
      </c>
      <c r="H11" s="39"/>
      <c r="I11" s="39"/>
      <c r="J11" s="39"/>
    </row>
    <row r="12" spans="1:10" s="375" customFormat="1" ht="13.8" thickBot="1">
      <c r="A12" s="446"/>
      <c r="B12" s="118"/>
      <c r="C12" s="67"/>
      <c r="D12" s="141">
        <f>SUM(D11:D11)</f>
        <v>1332500</v>
      </c>
      <c r="E12" s="458">
        <f>SUM(E11:E11)</f>
        <v>51782</v>
      </c>
      <c r="F12" s="452">
        <f>SUM(F11:F11)</f>
        <v>1332500</v>
      </c>
      <c r="G12" s="447">
        <f>F12/E12</f>
        <v>25.732880151403961</v>
      </c>
      <c r="H12" s="39"/>
      <c r="I12" s="39"/>
      <c r="J12" s="39"/>
    </row>
    <row r="13" spans="1:10" s="375" customFormat="1" ht="4.5" customHeight="1">
      <c r="A13" s="63"/>
      <c r="B13" s="73"/>
      <c r="C13" s="64"/>
      <c r="D13" s="63"/>
      <c r="E13" s="111"/>
      <c r="F13" s="450"/>
      <c r="G13" s="111"/>
      <c r="H13" s="39"/>
      <c r="I13" s="39"/>
      <c r="J13" s="39"/>
    </row>
    <row r="14" spans="1:10" s="375" customFormat="1">
      <c r="A14" s="62" t="s">
        <v>181</v>
      </c>
      <c r="B14" s="445"/>
      <c r="C14" s="1245" t="s">
        <v>50</v>
      </c>
      <c r="D14" s="62"/>
      <c r="E14" s="111"/>
      <c r="F14" s="450"/>
      <c r="G14" s="111"/>
      <c r="H14" s="39"/>
      <c r="I14" s="39"/>
      <c r="J14" s="39"/>
    </row>
    <row r="15" spans="1:10" s="375" customFormat="1">
      <c r="A15" s="63"/>
      <c r="B15" s="64"/>
      <c r="C15" s="1245"/>
      <c r="D15" s="457">
        <v>2548580</v>
      </c>
      <c r="E15" s="261">
        <v>98800</v>
      </c>
      <c r="F15" s="451">
        <f>D15</f>
        <v>2548580</v>
      </c>
      <c r="G15" s="400">
        <f>F15/E15</f>
        <v>25.795344129554657</v>
      </c>
      <c r="H15" s="39"/>
      <c r="I15" s="39"/>
      <c r="J15" s="39"/>
    </row>
    <row r="16" spans="1:10" s="375" customFormat="1" ht="13.8" thickBot="1">
      <c r="A16" s="446"/>
      <c r="B16" s="118"/>
      <c r="C16" s="67"/>
      <c r="D16" s="141">
        <f>SUM(D15:D15)</f>
        <v>2548580</v>
      </c>
      <c r="E16" s="458">
        <f>SUM(E15:E15)</f>
        <v>98800</v>
      </c>
      <c r="F16" s="452">
        <f>SUM(F15:F15)</f>
        <v>2548580</v>
      </c>
      <c r="G16" s="447">
        <f>F16/E16</f>
        <v>25.795344129554657</v>
      </c>
      <c r="H16" s="39"/>
      <c r="I16" s="39"/>
      <c r="J16" s="39"/>
    </row>
    <row r="17" spans="1:10" s="375" customFormat="1" ht="4.5" customHeight="1">
      <c r="A17" s="63"/>
      <c r="B17" s="73"/>
      <c r="C17" s="64"/>
      <c r="D17" s="63"/>
      <c r="E17" s="111"/>
      <c r="F17" s="450"/>
      <c r="G17" s="111"/>
      <c r="H17" s="39"/>
      <c r="I17" s="39"/>
      <c r="J17" s="39"/>
    </row>
    <row r="18" spans="1:10" s="375" customFormat="1">
      <c r="A18" s="62" t="s">
        <v>333</v>
      </c>
      <c r="B18" s="445"/>
      <c r="C18" s="1245" t="s">
        <v>50</v>
      </c>
      <c r="D18" s="62"/>
      <c r="E18" s="111"/>
      <c r="F18" s="450"/>
      <c r="G18" s="111"/>
      <c r="H18" s="39"/>
      <c r="I18" s="39"/>
      <c r="J18" s="39"/>
    </row>
    <row r="19" spans="1:10" s="375" customFormat="1">
      <c r="A19" s="63"/>
      <c r="B19" s="64"/>
      <c r="C19" s="1245"/>
      <c r="D19" s="457">
        <f>720150</f>
        <v>720150</v>
      </c>
      <c r="E19" s="261">
        <v>27975</v>
      </c>
      <c r="F19" s="451">
        <f>D19</f>
        <v>720150</v>
      </c>
      <c r="G19" s="400">
        <f>F19/E19</f>
        <v>25.742627345844504</v>
      </c>
      <c r="H19" s="39"/>
      <c r="I19" s="39"/>
      <c r="J19" s="39"/>
    </row>
    <row r="20" spans="1:10" s="375" customFormat="1" ht="13.8" thickBot="1">
      <c r="A20" s="446"/>
      <c r="B20" s="118"/>
      <c r="C20" s="67"/>
      <c r="D20" s="141">
        <f>D19</f>
        <v>720150</v>
      </c>
      <c r="E20" s="458">
        <f>E19</f>
        <v>27975</v>
      </c>
      <c r="F20" s="452">
        <f>F19</f>
        <v>720150</v>
      </c>
      <c r="G20" s="447">
        <f>F20/E20</f>
        <v>25.742627345844504</v>
      </c>
      <c r="H20" s="39"/>
      <c r="I20" s="39"/>
      <c r="J20" s="39"/>
    </row>
    <row r="21" spans="1:10" s="375" customFormat="1" ht="4.5" customHeight="1">
      <c r="A21" s="63"/>
      <c r="B21" s="73"/>
      <c r="C21" s="64"/>
      <c r="D21" s="63"/>
      <c r="E21" s="111"/>
      <c r="F21" s="450"/>
      <c r="G21" s="111"/>
      <c r="H21" s="39"/>
      <c r="I21" s="39"/>
      <c r="J21" s="39"/>
    </row>
    <row r="22" spans="1:10" s="375" customFormat="1" ht="13.2" customHeight="1">
      <c r="A22" s="62" t="s">
        <v>334</v>
      </c>
      <c r="B22" s="445"/>
      <c r="C22" s="1245" t="s">
        <v>49</v>
      </c>
      <c r="D22" s="62"/>
      <c r="E22" s="111"/>
      <c r="F22" s="450"/>
      <c r="G22" s="111"/>
      <c r="H22" s="39"/>
      <c r="I22" s="39"/>
      <c r="J22" s="39"/>
    </row>
    <row r="23" spans="1:10" s="375" customFormat="1">
      <c r="A23" s="63"/>
      <c r="B23" s="64"/>
      <c r="C23" s="1245"/>
      <c r="D23" s="457">
        <f>G23*E23</f>
        <v>12998901.76</v>
      </c>
      <c r="E23" s="261">
        <v>113152</v>
      </c>
      <c r="F23" s="451">
        <f>D23</f>
        <v>12998901.76</v>
      </c>
      <c r="G23" s="400">
        <v>114.88</v>
      </c>
      <c r="H23" s="39"/>
      <c r="I23" s="39"/>
      <c r="J23" s="39"/>
    </row>
    <row r="24" spans="1:10" s="375" customFormat="1" ht="13.8" thickBot="1">
      <c r="A24" s="446"/>
      <c r="B24" s="118"/>
      <c r="C24" s="67"/>
      <c r="D24" s="141">
        <f>D23</f>
        <v>12998901.76</v>
      </c>
      <c r="E24" s="458">
        <f>E23</f>
        <v>113152</v>
      </c>
      <c r="F24" s="452">
        <f>F23</f>
        <v>12998901.76</v>
      </c>
      <c r="G24" s="447">
        <f>F24/E24</f>
        <v>114.88</v>
      </c>
      <c r="H24" s="39"/>
      <c r="I24" s="39"/>
      <c r="J24" s="39"/>
    </row>
    <row r="25" spans="1:10" s="375" customFormat="1" ht="4.2" customHeight="1">
      <c r="A25" s="63"/>
      <c r="B25" s="73"/>
      <c r="C25" s="64"/>
      <c r="D25" s="63"/>
      <c r="E25" s="111"/>
      <c r="F25" s="450"/>
      <c r="G25" s="111"/>
      <c r="H25" s="39"/>
      <c r="I25" s="39"/>
      <c r="J25" s="39"/>
    </row>
    <row r="26" spans="1:10" s="375" customFormat="1">
      <c r="A26" s="62" t="s">
        <v>335</v>
      </c>
      <c r="B26" s="445"/>
      <c r="C26" s="1245" t="s">
        <v>339</v>
      </c>
      <c r="D26" s="62"/>
      <c r="E26" s="111"/>
      <c r="F26" s="450"/>
      <c r="G26" s="111"/>
      <c r="H26" s="39"/>
      <c r="I26" s="39"/>
      <c r="J26" s="39"/>
    </row>
    <row r="27" spans="1:10" s="375" customFormat="1">
      <c r="A27" s="63"/>
      <c r="B27" s="64"/>
      <c r="C27" s="1245"/>
      <c r="D27" s="457">
        <v>942970</v>
      </c>
      <c r="E27" s="261">
        <v>18132</v>
      </c>
      <c r="F27" s="451">
        <f>D27</f>
        <v>942970</v>
      </c>
      <c r="G27" s="400">
        <f>F27/E27</f>
        <v>52.005846018089564</v>
      </c>
      <c r="H27" s="39"/>
      <c r="I27" s="39"/>
      <c r="J27" s="39"/>
    </row>
    <row r="28" spans="1:10" s="375" customFormat="1" ht="13.8" thickBot="1">
      <c r="A28" s="446"/>
      <c r="B28" s="118"/>
      <c r="C28" s="67"/>
      <c r="D28" s="141">
        <f>D27</f>
        <v>942970</v>
      </c>
      <c r="E28" s="458">
        <f>E27</f>
        <v>18132</v>
      </c>
      <c r="F28" s="452">
        <f>F27</f>
        <v>942970</v>
      </c>
      <c r="G28" s="447">
        <f>F28/E28</f>
        <v>52.005846018089564</v>
      </c>
      <c r="H28" s="39"/>
      <c r="I28" s="39"/>
      <c r="J28" s="39"/>
    </row>
    <row r="29" spans="1:10" s="375" customFormat="1" ht="4.2" customHeight="1">
      <c r="A29" s="63"/>
      <c r="B29" s="73"/>
      <c r="C29" s="64"/>
      <c r="D29" s="63"/>
      <c r="E29" s="111"/>
      <c r="F29" s="450"/>
      <c r="G29" s="111"/>
      <c r="H29" s="39"/>
      <c r="I29" s="39"/>
      <c r="J29" s="39"/>
    </row>
    <row r="30" spans="1:10" s="375" customFormat="1">
      <c r="A30" s="62" t="s">
        <v>336</v>
      </c>
      <c r="B30" s="445"/>
      <c r="C30" s="1245" t="s">
        <v>50</v>
      </c>
      <c r="D30" s="62"/>
      <c r="E30" s="111"/>
      <c r="F30" s="450"/>
      <c r="G30" s="111"/>
      <c r="H30" s="39"/>
      <c r="I30" s="39"/>
      <c r="J30" s="39"/>
    </row>
    <row r="31" spans="1:10" s="375" customFormat="1">
      <c r="A31" s="63"/>
      <c r="B31" s="64"/>
      <c r="C31" s="1245"/>
      <c r="D31" s="457">
        <v>1921350</v>
      </c>
      <c r="E31" s="261">
        <v>25616</v>
      </c>
      <c r="F31" s="451">
        <f>D31</f>
        <v>1921350</v>
      </c>
      <c r="G31" s="400">
        <f>F31/E31</f>
        <v>75.005855715178015</v>
      </c>
      <c r="H31" s="39"/>
      <c r="I31" s="39"/>
      <c r="J31" s="39"/>
    </row>
    <row r="32" spans="1:10" s="375" customFormat="1" ht="13.8" thickBot="1">
      <c r="A32" s="446"/>
      <c r="B32" s="118"/>
      <c r="C32" s="67"/>
      <c r="D32" s="141">
        <f>D31</f>
        <v>1921350</v>
      </c>
      <c r="E32" s="458">
        <f>E31</f>
        <v>25616</v>
      </c>
      <c r="F32" s="452">
        <f>F31</f>
        <v>1921350</v>
      </c>
      <c r="G32" s="447">
        <f>F32/E32</f>
        <v>75.005855715178015</v>
      </c>
      <c r="H32" s="39"/>
      <c r="I32" s="39"/>
      <c r="J32" s="39"/>
    </row>
    <row r="33" spans="1:7" ht="4.2" customHeight="1">
      <c r="A33" s="63"/>
      <c r="B33" s="73"/>
      <c r="C33" s="64"/>
      <c r="D33" s="63"/>
      <c r="E33" s="111"/>
      <c r="F33" s="450"/>
      <c r="G33" s="111"/>
    </row>
    <row r="34" spans="1:7">
      <c r="A34" s="62" t="s">
        <v>335</v>
      </c>
      <c r="B34" s="445"/>
      <c r="C34" s="1245" t="s">
        <v>340</v>
      </c>
      <c r="D34" s="62"/>
      <c r="E34" s="111"/>
      <c r="F34" s="450"/>
      <c r="G34" s="111"/>
    </row>
    <row r="35" spans="1:7">
      <c r="A35" s="63"/>
      <c r="B35" s="64"/>
      <c r="C35" s="1245"/>
      <c r="D35" s="457">
        <v>3999860</v>
      </c>
      <c r="E35" s="261">
        <v>18132</v>
      </c>
      <c r="F35" s="451">
        <f>D35</f>
        <v>3999860</v>
      </c>
      <c r="G35" s="400">
        <f>F35/E35</f>
        <v>220.59673505404808</v>
      </c>
    </row>
    <row r="36" spans="1:7" ht="13.8" thickBot="1">
      <c r="A36" s="899" t="s">
        <v>489</v>
      </c>
      <c r="B36" s="73"/>
      <c r="C36" s="64"/>
      <c r="D36" s="900">
        <f>D35</f>
        <v>3999860</v>
      </c>
      <c r="E36" s="901">
        <f>E35</f>
        <v>18132</v>
      </c>
      <c r="F36" s="902">
        <f>F35</f>
        <v>3999860</v>
      </c>
      <c r="G36" s="903">
        <f>F36/E36</f>
        <v>220.59673505404808</v>
      </c>
    </row>
    <row r="37" spans="1:7" ht="4.2" customHeight="1">
      <c r="A37" s="448"/>
      <c r="B37" s="302"/>
      <c r="C37" s="190"/>
      <c r="D37" s="456"/>
      <c r="E37" s="459"/>
      <c r="F37" s="453"/>
      <c r="G37" s="449"/>
    </row>
    <row r="38" spans="1:7">
      <c r="A38" s="62" t="s">
        <v>365</v>
      </c>
      <c r="B38" s="445"/>
      <c r="C38" s="1245" t="s">
        <v>50</v>
      </c>
      <c r="D38" s="62"/>
      <c r="E38" s="111"/>
      <c r="F38" s="450"/>
      <c r="G38" s="111"/>
    </row>
    <row r="39" spans="1:7">
      <c r="A39" s="63"/>
      <c r="B39" s="64"/>
      <c r="C39" s="1245"/>
      <c r="D39" s="457">
        <f>E39*G39</f>
        <v>5969681.4000000004</v>
      </c>
      <c r="E39" s="261">
        <v>231383</v>
      </c>
      <c r="F39" s="451">
        <f>D39</f>
        <v>5969681.4000000004</v>
      </c>
      <c r="G39" s="400">
        <f>25.8</f>
        <v>25.8</v>
      </c>
    </row>
    <row r="40" spans="1:7" ht="13.8" thickBot="1">
      <c r="A40" s="446" t="s">
        <v>366</v>
      </c>
      <c r="B40" s="118"/>
      <c r="C40" s="67"/>
      <c r="D40" s="141">
        <f>D39</f>
        <v>5969681.4000000004</v>
      </c>
      <c r="E40" s="458">
        <f>E39</f>
        <v>231383</v>
      </c>
      <c r="F40" s="452">
        <f>F39</f>
        <v>5969681.4000000004</v>
      </c>
      <c r="G40" s="447">
        <f>G39</f>
        <v>25.8</v>
      </c>
    </row>
    <row r="41" spans="1:7">
      <c r="A41" s="899"/>
      <c r="B41" s="73"/>
      <c r="C41" s="73"/>
      <c r="D41" s="900"/>
      <c r="E41" s="901"/>
      <c r="F41" s="902"/>
      <c r="G41" s="903"/>
    </row>
    <row r="42" spans="1:7" ht="13.8" thickBot="1">
      <c r="A42" s="446" t="s">
        <v>182</v>
      </c>
      <c r="B42" s="118"/>
      <c r="C42" s="118"/>
      <c r="D42" s="141">
        <f>SUM(D8,D12,D16,D20,D24,D28,D32,D36,D40)</f>
        <v>33075013.159999996</v>
      </c>
      <c r="E42" s="458">
        <f>SUM(E8,E12,E16,E20,E24,E28,E32,E36,E40)</f>
        <v>1131449</v>
      </c>
      <c r="F42" s="452">
        <f>SUM(F8,F12,F16,F20,F24,F28,F32,F36,F40)</f>
        <v>33075013.159999996</v>
      </c>
      <c r="G42" s="447">
        <f>F42/E42</f>
        <v>29.23243836885268</v>
      </c>
    </row>
    <row r="45" spans="1:7">
      <c r="A45" s="73"/>
      <c r="B45" s="73"/>
      <c r="C45" s="73"/>
      <c r="D45" s="73"/>
      <c r="E45" s="73"/>
      <c r="F45" s="73"/>
    </row>
    <row r="46" spans="1:7">
      <c r="A46" s="1055"/>
      <c r="B46" s="1055"/>
      <c r="C46" s="1055"/>
      <c r="D46" s="73"/>
      <c r="E46" s="73"/>
      <c r="F46" s="73"/>
    </row>
    <row r="47" spans="1:7">
      <c r="A47" s="73"/>
      <c r="B47" s="73"/>
      <c r="C47" s="1056"/>
      <c r="D47" s="73"/>
      <c r="E47" s="332"/>
      <c r="F47" s="73"/>
    </row>
    <row r="48" spans="1:7">
      <c r="A48" s="73"/>
      <c r="B48" s="73"/>
      <c r="C48" s="1057"/>
      <c r="D48" s="73"/>
      <c r="E48" s="73"/>
      <c r="F48" s="73"/>
    </row>
    <row r="49" spans="1:6">
      <c r="A49" s="73"/>
      <c r="B49" s="73"/>
      <c r="C49" s="1058"/>
      <c r="D49" s="73"/>
      <c r="E49" s="73"/>
      <c r="F49" s="73"/>
    </row>
    <row r="50" spans="1:6">
      <c r="A50" s="73"/>
      <c r="B50" s="73"/>
      <c r="C50" s="1059"/>
      <c r="D50" s="73"/>
      <c r="E50" s="73"/>
      <c r="F50" s="73"/>
    </row>
  </sheetData>
  <mergeCells count="11">
    <mergeCell ref="C38:C39"/>
    <mergeCell ref="C22:C23"/>
    <mergeCell ref="C26:C27"/>
    <mergeCell ref="C30:C31"/>
    <mergeCell ref="C34:C35"/>
    <mergeCell ref="C18:C19"/>
    <mergeCell ref="C3:C4"/>
    <mergeCell ref="A3:A4"/>
    <mergeCell ref="C6:C7"/>
    <mergeCell ref="C10:C11"/>
    <mergeCell ref="C14:C15"/>
  </mergeCells>
  <printOptions horizontalCentered="1"/>
  <pageMargins left="0.45" right="0.45" top="0.5" bottom="0.5" header="0.3" footer="0.3"/>
  <pageSetup scale="67" fitToHeight="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4985F-D805-4228-B6F3-FC32AB78A53E}">
  <dimension ref="A1:P36"/>
  <sheetViews>
    <sheetView zoomScale="90" zoomScaleNormal="90" workbookViewId="0">
      <selection activeCell="Q35" sqref="Q35"/>
    </sheetView>
  </sheetViews>
  <sheetFormatPr defaultRowHeight="13.2"/>
  <sheetData>
    <row r="1" spans="1:16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6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6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6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6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1:16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16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1:16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6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6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1:16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 t="s">
        <v>419</v>
      </c>
      <c r="N25" s="39"/>
      <c r="O25" s="38"/>
      <c r="P25" s="38"/>
    </row>
    <row r="26" spans="1:16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9" t="s">
        <v>420</v>
      </c>
      <c r="N26" s="38"/>
      <c r="O26" s="38"/>
      <c r="P26" s="38"/>
    </row>
    <row r="27" spans="1:16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6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16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6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6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16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6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57"/>
  <sheetViews>
    <sheetView showGridLines="0" tabSelected="1" view="pageLayout" topLeftCell="A59" zoomScale="60" zoomScaleNormal="80" zoomScalePageLayoutView="60" workbookViewId="0">
      <selection activeCell="I87" sqref="I87:N88"/>
    </sheetView>
  </sheetViews>
  <sheetFormatPr defaultColWidth="9.109375" defaultRowHeight="15"/>
  <cols>
    <col min="1" max="1" width="19.33203125" style="21" customWidth="1"/>
    <col min="2" max="2" width="33.88671875" style="21" customWidth="1"/>
    <col min="3" max="3" width="21.88671875" style="21" customWidth="1"/>
    <col min="4" max="4" width="20.5546875" style="12" customWidth="1"/>
    <col min="5" max="5" width="20.5546875" style="21" customWidth="1"/>
    <col min="6" max="6" width="22.6640625" style="21" bestFit="1" customWidth="1"/>
    <col min="7" max="11" width="20.5546875" style="21" customWidth="1"/>
    <col min="12" max="12" width="21" style="21" customWidth="1"/>
    <col min="13" max="13" width="21.5546875" style="21" customWidth="1"/>
    <col min="14" max="14" width="27" style="21" customWidth="1"/>
    <col min="15" max="15" width="16.33203125" style="21" bestFit="1" customWidth="1"/>
    <col min="16" max="16" width="19.33203125" style="21" customWidth="1"/>
    <col min="17" max="16384" width="9.109375" style="21"/>
  </cols>
  <sheetData>
    <row r="1" spans="1:14" ht="18" thickBot="1">
      <c r="A1" s="1188" t="s">
        <v>62</v>
      </c>
      <c r="B1" s="1189"/>
      <c r="C1" s="1189"/>
      <c r="D1" s="1189"/>
      <c r="E1" s="1190"/>
      <c r="F1" s="1190"/>
      <c r="G1" s="1190"/>
      <c r="H1" s="1190"/>
      <c r="I1" s="1190"/>
      <c r="J1" s="1190"/>
      <c r="K1" s="1190"/>
      <c r="L1" s="1190"/>
      <c r="M1" s="1190"/>
      <c r="N1" s="1191"/>
    </row>
    <row r="2" spans="1:14" ht="16.2" thickBot="1">
      <c r="A2" s="656"/>
      <c r="B2" s="657"/>
      <c r="C2" s="657"/>
      <c r="D2" s="1117" t="s">
        <v>57</v>
      </c>
      <c r="E2" s="1209" t="s">
        <v>36</v>
      </c>
      <c r="F2" s="1209"/>
      <c r="G2" s="1201" t="s">
        <v>78</v>
      </c>
      <c r="H2" s="1202"/>
      <c r="I2" s="1202"/>
      <c r="J2" s="1203"/>
      <c r="K2" s="1204" t="s">
        <v>79</v>
      </c>
      <c r="L2" s="1205"/>
      <c r="M2" s="1205"/>
      <c r="N2" s="1206"/>
    </row>
    <row r="3" spans="1:14" ht="16.2" thickBot="1">
      <c r="A3" s="1116"/>
      <c r="B3" s="19"/>
      <c r="C3" s="19"/>
      <c r="D3" s="1118" t="s">
        <v>337</v>
      </c>
      <c r="E3" s="6">
        <v>2021</v>
      </c>
      <c r="F3" s="6">
        <f>E3+1</f>
        <v>2022</v>
      </c>
      <c r="G3" s="34">
        <f t="shared" ref="G3:L3" si="0">F3+1</f>
        <v>2023</v>
      </c>
      <c r="H3" s="6">
        <f t="shared" si="0"/>
        <v>2024</v>
      </c>
      <c r="I3" s="6">
        <f t="shared" si="0"/>
        <v>2025</v>
      </c>
      <c r="J3" s="7">
        <f t="shared" si="0"/>
        <v>2026</v>
      </c>
      <c r="K3" s="6">
        <f t="shared" si="0"/>
        <v>2027</v>
      </c>
      <c r="L3" s="6">
        <f t="shared" si="0"/>
        <v>2028</v>
      </c>
      <c r="M3" s="6">
        <f>L3+1</f>
        <v>2029</v>
      </c>
      <c r="N3" s="7">
        <f>M3+1</f>
        <v>2030</v>
      </c>
    </row>
    <row r="4" spans="1:14" ht="16.2" thickBot="1">
      <c r="A4" s="28" t="s">
        <v>0</v>
      </c>
      <c r="B4" s="29"/>
      <c r="C4" s="29"/>
      <c r="D4" s="17"/>
      <c r="E4" s="422"/>
      <c r="F4" s="18"/>
      <c r="G4" s="422"/>
      <c r="H4" s="18"/>
      <c r="I4" s="18"/>
      <c r="J4" s="24"/>
      <c r="K4" s="18"/>
      <c r="L4" s="18"/>
      <c r="M4" s="18"/>
      <c r="N4" s="24"/>
    </row>
    <row r="5" spans="1:14">
      <c r="A5" s="575" t="s">
        <v>63</v>
      </c>
      <c r="B5" s="604"/>
      <c r="C5" s="604"/>
      <c r="D5" s="634">
        <f>'2.Market-Rate Rental Housing'!C60</f>
        <v>0</v>
      </c>
      <c r="E5" s="876">
        <f>'2.Market-Rate Rental Housing'!D60</f>
        <v>0</v>
      </c>
      <c r="F5" s="1134">
        <f>'2.Market-Rate Rental Housing'!E60</f>
        <v>1010570.904</v>
      </c>
      <c r="G5" s="643">
        <f>'2.Market-Rate Rental Housing'!F60</f>
        <v>2602220.0778000001</v>
      </c>
      <c r="H5" s="643">
        <f>'2.Market-Rate Rental Housing'!G60</f>
        <v>3931087.1308632004</v>
      </c>
      <c r="I5" s="643">
        <f>'2.Market-Rate Rental Housing'!H60</f>
        <v>5419142.5877227793</v>
      </c>
      <c r="J5" s="643">
        <f>'2.Market-Rate Rental Housing'!I60</f>
        <v>6613807.9083822686</v>
      </c>
      <c r="K5" s="876">
        <f>'2.Market-Rate Rental Housing'!J60</f>
        <v>7072561.8454668745</v>
      </c>
      <c r="L5" s="1137">
        <f>'2.Market-Rate Rental Housing'!K60</f>
        <v>7284738.7008308787</v>
      </c>
      <c r="M5" s="1137">
        <f>'2.Market-Rate Rental Housing'!L60</f>
        <v>7503280.8618558068</v>
      </c>
      <c r="N5" s="1134">
        <f>'2.Market-Rate Rental Housing'!M60</f>
        <v>7728379.2877114806</v>
      </c>
    </row>
    <row r="6" spans="1:14">
      <c r="A6" s="575" t="s">
        <v>64</v>
      </c>
      <c r="B6" s="604"/>
      <c r="C6" s="604"/>
      <c r="D6" s="637">
        <f>'3.Market-Rate For-Sale Housing'!C27</f>
        <v>0</v>
      </c>
      <c r="E6" s="644">
        <f>'3.Market-Rate For-Sale Housing'!D27</f>
        <v>0</v>
      </c>
      <c r="F6" s="645">
        <f>'3.Market-Rate For-Sale Housing'!E27</f>
        <v>0</v>
      </c>
      <c r="G6" s="637">
        <f>'3.Market-Rate For-Sale Housing'!F27</f>
        <v>0</v>
      </c>
      <c r="H6" s="637">
        <f>'3.Market-Rate For-Sale Housing'!G27</f>
        <v>0</v>
      </c>
      <c r="I6" s="637">
        <f>'3.Market-Rate For-Sale Housing'!H27</f>
        <v>10321278.572554559</v>
      </c>
      <c r="J6" s="637">
        <f>'3.Market-Rate For-Sale Housing'!I27</f>
        <v>15194239.668830849</v>
      </c>
      <c r="K6" s="644">
        <f>'3.Market-Rate For-Sale Housing'!J27</f>
        <v>19938127.686515551</v>
      </c>
      <c r="L6" s="637">
        <f>'3.Market-Rate For-Sale Housing'!K27</f>
        <v>0</v>
      </c>
      <c r="M6" s="637">
        <f>'3.Market-Rate For-Sale Housing'!L27</f>
        <v>0</v>
      </c>
      <c r="N6" s="645">
        <f>'3.Market-Rate For-Sale Housing'!M27</f>
        <v>0</v>
      </c>
    </row>
    <row r="7" spans="1:14">
      <c r="A7" s="575" t="s">
        <v>65</v>
      </c>
      <c r="B7" s="604"/>
      <c r="C7" s="604"/>
      <c r="D7" s="637">
        <f>'4.Affordable Rental Housing'!C28</f>
        <v>0</v>
      </c>
      <c r="E7" s="565">
        <f>'4.Affordable Rental Housing'!D28</f>
        <v>575769.59999999998</v>
      </c>
      <c r="F7" s="623">
        <f>'4.Affordable Rental Housing'!E28</f>
        <v>1478699.7120000003</v>
      </c>
      <c r="G7" s="638">
        <f>'4.Affordable Rental Housing'!F28</f>
        <v>2011031.6083200001</v>
      </c>
      <c r="H7" s="638">
        <f>'4.Affordable Rental Housing'!G28</f>
        <v>2051252.2404864002</v>
      </c>
      <c r="I7" s="638">
        <f>'4.Affordable Rental Housing'!H28</f>
        <v>2403893.0511912955</v>
      </c>
      <c r="J7" s="638">
        <f>'4.Affordable Rental Housing'!I28</f>
        <v>2928743.034034729</v>
      </c>
      <c r="K7" s="565">
        <f>'4.Affordable Rental Housing'!J28</f>
        <v>3253629.1799032325</v>
      </c>
      <c r="L7" s="638">
        <f>'4.Affordable Rental Housing'!K28</f>
        <v>3318701.7635012977</v>
      </c>
      <c r="M7" s="638">
        <f>'4.Affordable Rental Housing'!L28</f>
        <v>3385075.7987713227</v>
      </c>
      <c r="N7" s="623">
        <f>'4.Affordable Rental Housing'!M28</f>
        <v>3452777.3147467496</v>
      </c>
    </row>
    <row r="8" spans="1:14">
      <c r="A8" s="575" t="s">
        <v>301</v>
      </c>
      <c r="B8" s="604"/>
      <c r="C8" s="604"/>
      <c r="D8" s="637">
        <f>'5.Affordable For-Sale Housing '!C19</f>
        <v>0</v>
      </c>
      <c r="E8" s="565">
        <f>'5.Affordable For-Sale Housing '!D19</f>
        <v>0</v>
      </c>
      <c r="F8" s="623">
        <f>'5.Affordable For-Sale Housing '!E19</f>
        <v>0</v>
      </c>
      <c r="G8" s="638">
        <f>'5.Affordable For-Sale Housing '!F19</f>
        <v>0</v>
      </c>
      <c r="H8" s="638">
        <f>'5.Affordable For-Sale Housing '!G19</f>
        <v>0</v>
      </c>
      <c r="I8" s="638">
        <f>'5.Affordable For-Sale Housing '!H19</f>
        <v>0</v>
      </c>
      <c r="J8" s="638">
        <f>'5.Affordable For-Sale Housing '!I19</f>
        <v>2167924.5960162599</v>
      </c>
      <c r="K8" s="565">
        <f>'5.Affordable For-Sale Housing '!J19</f>
        <v>2211283.0879365844</v>
      </c>
      <c r="L8" s="638">
        <f>'5.Affordable For-Sale Housing '!K19</f>
        <v>2255508.7496953164</v>
      </c>
      <c r="M8" s="638">
        <f>'5.Affordable For-Sale Housing '!L19</f>
        <v>0</v>
      </c>
      <c r="N8" s="623">
        <f>'5.Affordable For-Sale Housing '!M19</f>
        <v>0</v>
      </c>
    </row>
    <row r="9" spans="1:14">
      <c r="A9" s="575" t="s">
        <v>66</v>
      </c>
      <c r="B9" s="604"/>
      <c r="C9" s="604"/>
      <c r="D9" s="637">
        <f>'6.Office'!C29</f>
        <v>0</v>
      </c>
      <c r="E9" s="565">
        <f>'6.Office'!D29</f>
        <v>499343.0399999998</v>
      </c>
      <c r="F9" s="623">
        <f>'6.Office'!E29</f>
        <v>4705666.2994968006</v>
      </c>
      <c r="G9" s="638">
        <f>'6.Office'!F29</f>
        <v>5468926.6076635858</v>
      </c>
      <c r="H9" s="638">
        <f>'6.Office'!G29</f>
        <v>5578305.1398168588</v>
      </c>
      <c r="I9" s="638">
        <f>'6.Office'!H29</f>
        <v>5689871.2426131973</v>
      </c>
      <c r="J9" s="638">
        <f>'6.Office'!I29</f>
        <v>5803668.6674654614</v>
      </c>
      <c r="K9" s="565">
        <f>'6.Office'!J29</f>
        <v>5919742.0408147685</v>
      </c>
      <c r="L9" s="638">
        <f>'6.Office'!K29</f>
        <v>6038136.8816310642</v>
      </c>
      <c r="M9" s="638">
        <f>'6.Office'!L29</f>
        <v>6158899.6192636862</v>
      </c>
      <c r="N9" s="623">
        <f>'6.Office'!M29</f>
        <v>6282077.611648961</v>
      </c>
    </row>
    <row r="10" spans="1:14">
      <c r="A10" s="575" t="s">
        <v>306</v>
      </c>
      <c r="B10" s="604"/>
      <c r="C10" s="604"/>
      <c r="D10" s="637">
        <f>'7.Industrial (Brewery)'!C20</f>
        <v>0</v>
      </c>
      <c r="E10" s="565">
        <f>'7.Industrial (Brewery)'!D20</f>
        <v>0</v>
      </c>
      <c r="F10" s="623">
        <f>'7.Industrial (Brewery)'!E20</f>
        <v>0</v>
      </c>
      <c r="G10" s="638">
        <f>'7.Industrial (Brewery)'!F20</f>
        <v>1563020.8326835199</v>
      </c>
      <c r="H10" s="638">
        <f>'7.Industrial (Brewery)'!G20</f>
        <v>1594281.2493371905</v>
      </c>
      <c r="I10" s="638">
        <f>'7.Industrial (Brewery)'!H20</f>
        <v>1626166.8743239343</v>
      </c>
      <c r="J10" s="638">
        <f>'7.Industrial (Brewery)'!I20</f>
        <v>1658690.2118104133</v>
      </c>
      <c r="K10" s="565">
        <f>'7.Industrial (Brewery)'!J20</f>
        <v>1691864.0160466209</v>
      </c>
      <c r="L10" s="638">
        <f>'7.Industrial (Brewery)'!K20</f>
        <v>1725701.2963675535</v>
      </c>
      <c r="M10" s="638">
        <f>'7.Industrial (Brewery)'!L20</f>
        <v>1760215.3222949046</v>
      </c>
      <c r="N10" s="623">
        <f>'7.Industrial (Brewery)'!M20</f>
        <v>1795419.6287408026</v>
      </c>
    </row>
    <row r="11" spans="1:14">
      <c r="A11" s="575" t="s">
        <v>67</v>
      </c>
      <c r="B11" s="604"/>
      <c r="C11" s="604"/>
      <c r="D11" s="637">
        <f>'8.Market-Rate Retail'!C83</f>
        <v>0</v>
      </c>
      <c r="E11" s="565">
        <f>'8.Market-Rate Retail'!D83</f>
        <v>662796</v>
      </c>
      <c r="F11" s="623">
        <f>'8.Market-Rate Retail'!E83</f>
        <v>1780299.8166419999</v>
      </c>
      <c r="G11" s="638">
        <f>'8.Market-Rate Retail'!F83</f>
        <v>3822917.0528804362</v>
      </c>
      <c r="H11" s="638">
        <f>'8.Market-Rate Retail'!G83</f>
        <v>5527172.8832518468</v>
      </c>
      <c r="I11" s="638">
        <f>'8.Market-Rate Retail'!H83</f>
        <v>7425902.9761425778</v>
      </c>
      <c r="J11" s="638">
        <f>'8.Market-Rate Retail'!I83</f>
        <v>7990168.8344189161</v>
      </c>
      <c r="K11" s="565">
        <f>'8.Market-Rate Retail'!J83</f>
        <v>8149972.2111072922</v>
      </c>
      <c r="L11" s="638">
        <f>'8.Market-Rate Retail'!K83</f>
        <v>8312971.6553294407</v>
      </c>
      <c r="M11" s="638">
        <f>'8.Market-Rate Retail'!L83</f>
        <v>8479231.0884360261</v>
      </c>
      <c r="N11" s="623">
        <f>'8.Market-Rate Retail'!M83</f>
        <v>8648815.7102047484</v>
      </c>
    </row>
    <row r="12" spans="1:14">
      <c r="A12" s="575" t="s">
        <v>48</v>
      </c>
      <c r="B12" s="604"/>
      <c r="C12" s="604"/>
      <c r="D12" s="637">
        <f>'9.Hotel'!C15</f>
        <v>0</v>
      </c>
      <c r="E12" s="565">
        <f>'9.Hotel'!D15</f>
        <v>0</v>
      </c>
      <c r="F12" s="623">
        <f>'9.Hotel'!E15</f>
        <v>0</v>
      </c>
      <c r="G12" s="638">
        <f>'9.Hotel'!F15</f>
        <v>2082072.9242396159</v>
      </c>
      <c r="H12" s="638">
        <f>'9.Hotel'!G15</f>
        <v>6371143.1481732242</v>
      </c>
      <c r="I12" s="638">
        <f>'9.Hotel'!H15</f>
        <v>6498566.0111366883</v>
      </c>
      <c r="J12" s="638">
        <f>'9.Hotel'!I15</f>
        <v>6628537.3313594218</v>
      </c>
      <c r="K12" s="565">
        <f>'9.Hotel'!J15</f>
        <v>6761108.0779866092</v>
      </c>
      <c r="L12" s="638">
        <f>'9.Hotel'!K15</f>
        <v>6896330.2395463418</v>
      </c>
      <c r="M12" s="638">
        <f>'9.Hotel'!L15</f>
        <v>7034256.8443372697</v>
      </c>
      <c r="N12" s="623">
        <f>'9.Hotel'!M15</f>
        <v>7174941.9812240154</v>
      </c>
    </row>
    <row r="13" spans="1:14" ht="13.8" customHeight="1">
      <c r="A13" s="575" t="s">
        <v>284</v>
      </c>
      <c r="B13" s="604"/>
      <c r="C13" s="604"/>
      <c r="D13" s="637">
        <f>'10.Structured Parking'!C47</f>
        <v>0</v>
      </c>
      <c r="E13" s="565">
        <f>'10.Structured Parking'!D47</f>
        <v>0</v>
      </c>
      <c r="F13" s="623">
        <f>'10.Structured Parking'!E47</f>
        <v>11238810.301440002</v>
      </c>
      <c r="G13" s="638">
        <f>'10.Structured Parking'!F47</f>
        <v>24954426.843022078</v>
      </c>
      <c r="H13" s="638">
        <f>'10.Structured Parking'!G47</f>
        <v>25453515.379882526</v>
      </c>
      <c r="I13" s="638">
        <f>'10.Structured Parking'!H47</f>
        <v>26087514.638523854</v>
      </c>
      <c r="J13" s="638">
        <f>'10.Structured Parking'!I47</f>
        <v>26609264.931294337</v>
      </c>
      <c r="K13" s="565">
        <f>'10.Structured Parking'!J47</f>
        <v>27141450.22992022</v>
      </c>
      <c r="L13" s="638">
        <f>'10.Structured Parking'!K47</f>
        <v>27684279.234518629</v>
      </c>
      <c r="M13" s="638">
        <f>'10.Structured Parking'!L47</f>
        <v>28237964.819208998</v>
      </c>
      <c r="N13" s="623">
        <f>'10.Structured Parking'!M47</f>
        <v>28802724.11559318</v>
      </c>
    </row>
    <row r="14" spans="1:14" ht="13.8" customHeight="1">
      <c r="A14" s="575" t="s">
        <v>472</v>
      </c>
      <c r="B14" s="604"/>
      <c r="C14" s="604"/>
      <c r="D14" s="637">
        <f>'11. Solar Energy'!C26</f>
        <v>0</v>
      </c>
      <c r="E14" s="644">
        <f>'11. Solar Energy'!D26</f>
        <v>0</v>
      </c>
      <c r="F14" s="645">
        <f>'11. Solar Energy'!E26</f>
        <v>79897.218884999995</v>
      </c>
      <c r="G14" s="637">
        <f>'11. Solar Energy'!F26</f>
        <v>210196.28341421997</v>
      </c>
      <c r="H14" s="637">
        <f>'11. Solar Energy'!G26</f>
        <v>511911.55920322443</v>
      </c>
      <c r="I14" s="637">
        <f>'11. Solar Energy'!H26</f>
        <v>818501.34935700591</v>
      </c>
      <c r="J14" s="637">
        <f>'11. Solar Energy'!I26</f>
        <v>1144507.340425642</v>
      </c>
      <c r="K14" s="644">
        <f>'11. Solar Energy'!J26</f>
        <v>1167397.4872341545</v>
      </c>
      <c r="L14" s="637">
        <f>'11. Solar Energy'!K26</f>
        <v>1190745.4369788379</v>
      </c>
      <c r="M14" s="637">
        <f>'11. Solar Energy'!L26</f>
        <v>1214560.3457184143</v>
      </c>
      <c r="N14" s="645">
        <f>'11. Solar Energy'!M26</f>
        <v>1238851.5526327828</v>
      </c>
    </row>
    <row r="15" spans="1:14" ht="16.2" thickBot="1">
      <c r="A15" s="568" t="s">
        <v>1</v>
      </c>
      <c r="B15" s="569"/>
      <c r="C15" s="569"/>
      <c r="D15" s="646">
        <f>SUM(D5:D14)</f>
        <v>0</v>
      </c>
      <c r="E15" s="1135">
        <f t="shared" ref="E15:N15" si="1">SUM(E5:E14)</f>
        <v>1737908.6399999997</v>
      </c>
      <c r="F15" s="1136">
        <f t="shared" si="1"/>
        <v>20293944.252463806</v>
      </c>
      <c r="G15" s="646">
        <f t="shared" si="1"/>
        <v>42714812.230023459</v>
      </c>
      <c r="H15" s="646">
        <f t="shared" si="1"/>
        <v>51018668.731014475</v>
      </c>
      <c r="I15" s="646">
        <f t="shared" si="1"/>
        <v>66290837.303565897</v>
      </c>
      <c r="J15" s="646">
        <f t="shared" si="1"/>
        <v>76739552.524038285</v>
      </c>
      <c r="K15" s="1135">
        <f t="shared" si="1"/>
        <v>83307135.862931922</v>
      </c>
      <c r="L15" s="646">
        <f t="shared" si="1"/>
        <v>64707113.958399363</v>
      </c>
      <c r="M15" s="646">
        <f t="shared" si="1"/>
        <v>63773484.699886426</v>
      </c>
      <c r="N15" s="1136">
        <f t="shared" si="1"/>
        <v>65123987.202502728</v>
      </c>
    </row>
    <row r="16" spans="1:14" ht="16.2" thickBot="1">
      <c r="A16" s="28" t="s">
        <v>2</v>
      </c>
      <c r="B16" s="29"/>
      <c r="C16" s="29"/>
      <c r="D16" s="17"/>
      <c r="E16" s="422"/>
      <c r="F16" s="18"/>
      <c r="G16" s="422"/>
      <c r="H16" s="18"/>
      <c r="I16" s="18"/>
      <c r="J16" s="24"/>
      <c r="K16" s="18"/>
      <c r="L16" s="18"/>
      <c r="M16" s="18"/>
      <c r="N16" s="24"/>
    </row>
    <row r="17" spans="1:16">
      <c r="A17" s="575" t="s">
        <v>63</v>
      </c>
      <c r="B17" s="604"/>
      <c r="C17" s="604"/>
      <c r="D17" s="634">
        <f>'2.Market-Rate Rental Housing'!C66</f>
        <v>0</v>
      </c>
      <c r="E17" s="635">
        <f>'2.Market-Rate Rental Housing'!D66</f>
        <v>8810208</v>
      </c>
      <c r="F17" s="634">
        <f>'2.Market-Rate Rental Housing'!E66</f>
        <v>18149028.48</v>
      </c>
      <c r="G17" s="635">
        <f>'2.Market-Rate Rental Housing'!F66</f>
        <v>0</v>
      </c>
      <c r="H17" s="634">
        <f>'2.Market-Rate Rental Housing'!G66</f>
        <v>18387860.620282557</v>
      </c>
      <c r="I17" s="634">
        <f>'2.Market-Rate Rental Housing'!H66</f>
        <v>10907563.394125728</v>
      </c>
      <c r="J17" s="636">
        <f>'2.Market-Rate Rental Housing'!I66</f>
        <v>0</v>
      </c>
      <c r="K17" s="634">
        <f>'2.Market-Rate Rental Housing'!J66</f>
        <v>0</v>
      </c>
      <c r="L17" s="634">
        <f>'2.Market-Rate Rental Housing'!K66</f>
        <v>0</v>
      </c>
      <c r="M17" s="634">
        <f>'2.Market-Rate Rental Housing'!L66</f>
        <v>0</v>
      </c>
      <c r="N17" s="636">
        <f>'2.Market-Rate Rental Housing'!M66</f>
        <v>0</v>
      </c>
    </row>
    <row r="18" spans="1:16">
      <c r="A18" s="575" t="s">
        <v>64</v>
      </c>
      <c r="B18" s="604"/>
      <c r="C18" s="604"/>
      <c r="D18" s="637">
        <f>'3.Market-Rate For-Sale Housing'!C33</f>
        <v>0</v>
      </c>
      <c r="E18" s="565">
        <f>'3.Market-Rate For-Sale Housing'!D33</f>
        <v>0</v>
      </c>
      <c r="F18" s="638">
        <f>'3.Market-Rate For-Sale Housing'!E33</f>
        <v>0</v>
      </c>
      <c r="G18" s="565">
        <f>'3.Market-Rate For-Sale Housing'!F33</f>
        <v>0</v>
      </c>
      <c r="H18" s="638">
        <f>'3.Market-Rate For-Sale Housing'!G33</f>
        <v>0</v>
      </c>
      <c r="I18" s="638">
        <f>'3.Market-Rate For-Sale Housing'!H33</f>
        <v>14648484.799243467</v>
      </c>
      <c r="J18" s="623">
        <f>'3.Market-Rate For-Sale Housing'!I33</f>
        <v>17504834.403256409</v>
      </c>
      <c r="K18" s="638">
        <f>'3.Market-Rate For-Sale Housing'!J33</f>
        <v>0</v>
      </c>
      <c r="L18" s="638">
        <f>'3.Market-Rate For-Sale Housing'!K33</f>
        <v>0</v>
      </c>
      <c r="M18" s="638">
        <f>'3.Market-Rate For-Sale Housing'!L33</f>
        <v>0</v>
      </c>
      <c r="N18" s="623">
        <f>'3.Market-Rate For-Sale Housing'!M33</f>
        <v>0</v>
      </c>
    </row>
    <row r="19" spans="1:16">
      <c r="A19" s="575" t="s">
        <v>65</v>
      </c>
      <c r="B19" s="604"/>
      <c r="C19" s="604"/>
      <c r="D19" s="637">
        <f>'4.Affordable Rental Housing'!C34</f>
        <v>0</v>
      </c>
      <c r="E19" s="565">
        <f>'4.Affordable Rental Housing'!D34</f>
        <v>7270560</v>
      </c>
      <c r="F19" s="638">
        <f>'4.Affordable Rental Housing'!E34</f>
        <v>14831942.4</v>
      </c>
      <c r="G19" s="565">
        <f>'4.Affordable Rental Housing'!F34</f>
        <v>0</v>
      </c>
      <c r="H19" s="638">
        <f>'4.Affordable Rental Housing'!G34</f>
        <v>0</v>
      </c>
      <c r="I19" s="638">
        <f>'4.Affordable Rental Housing'!H34</f>
        <v>11804831.947814399</v>
      </c>
      <c r="J19" s="623">
        <f>'4.Affordable Rental Housing'!I34</f>
        <v>0</v>
      </c>
      <c r="K19" s="638">
        <f>'4.Affordable Rental Housing'!J34</f>
        <v>0</v>
      </c>
      <c r="L19" s="638">
        <f>'4.Affordable Rental Housing'!K34</f>
        <v>0</v>
      </c>
      <c r="M19" s="638">
        <f>'4.Affordable Rental Housing'!L34</f>
        <v>0</v>
      </c>
      <c r="N19" s="623">
        <f>'4.Affordable Rental Housing'!M34</f>
        <v>0</v>
      </c>
    </row>
    <row r="20" spans="1:16">
      <c r="A20" s="575" t="s">
        <v>301</v>
      </c>
      <c r="B20" s="604"/>
      <c r="C20" s="604"/>
      <c r="D20" s="637">
        <f>'5.Affordable For-Sale Housing '!C25</f>
        <v>0</v>
      </c>
      <c r="E20" s="565">
        <f>'5.Affordable For-Sale Housing '!D25</f>
        <v>0</v>
      </c>
      <c r="F20" s="638">
        <f>'5.Affordable For-Sale Housing '!E25</f>
        <v>0</v>
      </c>
      <c r="G20" s="565">
        <f>'5.Affordable For-Sale Housing '!F25</f>
        <v>0</v>
      </c>
      <c r="H20" s="638">
        <f>'5.Affordable For-Sale Housing '!G25</f>
        <v>0</v>
      </c>
      <c r="I20" s="638">
        <f>'5.Affordable For-Sale Housing '!H25</f>
        <v>0</v>
      </c>
      <c r="J20" s="623">
        <f>'5.Affordable For-Sale Housing '!I25</f>
        <v>8830014.2969651725</v>
      </c>
      <c r="K20" s="638">
        <f>'5.Affordable For-Sale Housing '!J25</f>
        <v>0</v>
      </c>
      <c r="L20" s="638">
        <f>'5.Affordable For-Sale Housing '!K25</f>
        <v>0</v>
      </c>
      <c r="M20" s="638">
        <f>'5.Affordable For-Sale Housing '!L25</f>
        <v>0</v>
      </c>
      <c r="N20" s="623">
        <f>'5.Affordable For-Sale Housing '!M25</f>
        <v>0</v>
      </c>
    </row>
    <row r="21" spans="1:16">
      <c r="A21" s="575" t="s">
        <v>66</v>
      </c>
      <c r="B21" s="604"/>
      <c r="C21" s="604"/>
      <c r="D21" s="637">
        <f>'6.Office'!C35</f>
        <v>0</v>
      </c>
      <c r="E21" s="565">
        <f>'6.Office'!D35</f>
        <v>14053902.720000001</v>
      </c>
      <c r="F21" s="638">
        <f>'6.Office'!E35</f>
        <v>35051542.099199995</v>
      </c>
      <c r="G21" s="565">
        <f>'6.Office'!F35</f>
        <v>0</v>
      </c>
      <c r="H21" s="638">
        <f>'6.Office'!G35</f>
        <v>0</v>
      </c>
      <c r="I21" s="638">
        <f>'6.Office'!H35</f>
        <v>0</v>
      </c>
      <c r="J21" s="623">
        <f>'6.Office'!I35</f>
        <v>0</v>
      </c>
      <c r="K21" s="638">
        <f>'6.Office'!J35</f>
        <v>0</v>
      </c>
      <c r="L21" s="638">
        <f>'6.Office'!K35</f>
        <v>0</v>
      </c>
      <c r="M21" s="638">
        <f>'6.Office'!L35</f>
        <v>0</v>
      </c>
      <c r="N21" s="623">
        <f>'6.Office'!M35</f>
        <v>0</v>
      </c>
    </row>
    <row r="22" spans="1:16">
      <c r="A22" s="575" t="s">
        <v>183</v>
      </c>
      <c r="B22" s="604"/>
      <c r="C22" s="604"/>
      <c r="D22" s="637">
        <f>'7.Industrial (Brewery)'!C26</f>
        <v>0</v>
      </c>
      <c r="E22" s="565">
        <f>'7.Industrial (Brewery)'!D26</f>
        <v>0</v>
      </c>
      <c r="F22" s="638">
        <f>'7.Industrial (Brewery)'!E26</f>
        <v>0</v>
      </c>
      <c r="G22" s="565">
        <f>'7.Industrial (Brewery)'!F26</f>
        <v>6054472.8397448054</v>
      </c>
      <c r="H22" s="638">
        <f>'7.Industrial (Brewery)'!G26</f>
        <v>12351124.593079403</v>
      </c>
      <c r="I22" s="638">
        <f>'7.Industrial (Brewery)'!H26</f>
        <v>0</v>
      </c>
      <c r="J22" s="623">
        <f>'7.Industrial (Brewery)'!I26</f>
        <v>0</v>
      </c>
      <c r="K22" s="638">
        <f>'7.Industrial (Brewery)'!J26</f>
        <v>0</v>
      </c>
      <c r="L22" s="638">
        <f>'7.Industrial (Brewery)'!K26</f>
        <v>0</v>
      </c>
      <c r="M22" s="638">
        <f>'7.Industrial (Brewery)'!L26</f>
        <v>0</v>
      </c>
      <c r="N22" s="623">
        <f>'7.Industrial (Brewery)'!M26</f>
        <v>0</v>
      </c>
    </row>
    <row r="23" spans="1:16">
      <c r="A23" s="575" t="s">
        <v>67</v>
      </c>
      <c r="B23" s="604"/>
      <c r="C23" s="604"/>
      <c r="D23" s="637">
        <f>'8.Market-Rate Retail'!C91</f>
        <v>0</v>
      </c>
      <c r="E23" s="565">
        <f>'8.Market-Rate Retail'!D91</f>
        <v>0</v>
      </c>
      <c r="F23" s="638">
        <f>'8.Market-Rate Retail'!E91</f>
        <v>4650088.608</v>
      </c>
      <c r="G23" s="565">
        <f>'8.Market-Rate Retail'!F91</f>
        <v>0</v>
      </c>
      <c r="H23" s="638">
        <f>'8.Market-Rate Retail'!G91</f>
        <v>0</v>
      </c>
      <c r="I23" s="638">
        <f>'8.Market-Rate Retail'!H91</f>
        <v>11336136.39788636</v>
      </c>
      <c r="J23" s="623">
        <f>'8.Market-Rate Retail'!I91</f>
        <v>8673928.1856551785</v>
      </c>
      <c r="K23" s="638">
        <f>'8.Market-Rate Retail'!J91</f>
        <v>0</v>
      </c>
      <c r="L23" s="638">
        <f>'8.Market-Rate Retail'!K91</f>
        <v>0</v>
      </c>
      <c r="M23" s="638">
        <f>'8.Market-Rate Retail'!L91</f>
        <v>0</v>
      </c>
      <c r="N23" s="623">
        <f>'8.Market-Rate Retail'!M91</f>
        <v>0</v>
      </c>
    </row>
    <row r="24" spans="1:16">
      <c r="A24" s="575" t="s">
        <v>48</v>
      </c>
      <c r="B24" s="604"/>
      <c r="C24" s="604"/>
      <c r="D24" s="637">
        <f>'9.Hotel'!C21</f>
        <v>0</v>
      </c>
      <c r="E24" s="565">
        <f>'9.Hotel'!D21</f>
        <v>0</v>
      </c>
      <c r="F24" s="638">
        <f>'9.Hotel'!E21</f>
        <v>0</v>
      </c>
      <c r="G24" s="565">
        <f>'9.Hotel'!F21</f>
        <v>19330217.837567996</v>
      </c>
      <c r="H24" s="638">
        <f>'9.Hotel'!G21</f>
        <v>39433644.388638712</v>
      </c>
      <c r="I24" s="638">
        <f>'9.Hotel'!H21</f>
        <v>0</v>
      </c>
      <c r="J24" s="623">
        <f>'9.Hotel'!I21</f>
        <v>0</v>
      </c>
      <c r="K24" s="638">
        <f>'9.Hotel'!J21</f>
        <v>0</v>
      </c>
      <c r="L24" s="638">
        <f>'9.Hotel'!K21</f>
        <v>0</v>
      </c>
      <c r="M24" s="638">
        <f>'9.Hotel'!L21</f>
        <v>0</v>
      </c>
      <c r="N24" s="623">
        <f>'9.Hotel'!M21</f>
        <v>0</v>
      </c>
    </row>
    <row r="25" spans="1:16">
      <c r="A25" s="575" t="s">
        <v>49</v>
      </c>
      <c r="B25" s="604"/>
      <c r="C25" s="604"/>
      <c r="D25" s="637">
        <f>'10.Structured Parking'!C53</f>
        <v>0</v>
      </c>
      <c r="E25" s="565">
        <f>'10.Structured Parking'!D53</f>
        <v>14822054.4384</v>
      </c>
      <c r="F25" s="638">
        <f>'10.Structured Parking'!E53</f>
        <v>0</v>
      </c>
      <c r="G25" s="565">
        <f>'10.Structured Parking'!F53</f>
        <v>18147935.929185215</v>
      </c>
      <c r="H25" s="638">
        <f>'10.Structured Parking'!G53</f>
        <v>0</v>
      </c>
      <c r="I25" s="638">
        <f>'10.Structured Parking'!H53</f>
        <v>0</v>
      </c>
      <c r="J25" s="623">
        <f>'10.Structured Parking'!I53</f>
        <v>0</v>
      </c>
      <c r="K25" s="638">
        <f>'10.Structured Parking'!J53</f>
        <v>0</v>
      </c>
      <c r="L25" s="638">
        <f>'10.Structured Parking'!K53</f>
        <v>0</v>
      </c>
      <c r="M25" s="638">
        <f>'10.Structured Parking'!L53</f>
        <v>0</v>
      </c>
      <c r="N25" s="623">
        <f>'10.Structured Parking'!M53</f>
        <v>0</v>
      </c>
    </row>
    <row r="26" spans="1:16" hidden="1">
      <c r="A26" s="575" t="s">
        <v>50</v>
      </c>
      <c r="B26" s="604"/>
      <c r="C26" s="604"/>
      <c r="D26" s="637" t="e">
        <f>#REF!</f>
        <v>#REF!</v>
      </c>
      <c r="E26" s="565" t="e">
        <f>#REF!</f>
        <v>#REF!</v>
      </c>
      <c r="F26" s="638" t="e">
        <f>#REF!</f>
        <v>#REF!</v>
      </c>
      <c r="G26" s="565" t="e">
        <f>#REF!</f>
        <v>#REF!</v>
      </c>
      <c r="H26" s="638" t="e">
        <f>#REF!</f>
        <v>#REF!</v>
      </c>
      <c r="I26" s="638" t="e">
        <f>#REF!</f>
        <v>#REF!</v>
      </c>
      <c r="J26" s="623" t="e">
        <f>#REF!</f>
        <v>#REF!</v>
      </c>
      <c r="K26" s="638" t="e">
        <f>#REF!</f>
        <v>#REF!</v>
      </c>
      <c r="L26" s="638" t="e">
        <f>#REF!</f>
        <v>#REF!</v>
      </c>
      <c r="M26" s="638" t="e">
        <f>#REF!</f>
        <v>#REF!</v>
      </c>
      <c r="N26" s="623" t="e">
        <f>#REF!</f>
        <v>#REF!</v>
      </c>
    </row>
    <row r="27" spans="1:16">
      <c r="A27" s="575" t="s">
        <v>68</v>
      </c>
      <c r="B27" s="604"/>
      <c r="C27" s="604"/>
      <c r="D27" s="637">
        <f>'Land Acquisition'!E14</f>
        <v>33075013.159999996</v>
      </c>
      <c r="E27" s="565">
        <v>0</v>
      </c>
      <c r="F27" s="619">
        <v>0</v>
      </c>
      <c r="G27" s="581">
        <f t="shared" ref="G27:N29" si="2">F27</f>
        <v>0</v>
      </c>
      <c r="H27" s="619">
        <f t="shared" si="2"/>
        <v>0</v>
      </c>
      <c r="I27" s="619">
        <f t="shared" si="2"/>
        <v>0</v>
      </c>
      <c r="J27" s="620">
        <f t="shared" si="2"/>
        <v>0</v>
      </c>
      <c r="K27" s="619">
        <f t="shared" si="2"/>
        <v>0</v>
      </c>
      <c r="L27" s="619">
        <f t="shared" si="2"/>
        <v>0</v>
      </c>
      <c r="M27" s="619">
        <f t="shared" si="2"/>
        <v>0</v>
      </c>
      <c r="N27" s="620">
        <f t="shared" si="2"/>
        <v>0</v>
      </c>
    </row>
    <row r="28" spans="1:16">
      <c r="A28" s="575" t="s">
        <v>8</v>
      </c>
      <c r="B28" s="604"/>
      <c r="C28" s="604"/>
      <c r="D28" s="637">
        <f>'1.Infrastructure Costs'!D15</f>
        <v>0</v>
      </c>
      <c r="E28" s="565">
        <f>'1.Infrastructure Costs'!E15</f>
        <v>1342512.1</v>
      </c>
      <c r="F28" s="638">
        <f>'1.Infrastructure Costs'!F15</f>
        <v>3691704.2832959997</v>
      </c>
      <c r="G28" s="565">
        <f>'1.Infrastructure Costs'!G15</f>
        <v>3446115.0977185918</v>
      </c>
      <c r="H28" s="638">
        <f>'1.Infrastructure Costs'!H15</f>
        <v>4997334.0452166712</v>
      </c>
      <c r="I28" s="638">
        <f>'1.Infrastructure Costs'!I15</f>
        <v>6221249.6459716717</v>
      </c>
      <c r="J28" s="623">
        <f>'1.Infrastructure Costs'!J15</f>
        <v>5858652.3218708485</v>
      </c>
      <c r="K28" s="638">
        <f>'1.Infrastructure Costs'!K15</f>
        <v>332232.91979711666</v>
      </c>
      <c r="L28" s="638">
        <f>'1.Infrastructure Costs'!L15</f>
        <v>523531.09663901606</v>
      </c>
      <c r="M28" s="638">
        <f>'1.Infrastructure Costs'!M15</f>
        <v>691310.25951384031</v>
      </c>
      <c r="N28" s="623">
        <f>'1.Infrastructure Costs'!N15</f>
        <v>0</v>
      </c>
    </row>
    <row r="29" spans="1:16">
      <c r="A29" s="582" t="s">
        <v>200</v>
      </c>
      <c r="B29" s="639"/>
      <c r="C29" s="639"/>
      <c r="D29" s="640">
        <f>'Land Acquisition'!F22</f>
        <v>209742</v>
      </c>
      <c r="E29" s="701">
        <v>0</v>
      </c>
      <c r="F29" s="628">
        <f>E29</f>
        <v>0</v>
      </c>
      <c r="G29" s="627">
        <f t="shared" si="2"/>
        <v>0</v>
      </c>
      <c r="H29" s="628">
        <f t="shared" si="2"/>
        <v>0</v>
      </c>
      <c r="I29" s="628">
        <f t="shared" si="2"/>
        <v>0</v>
      </c>
      <c r="J29" s="629">
        <f t="shared" si="2"/>
        <v>0</v>
      </c>
      <c r="K29" s="628">
        <f t="shared" si="2"/>
        <v>0</v>
      </c>
      <c r="L29" s="628">
        <f t="shared" si="2"/>
        <v>0</v>
      </c>
      <c r="M29" s="628">
        <f t="shared" si="2"/>
        <v>0</v>
      </c>
      <c r="N29" s="629">
        <f t="shared" si="2"/>
        <v>0</v>
      </c>
    </row>
    <row r="30" spans="1:16">
      <c r="A30" s="575" t="s">
        <v>470</v>
      </c>
      <c r="B30" s="604"/>
      <c r="C30" s="604"/>
      <c r="D30" s="637">
        <f>F84</f>
        <v>2612513.486542841</v>
      </c>
      <c r="E30" s="566"/>
      <c r="F30" s="619"/>
      <c r="G30" s="581"/>
      <c r="H30" s="619"/>
      <c r="I30" s="619"/>
      <c r="J30" s="620"/>
      <c r="K30" s="619"/>
      <c r="L30" s="619"/>
      <c r="M30" s="619"/>
      <c r="N30" s="620"/>
    </row>
    <row r="31" spans="1:16" ht="16.2" thickBot="1">
      <c r="A31" s="568" t="s">
        <v>3</v>
      </c>
      <c r="B31" s="569"/>
      <c r="C31" s="559"/>
      <c r="D31" s="632">
        <f t="shared" ref="D31:N31" si="3">SUM(D30,D29,D28,D27,D17:D25)</f>
        <v>35897268.64654284</v>
      </c>
      <c r="E31" s="570">
        <f t="shared" si="3"/>
        <v>46299237.258400001</v>
      </c>
      <c r="F31" s="647">
        <f t="shared" si="3"/>
        <v>76374305.87049599</v>
      </c>
      <c r="G31" s="570">
        <f t="shared" si="3"/>
        <v>46978741.704216614</v>
      </c>
      <c r="H31" s="647">
        <f t="shared" si="3"/>
        <v>75169963.647217333</v>
      </c>
      <c r="I31" s="647">
        <f t="shared" si="3"/>
        <v>54918266.185041621</v>
      </c>
      <c r="J31" s="648">
        <f t="shared" si="3"/>
        <v>40867429.207747608</v>
      </c>
      <c r="K31" s="641">
        <f t="shared" si="3"/>
        <v>332232.91979711666</v>
      </c>
      <c r="L31" s="641">
        <f t="shared" si="3"/>
        <v>523531.09663901606</v>
      </c>
      <c r="M31" s="641">
        <f t="shared" si="3"/>
        <v>691310.25951384031</v>
      </c>
      <c r="N31" s="642">
        <f t="shared" si="3"/>
        <v>0</v>
      </c>
    </row>
    <row r="32" spans="1:16" ht="16.2" thickBot="1">
      <c r="A32" s="28" t="s">
        <v>4</v>
      </c>
      <c r="B32" s="29"/>
      <c r="C32" s="29"/>
      <c r="D32" s="494"/>
      <c r="E32" s="422"/>
      <c r="F32" s="18"/>
      <c r="G32" s="422"/>
      <c r="H32" s="18"/>
      <c r="I32" s="18"/>
      <c r="J32" s="24"/>
      <c r="K32" s="422"/>
      <c r="L32" s="18"/>
      <c r="M32" s="18"/>
      <c r="N32" s="24"/>
      <c r="P32" s="472"/>
    </row>
    <row r="33" spans="1:14">
      <c r="A33" s="613" t="s">
        <v>5</v>
      </c>
      <c r="B33" s="614"/>
      <c r="C33" s="560"/>
      <c r="D33" s="615">
        <f>D15</f>
        <v>0</v>
      </c>
      <c r="E33" s="580">
        <f t="shared" ref="E33:N33" si="4">E15</f>
        <v>1737908.6399999997</v>
      </c>
      <c r="F33" s="616">
        <f t="shared" si="4"/>
        <v>20293944.252463806</v>
      </c>
      <c r="G33" s="580">
        <f t="shared" si="4"/>
        <v>42714812.230023459</v>
      </c>
      <c r="H33" s="616">
        <f t="shared" si="4"/>
        <v>51018668.731014475</v>
      </c>
      <c r="I33" s="616">
        <f t="shared" si="4"/>
        <v>66290837.303565897</v>
      </c>
      <c r="J33" s="617">
        <f t="shared" si="4"/>
        <v>76739552.524038285</v>
      </c>
      <c r="K33" s="580">
        <f t="shared" si="4"/>
        <v>83307135.862931922</v>
      </c>
      <c r="L33" s="616">
        <f t="shared" si="4"/>
        <v>64707113.958399363</v>
      </c>
      <c r="M33" s="616">
        <f t="shared" si="4"/>
        <v>63773484.699886426</v>
      </c>
      <c r="N33" s="617">
        <f t="shared" si="4"/>
        <v>65123987.202502728</v>
      </c>
    </row>
    <row r="34" spans="1:14" ht="15.6">
      <c r="A34" s="575" t="s">
        <v>58</v>
      </c>
      <c r="B34" s="585" t="s">
        <v>231</v>
      </c>
      <c r="C34" s="782">
        <f>N33/N34</f>
        <v>6.7378511026144963E-2</v>
      </c>
      <c r="D34" s="618"/>
      <c r="F34" s="874"/>
      <c r="G34" s="36"/>
      <c r="H34" s="619"/>
      <c r="I34" s="619"/>
      <c r="J34" s="620"/>
      <c r="K34" s="581"/>
      <c r="L34" s="621"/>
      <c r="M34" s="622"/>
      <c r="N34" s="623">
        <f>SUM('2.Market-Rate Rental Housing'!M69,'4.Affordable Rental Housing'!M37,'6.Office'!M38,'7.Industrial (Brewery)'!M29,'8.Market-Rate Retail'!M94,'9.Hotel'!M24,'10.Structured Parking'!M56)</f>
        <v>966539423.48522043</v>
      </c>
    </row>
    <row r="35" spans="1:14">
      <c r="A35" s="575" t="s">
        <v>28</v>
      </c>
      <c r="B35" s="560"/>
      <c r="C35" s="624">
        <v>0.03</v>
      </c>
      <c r="D35" s="625"/>
      <c r="E35" s="581">
        <f>-F34*C35</f>
        <v>0</v>
      </c>
      <c r="F35" s="619"/>
      <c r="G35" s="581"/>
      <c r="H35" s="619"/>
      <c r="I35" s="619"/>
      <c r="J35" s="620"/>
      <c r="K35" s="581"/>
      <c r="L35" s="619"/>
      <c r="M35" s="619"/>
      <c r="N35" s="620">
        <f>N34*-C35</f>
        <v>-28996182.70455661</v>
      </c>
    </row>
    <row r="36" spans="1:14">
      <c r="A36" s="582" t="s">
        <v>201</v>
      </c>
      <c r="B36" s="567"/>
      <c r="C36" s="567"/>
      <c r="D36" s="626">
        <f t="shared" ref="D36:N36" si="5">-D31</f>
        <v>-35897268.64654284</v>
      </c>
      <c r="E36" s="627">
        <f t="shared" si="5"/>
        <v>-46299237.258400001</v>
      </c>
      <c r="F36" s="628">
        <f t="shared" si="5"/>
        <v>-76374305.87049599</v>
      </c>
      <c r="G36" s="627">
        <f t="shared" si="5"/>
        <v>-46978741.704216614</v>
      </c>
      <c r="H36" s="628">
        <f t="shared" si="5"/>
        <v>-75169963.647217333</v>
      </c>
      <c r="I36" s="628">
        <f t="shared" si="5"/>
        <v>-54918266.185041621</v>
      </c>
      <c r="J36" s="629">
        <f t="shared" si="5"/>
        <v>-40867429.207747608</v>
      </c>
      <c r="K36" s="627">
        <f t="shared" si="5"/>
        <v>-332232.91979711666</v>
      </c>
      <c r="L36" s="628">
        <f t="shared" si="5"/>
        <v>-523531.09663901606</v>
      </c>
      <c r="M36" s="628">
        <f t="shared" si="5"/>
        <v>-691310.25951384031</v>
      </c>
      <c r="N36" s="629">
        <f t="shared" si="5"/>
        <v>0</v>
      </c>
    </row>
    <row r="37" spans="1:14" ht="16.2" thickBot="1">
      <c r="A37" s="575" t="s">
        <v>265</v>
      </c>
      <c r="B37" s="585"/>
      <c r="C37" s="585"/>
      <c r="D37" s="645">
        <f>-Financing!B19</f>
        <v>0</v>
      </c>
      <c r="E37" s="565">
        <f>-Financing!C19</f>
        <v>0</v>
      </c>
      <c r="F37" s="638">
        <f>-Financing!D19</f>
        <v>-420092.7185254686</v>
      </c>
      <c r="G37" s="1092">
        <f>-Financing!E19</f>
        <v>-2596724.0488503696</v>
      </c>
      <c r="H37" s="638">
        <f>-Financing!F19</f>
        <v>-6105355.5289504034</v>
      </c>
      <c r="I37" s="638">
        <f>-Financing!G19</f>
        <v>-8540206.3559038993</v>
      </c>
      <c r="J37" s="623">
        <f>-Financing!H19</f>
        <v>-10290645.20019774</v>
      </c>
      <c r="K37" s="565">
        <f>-Financing!I19</f>
        <v>-10290645.20019774</v>
      </c>
      <c r="L37" s="638">
        <f>-Financing!J19</f>
        <v>-10290645.20019774</v>
      </c>
      <c r="M37" s="638">
        <f>-Financing!K19</f>
        <v>-10290645.20019774</v>
      </c>
      <c r="N37" s="623">
        <f>-Financing!L19</f>
        <v>-10290645.20019774</v>
      </c>
    </row>
    <row r="38" spans="1:14" ht="16.2" thickBot="1">
      <c r="A38" s="572" t="s">
        <v>6</v>
      </c>
      <c r="B38" s="587"/>
      <c r="C38" s="587"/>
      <c r="D38" s="1093">
        <f t="shared" ref="D38:N38" si="6">SUM(D33:D36)</f>
        <v>-35897268.64654284</v>
      </c>
      <c r="E38" s="1093">
        <f t="shared" si="6"/>
        <v>-44561328.6184</v>
      </c>
      <c r="F38" s="1093">
        <f t="shared" si="6"/>
        <v>-56080361.618032187</v>
      </c>
      <c r="G38" s="1093">
        <f t="shared" si="6"/>
        <v>-4263929.4741931558</v>
      </c>
      <c r="H38" s="1093">
        <f t="shared" si="6"/>
        <v>-24151294.916202858</v>
      </c>
      <c r="I38" s="1093">
        <f t="shared" si="6"/>
        <v>11372571.118524276</v>
      </c>
      <c r="J38" s="1093">
        <f t="shared" si="6"/>
        <v>35872123.316290677</v>
      </c>
      <c r="K38" s="1093">
        <f t="shared" si="6"/>
        <v>82974902.9431348</v>
      </c>
      <c r="L38" s="1093">
        <f t="shared" si="6"/>
        <v>64183582.861760348</v>
      </c>
      <c r="M38" s="1093">
        <f t="shared" si="6"/>
        <v>63082174.440372586</v>
      </c>
      <c r="N38" s="1094">
        <f t="shared" si="6"/>
        <v>1002667227.9831666</v>
      </c>
    </row>
    <row r="39" spans="1:14" ht="16.2" thickBot="1">
      <c r="A39" s="599" t="s">
        <v>325</v>
      </c>
      <c r="B39" s="600"/>
      <c r="C39" s="600"/>
      <c r="D39" s="1095">
        <f>Financing!B34</f>
        <v>-35897268.64654284</v>
      </c>
      <c r="E39" s="1096">
        <f>Financing!C34</f>
        <v>-43218816.518399999</v>
      </c>
      <c r="F39" s="1096">
        <f>Financing!D34</f>
        <v>-44406895.682752296</v>
      </c>
      <c r="G39" s="1096">
        <f>Financing!E34</f>
        <v>40118088.181173086</v>
      </c>
      <c r="H39" s="1096">
        <f>Financing!F34</f>
        <v>44913313.202064075</v>
      </c>
      <c r="I39" s="1096">
        <f>Financing!G34</f>
        <v>57750630.947661996</v>
      </c>
      <c r="J39" s="1096">
        <f>Financing!H34</f>
        <v>66448907.323840544</v>
      </c>
      <c r="K39" s="1096">
        <f>Financing!I34</f>
        <v>73016490.662734181</v>
      </c>
      <c r="L39" s="1096">
        <f>Financing!J34</f>
        <v>54416468.758201621</v>
      </c>
      <c r="M39" s="1096">
        <f>Financing!K34</f>
        <v>53482839.499688685</v>
      </c>
      <c r="N39" s="1097">
        <f>Financing!L34</f>
        <v>786563678.77901411</v>
      </c>
    </row>
    <row r="40" spans="1:14" ht="15.6">
      <c r="A40" s="649"/>
      <c r="B40" s="650"/>
      <c r="C40" s="650"/>
      <c r="D40" s="651"/>
      <c r="E40" s="32"/>
      <c r="F40" s="32"/>
      <c r="G40" s="32"/>
      <c r="H40" s="1112"/>
      <c r="I40" s="32"/>
      <c r="J40" s="32"/>
      <c r="K40" s="32"/>
      <c r="L40" s="32"/>
      <c r="M40" s="32"/>
      <c r="N40" s="32"/>
    </row>
    <row r="41" spans="1:14" ht="15.6">
      <c r="A41" s="25" t="s">
        <v>482</v>
      </c>
      <c r="B41" s="25"/>
      <c r="C41" s="475">
        <f>D38+NPV(0.09,E38:N38)</f>
        <v>414581851.64120674</v>
      </c>
      <c r="D41" s="9"/>
      <c r="E41" s="11"/>
      <c r="F41" s="11"/>
      <c r="G41" s="11"/>
      <c r="H41" s="10"/>
      <c r="I41" s="11"/>
      <c r="J41" s="11"/>
      <c r="K41" s="11"/>
      <c r="L41" s="874"/>
      <c r="M41" s="11"/>
      <c r="N41" s="11"/>
    </row>
    <row r="42" spans="1:14" ht="16.2" thickBot="1">
      <c r="A42" s="784" t="s">
        <v>69</v>
      </c>
      <c r="B42" s="25"/>
      <c r="C42" s="706">
        <f>M77/N34</f>
        <v>1.5066167449812366E-2</v>
      </c>
      <c r="D42" s="9"/>
      <c r="E42" s="11"/>
      <c r="F42" s="11"/>
      <c r="G42" s="11"/>
      <c r="H42" s="26"/>
      <c r="I42" s="11"/>
      <c r="J42" s="11"/>
      <c r="K42" s="11"/>
      <c r="L42" s="11"/>
      <c r="M42" s="11"/>
      <c r="N42" s="11"/>
    </row>
    <row r="43" spans="1:14" ht="15.6">
      <c r="A43" s="25" t="s">
        <v>70</v>
      </c>
      <c r="B43" s="25"/>
      <c r="C43" s="706">
        <f>IRR(D38:N38,0)</f>
        <v>0.29482097352028425</v>
      </c>
      <c r="D43" s="9"/>
      <c r="E43" s="11"/>
      <c r="F43" s="11"/>
      <c r="G43" s="31" t="s">
        <v>71</v>
      </c>
      <c r="H43" s="32"/>
      <c r="I43" s="32"/>
      <c r="J43" s="473">
        <f>D27</f>
        <v>33075013.159999996</v>
      </c>
      <c r="K43" s="11"/>
      <c r="L43" s="11"/>
      <c r="M43" s="11"/>
      <c r="N43" s="11"/>
    </row>
    <row r="44" spans="1:14" ht="16.2" thickBot="1">
      <c r="A44" s="559" t="s">
        <v>495</v>
      </c>
      <c r="B44" s="25"/>
      <c r="C44" s="707">
        <f>Financing!$B$36</f>
        <v>0.39133068934514537</v>
      </c>
      <c r="D44" s="654"/>
      <c r="E44" s="11"/>
      <c r="F44" s="11"/>
      <c r="G44" s="439" t="s">
        <v>72</v>
      </c>
      <c r="H44" s="20"/>
      <c r="I44" s="20"/>
      <c r="J44" s="474">
        <f>N34</f>
        <v>966539423.48522043</v>
      </c>
      <c r="K44" s="11"/>
      <c r="L44" s="11"/>
      <c r="M44" s="11"/>
      <c r="N44" s="11"/>
    </row>
    <row r="45" spans="1:14" s="10" customFormat="1" ht="16.2" thickBot="1">
      <c r="A45" s="653"/>
      <c r="B45" s="30"/>
      <c r="C45" s="30"/>
      <c r="D45" s="19"/>
      <c r="E45" s="20"/>
      <c r="F45" s="20"/>
      <c r="G45" s="477"/>
      <c r="H45" s="20"/>
      <c r="I45" s="20"/>
      <c r="J45" s="20"/>
      <c r="K45" s="20"/>
      <c r="L45" s="20"/>
      <c r="M45" s="20"/>
      <c r="N45" s="20"/>
    </row>
    <row r="46" spans="1:14" ht="16.2" thickBot="1">
      <c r="A46" s="1089" t="s">
        <v>73</v>
      </c>
      <c r="B46" s="1090"/>
      <c r="C46" s="1090"/>
      <c r="D46" s="1090"/>
      <c r="E46" s="1090"/>
      <c r="F46" s="1090"/>
      <c r="G46" s="1090"/>
      <c r="H46" s="1090"/>
      <c r="I46" s="1090"/>
      <c r="J46" s="1090"/>
      <c r="K46" s="1090"/>
      <c r="L46" s="1090"/>
      <c r="M46" s="1090"/>
      <c r="N46" s="1091"/>
    </row>
    <row r="47" spans="1:14" ht="16.2" thickBot="1">
      <c r="A47" s="33"/>
      <c r="B47" s="16"/>
      <c r="C47" s="16"/>
      <c r="D47" s="8" t="s">
        <v>57</v>
      </c>
      <c r="E47" s="1208" t="s">
        <v>36</v>
      </c>
      <c r="F47" s="1209"/>
      <c r="G47" s="1201" t="s">
        <v>78</v>
      </c>
      <c r="H47" s="1202"/>
      <c r="I47" s="1202"/>
      <c r="J47" s="1203"/>
      <c r="K47" s="1204" t="s">
        <v>79</v>
      </c>
      <c r="L47" s="1205"/>
      <c r="M47" s="1205"/>
      <c r="N47" s="1206"/>
    </row>
    <row r="48" spans="1:14" s="12" customFormat="1" ht="16.2" thickBot="1">
      <c r="A48" s="4"/>
      <c r="B48" s="5"/>
      <c r="C48" s="6" t="s">
        <v>29</v>
      </c>
      <c r="D48" s="6" t="s">
        <v>337</v>
      </c>
      <c r="E48" s="34">
        <v>2021</v>
      </c>
      <c r="F48" s="6">
        <f t="shared" ref="F48:N48" si="7">E48+1</f>
        <v>2022</v>
      </c>
      <c r="G48" s="34">
        <f t="shared" si="7"/>
        <v>2023</v>
      </c>
      <c r="H48" s="6">
        <f t="shared" si="7"/>
        <v>2024</v>
      </c>
      <c r="I48" s="6">
        <f t="shared" si="7"/>
        <v>2025</v>
      </c>
      <c r="J48" s="7">
        <f t="shared" si="7"/>
        <v>2026</v>
      </c>
      <c r="K48" s="6">
        <f t="shared" si="7"/>
        <v>2027</v>
      </c>
      <c r="L48" s="6">
        <f t="shared" si="7"/>
        <v>2028</v>
      </c>
      <c r="M48" s="6">
        <f t="shared" si="7"/>
        <v>2029</v>
      </c>
      <c r="N48" s="7">
        <f t="shared" si="7"/>
        <v>2030</v>
      </c>
    </row>
    <row r="49" spans="1:14" ht="16.2" thickBot="1">
      <c r="A49" s="23" t="s">
        <v>298</v>
      </c>
      <c r="B49" s="23"/>
      <c r="C49" s="23"/>
      <c r="D49" s="35"/>
      <c r="E49" s="422"/>
      <c r="F49" s="18"/>
      <c r="G49" s="422"/>
      <c r="H49" s="18"/>
      <c r="I49" s="18"/>
      <c r="J49" s="24"/>
      <c r="K49" s="18"/>
      <c r="L49" s="18"/>
      <c r="M49" s="18"/>
      <c r="N49" s="24"/>
    </row>
    <row r="50" spans="1:14">
      <c r="A50" s="575" t="s">
        <v>63</v>
      </c>
      <c r="B50" s="604"/>
      <c r="C50" s="711">
        <f>SUM('2.Market-Rate Rental Housing'!C79:C82)</f>
        <v>350.25</v>
      </c>
      <c r="D50" s="592">
        <f>SUM('2.Market-Rate Rental Housing'!C9,'2.Market-Rate Rental Housing'!C19,'2.Market-Rate Rental Housing'!C29,'2.Market-Rate Rental Housing'!C39,'2.Market-Rate Rental Housing'!C49)</f>
        <v>0</v>
      </c>
      <c r="E50" s="605">
        <f>SUM('2.Market-Rate Rental Housing'!D9,'2.Market-Rate Rental Housing'!D19,'2.Market-Rate Rental Housing'!D29,'2.Market-Rate Rental Housing'!D39,'2.Market-Rate Rental Housing'!D49)</f>
        <v>60</v>
      </c>
      <c r="F50" s="607">
        <f>SUM('2.Market-Rate Rental Housing'!E9,'2.Market-Rate Rental Housing'!E19,'2.Market-Rate Rental Housing'!E29,'2.Market-Rate Rental Housing'!E39,'2.Market-Rate Rental Housing'!E49)</f>
        <v>180</v>
      </c>
      <c r="G50" s="606">
        <f>SUM('2.Market-Rate Rental Housing'!F9,'2.Market-Rate Rental Housing'!F19,'2.Market-Rate Rental Housing'!F29,'2.Market-Rate Rental Housing'!F39,'2.Market-Rate Rental Housing'!F49)</f>
        <v>74</v>
      </c>
      <c r="H50" s="592">
        <f>SUM('2.Market-Rate Rental Housing'!G9,'2.Market-Rate Rental Housing'!G19,'2.Market-Rate Rental Housing'!G29,'2.Market-Rate Rental Housing'!G39,'2.Market-Rate Rental Housing'!G49)</f>
        <v>104</v>
      </c>
      <c r="I50" s="606">
        <f>SUM('2.Market-Rate Rental Housing'!H9,'2.Market-Rate Rental Housing'!H19,'2.Market-Rate Rental Housing'!H29,'2.Market-Rate Rental Housing'!H39,'2.Market-Rate Rental Housing'!H49)</f>
        <v>66</v>
      </c>
      <c r="J50" s="606">
        <f>SUM('2.Market-Rate Rental Housing'!I9,'2.Market-Rate Rental Housing'!I19,'2.Market-Rate Rental Housing'!I29,'2.Market-Rate Rental Housing'!I39,'2.Market-Rate Rental Housing'!I49)</f>
        <v>0</v>
      </c>
      <c r="K50" s="605">
        <f>SUM('2.Market-Rate Rental Housing'!J9,'2.Market-Rate Rental Housing'!J19,'2.Market-Rate Rental Housing'!J29,'2.Market-Rate Rental Housing'!J39,'2.Market-Rate Rental Housing'!J49)</f>
        <v>0</v>
      </c>
      <c r="L50" s="606">
        <f>SUM('2.Market-Rate Rental Housing'!K9,'2.Market-Rate Rental Housing'!K19,'2.Market-Rate Rental Housing'!K29,'2.Market-Rate Rental Housing'!K39,'2.Market-Rate Rental Housing'!K49)</f>
        <v>0</v>
      </c>
      <c r="M50" s="606">
        <f>SUM('2.Market-Rate Rental Housing'!L9,'2.Market-Rate Rental Housing'!L19,'2.Market-Rate Rental Housing'!L29,'2.Market-Rate Rental Housing'!L39,'2.Market-Rate Rental Housing'!L49)</f>
        <v>0</v>
      </c>
      <c r="N50" s="607">
        <f>SUM('2.Market-Rate Rental Housing'!M9,'2.Market-Rate Rental Housing'!M19,'2.Market-Rate Rental Housing'!M29,'2.Market-Rate Rental Housing'!M39,'2.Market-Rate Rental Housing'!M49)</f>
        <v>0</v>
      </c>
    </row>
    <row r="51" spans="1:14">
      <c r="A51" s="575" t="s">
        <v>64</v>
      </c>
      <c r="B51" s="604"/>
      <c r="C51" s="711">
        <f>SUM('3.Market-Rate For-Sale Housing'!C43:C44)</f>
        <v>202.1</v>
      </c>
      <c r="D51" s="608">
        <f>SUM('3.Market-Rate For-Sale Housing'!C9,'3.Market-Rate For-Sale Housing'!C17)</f>
        <v>0</v>
      </c>
      <c r="E51" s="609">
        <f>SUM('3.Market-Rate For-Sale Housing'!D9,'3.Market-Rate For-Sale Housing'!D17)</f>
        <v>0</v>
      </c>
      <c r="F51" s="1082">
        <f>SUM('3.Market-Rate For-Sale Housing'!E9,'3.Market-Rate For-Sale Housing'!E17)</f>
        <v>0</v>
      </c>
      <c r="G51" s="608">
        <f>SUM('3.Market-Rate For-Sale Housing'!F9,'3.Market-Rate For-Sale Housing'!F17)</f>
        <v>0</v>
      </c>
      <c r="H51" s="608">
        <f>SUM('3.Market-Rate For-Sale Housing'!G9,'3.Market-Rate For-Sale Housing'!G17)</f>
        <v>0</v>
      </c>
      <c r="I51" s="608">
        <f>SUM('3.Market-Rate For-Sale Housing'!H9,'3.Market-Rate For-Sale Housing'!H17)</f>
        <v>93</v>
      </c>
      <c r="J51" s="608">
        <f>SUM('3.Market-Rate For-Sale Housing'!I9,'3.Market-Rate For-Sale Housing'!I17)</f>
        <v>110</v>
      </c>
      <c r="K51" s="609">
        <f>SUM('3.Market-Rate For-Sale Housing'!J9,'3.Market-Rate For-Sale Housing'!J17)</f>
        <v>0</v>
      </c>
      <c r="L51" s="608">
        <f>SUM('3.Market-Rate For-Sale Housing'!K9,'3.Market-Rate For-Sale Housing'!K17)</f>
        <v>0</v>
      </c>
      <c r="M51" s="608">
        <f>SUM('3.Market-Rate For-Sale Housing'!L9,'3.Market-Rate For-Sale Housing'!L17)</f>
        <v>0</v>
      </c>
      <c r="N51" s="1082">
        <f>SUM('3.Market-Rate For-Sale Housing'!M9,'3.Market-Rate For-Sale Housing'!M17)</f>
        <v>0</v>
      </c>
    </row>
    <row r="52" spans="1:14">
      <c r="A52" s="575" t="s">
        <v>65</v>
      </c>
      <c r="B52" s="604"/>
      <c r="C52" s="711">
        <f>SUM('4.Affordable Rental Housing'!C46:C47)</f>
        <v>280.5</v>
      </c>
      <c r="D52" s="592">
        <f>SUM('4.Affordable Rental Housing'!C9,'4.Affordable Rental Housing'!C18)</f>
        <v>0</v>
      </c>
      <c r="E52" s="593">
        <f>SUM('4.Affordable Rental Housing'!D9,'4.Affordable Rental Housing'!D18)</f>
        <v>63</v>
      </c>
      <c r="F52" s="594">
        <f>SUM('4.Affordable Rental Housing'!E9,'4.Affordable Rental Housing'!E18)</f>
        <v>125</v>
      </c>
      <c r="G52" s="592">
        <f>SUM('4.Affordable Rental Housing'!F9,'4.Affordable Rental Housing'!F18)</f>
        <v>0</v>
      </c>
      <c r="H52" s="592">
        <f>SUM('4.Affordable Rental Housing'!G9,'4.Affordable Rental Housing'!G18)</f>
        <v>0</v>
      </c>
      <c r="I52" s="592">
        <f>SUM('4.Affordable Rental Housing'!H9,'4.Affordable Rental Housing'!H18)</f>
        <v>94</v>
      </c>
      <c r="J52" s="592">
        <f>SUM('4.Affordable Rental Housing'!I9,'4.Affordable Rental Housing'!I18)</f>
        <v>0</v>
      </c>
      <c r="K52" s="593">
        <f>SUM('4.Affordable Rental Housing'!J9,'4.Affordable Rental Housing'!J18)</f>
        <v>0</v>
      </c>
      <c r="L52" s="592">
        <f>SUM('4.Affordable Rental Housing'!K9,'4.Affordable Rental Housing'!K18)</f>
        <v>0</v>
      </c>
      <c r="M52" s="592">
        <f>SUM('4.Affordable Rental Housing'!L9,'4.Affordable Rental Housing'!L18)</f>
        <v>0</v>
      </c>
      <c r="N52" s="594">
        <f>SUM('4.Affordable Rental Housing'!M9,'4.Affordable Rental Housing'!M18)</f>
        <v>0</v>
      </c>
    </row>
    <row r="53" spans="1:14">
      <c r="A53" s="575" t="s">
        <v>301</v>
      </c>
      <c r="B53" s="604"/>
      <c r="C53" s="711">
        <f>SUM('5.Affordable For-Sale Housing '!C35)</f>
        <v>68.75</v>
      </c>
      <c r="D53" s="592">
        <f>SUM('5.Affordable For-Sale Housing '!C9)</f>
        <v>0</v>
      </c>
      <c r="E53" s="593">
        <f>SUM('5.Affordable For-Sale Housing '!D9)</f>
        <v>0</v>
      </c>
      <c r="F53" s="594">
        <f>SUM('5.Affordable For-Sale Housing '!E9)</f>
        <v>0</v>
      </c>
      <c r="G53" s="592">
        <f>SUM('5.Affordable For-Sale Housing '!F9)</f>
        <v>0</v>
      </c>
      <c r="H53" s="592">
        <f>SUM('5.Affordable For-Sale Housing '!G9)</f>
        <v>0</v>
      </c>
      <c r="I53" s="592">
        <f>SUM('5.Affordable For-Sale Housing '!H9)</f>
        <v>0</v>
      </c>
      <c r="J53" s="592">
        <f>SUM('5.Affordable For-Sale Housing '!I9)</f>
        <v>68.75</v>
      </c>
      <c r="K53" s="593">
        <f>SUM('5.Affordable For-Sale Housing '!J9)</f>
        <v>0</v>
      </c>
      <c r="L53" s="592">
        <f>SUM('5.Affordable For-Sale Housing '!K9)</f>
        <v>0</v>
      </c>
      <c r="M53" s="592">
        <f>SUM('5.Affordable For-Sale Housing '!L9)</f>
        <v>0</v>
      </c>
      <c r="N53" s="594">
        <f>SUM('5.Affordable For-Sale Housing '!M9)</f>
        <v>0</v>
      </c>
    </row>
    <row r="54" spans="1:14">
      <c r="A54" s="561" t="s">
        <v>48</v>
      </c>
      <c r="B54" s="560"/>
      <c r="C54" s="712">
        <f>SUM('9.Hotel'!C33)</f>
        <v>335</v>
      </c>
      <c r="D54" s="592">
        <f>SUM('9.Hotel'!C8)</f>
        <v>0</v>
      </c>
      <c r="E54" s="593">
        <f>SUM('9.Hotel'!D8)</f>
        <v>0</v>
      </c>
      <c r="F54" s="594">
        <f>SUM('9.Hotel'!E8)</f>
        <v>0</v>
      </c>
      <c r="G54" s="592">
        <f>SUM('9.Hotel'!F8)</f>
        <v>111.61333333333333</v>
      </c>
      <c r="H54" s="592">
        <f>SUM('9.Hotel'!G8)</f>
        <v>223.22666666666666</v>
      </c>
      <c r="I54" s="592">
        <f>SUM('9.Hotel'!H8)</f>
        <v>0</v>
      </c>
      <c r="J54" s="592">
        <f>SUM('9.Hotel'!I8)</f>
        <v>0</v>
      </c>
      <c r="K54" s="593">
        <f>SUM('9.Hotel'!J8)</f>
        <v>0</v>
      </c>
      <c r="L54" s="592">
        <f>SUM('9.Hotel'!K8)</f>
        <v>0</v>
      </c>
      <c r="M54" s="592">
        <f>SUM('9.Hotel'!L8)</f>
        <v>0</v>
      </c>
      <c r="N54" s="594">
        <f>SUM('9.Hotel'!M8)</f>
        <v>0</v>
      </c>
    </row>
    <row r="55" spans="1:14" ht="15.6" thickBot="1">
      <c r="A55" s="561" t="s">
        <v>49</v>
      </c>
      <c r="B55" s="560"/>
      <c r="C55" s="713">
        <f>SUM('10.Structured Parking'!C65:C67)</f>
        <v>2610.4700000000003</v>
      </c>
      <c r="D55" s="610">
        <f>D66/'10.Structured Parking'!D71</f>
        <v>0</v>
      </c>
      <c r="E55" s="1083">
        <f>E66/'10.Structured Parking'!$D$71</f>
        <v>1199.2</v>
      </c>
      <c r="F55" s="1084">
        <f>F66/'10.Structured Parking'!$D$71</f>
        <v>0</v>
      </c>
      <c r="G55" s="610">
        <f>G66/'10.Structured Parking'!$D$71</f>
        <v>1411.27</v>
      </c>
      <c r="H55" s="1064">
        <f>H66/'10.Structured Parking'!$D$71</f>
        <v>0</v>
      </c>
      <c r="I55" s="610">
        <f>I66/'10.Structured Parking'!$D$71</f>
        <v>0</v>
      </c>
      <c r="J55" s="610">
        <f>J66/'10.Structured Parking'!$D$71</f>
        <v>0</v>
      </c>
      <c r="K55" s="1083">
        <f>K66/'10.Structured Parking'!$D$71</f>
        <v>0</v>
      </c>
      <c r="L55" s="1064">
        <f>L66/'10.Structured Parking'!$D$71</f>
        <v>0</v>
      </c>
      <c r="M55" s="1064">
        <f>M66/'10.Structured Parking'!$D$71</f>
        <v>0</v>
      </c>
      <c r="N55" s="1084">
        <f>N66/'10.Structured Parking'!$D$71</f>
        <v>0</v>
      </c>
    </row>
    <row r="56" spans="1:14" ht="15.6" hidden="1" thickBot="1">
      <c r="A56" s="561" t="s">
        <v>50</v>
      </c>
      <c r="B56" s="560"/>
      <c r="C56" s="713" t="e">
        <f>SUM(#REF!)</f>
        <v>#REF!</v>
      </c>
      <c r="D56" s="610" t="e">
        <f>D67/#REF!</f>
        <v>#REF!</v>
      </c>
      <c r="E56" s="611" t="e">
        <f>E67/#REF!</f>
        <v>#REF!</v>
      </c>
      <c r="F56" s="610" t="e">
        <f>F67/#REF!</f>
        <v>#REF!</v>
      </c>
      <c r="G56" s="611" t="e">
        <f>G67/#REF!</f>
        <v>#REF!</v>
      </c>
      <c r="H56" s="610" t="e">
        <f>H67/#REF!</f>
        <v>#REF!</v>
      </c>
      <c r="I56" s="610" t="e">
        <f>I67/#REF!</f>
        <v>#REF!</v>
      </c>
      <c r="J56" s="612" t="e">
        <f>J67/#REF!</f>
        <v>#REF!</v>
      </c>
      <c r="K56" s="610" t="e">
        <f>K67/#REF!</f>
        <v>#REF!</v>
      </c>
      <c r="L56" s="610" t="e">
        <f>L67/#REF!</f>
        <v>#REF!</v>
      </c>
      <c r="M56" s="610" t="e">
        <f>M67/#REF!</f>
        <v>#REF!</v>
      </c>
      <c r="N56" s="612" t="e">
        <f>N67/#REF!</f>
        <v>#REF!</v>
      </c>
    </row>
    <row r="57" spans="1:14" ht="16.2" thickBot="1">
      <c r="A57" s="22" t="s">
        <v>30</v>
      </c>
      <c r="B57" s="23"/>
      <c r="C57" s="17"/>
      <c r="D57" s="17"/>
      <c r="E57" s="422"/>
      <c r="F57" s="18"/>
      <c r="G57" s="422"/>
      <c r="H57" s="1065"/>
      <c r="I57" s="18"/>
      <c r="J57" s="24"/>
      <c r="K57" s="18"/>
      <c r="L57" s="18"/>
      <c r="M57" s="18"/>
      <c r="N57" s="24"/>
    </row>
    <row r="58" spans="1:14">
      <c r="A58" s="575" t="s">
        <v>63</v>
      </c>
      <c r="B58" s="576"/>
      <c r="C58" s="591">
        <f>SUM('2.Market-Rate Rental Housing'!D79:D82)</f>
        <v>360600</v>
      </c>
      <c r="D58" s="592">
        <f>D50*'2.Market-Rate Rental Housing'!$B$12</f>
        <v>0</v>
      </c>
      <c r="E58" s="605">
        <f>E50*'2.Market-Rate Rental Housing'!$B$12</f>
        <v>60000</v>
      </c>
      <c r="F58" s="607">
        <f>F50*'2.Market-Rate Rental Housing'!$B$12</f>
        <v>180000</v>
      </c>
      <c r="G58" s="592">
        <f>G50*'2.Market-Rate Rental Housing'!$B$12</f>
        <v>74000</v>
      </c>
      <c r="H58" s="592">
        <f>H50*'2.Market-Rate Rental Housing'!$B$12</f>
        <v>104000</v>
      </c>
      <c r="I58" s="592">
        <f>I50*'2.Market-Rate Rental Housing'!$B$12</f>
        <v>66000</v>
      </c>
      <c r="J58" s="592">
        <f>J50*'2.Market-Rate Rental Housing'!$B$12</f>
        <v>0</v>
      </c>
      <c r="K58" s="605">
        <f>K50*'2.Market-Rate Rental Housing'!$B$12</f>
        <v>0</v>
      </c>
      <c r="L58" s="606">
        <f>L50*'2.Market-Rate Rental Housing'!$B$12</f>
        <v>0</v>
      </c>
      <c r="M58" s="606">
        <f>M50*'2.Market-Rate Rental Housing'!$B$12</f>
        <v>0</v>
      </c>
      <c r="N58" s="607">
        <f>N50*'2.Market-Rate Rental Housing'!$B$12</f>
        <v>0</v>
      </c>
    </row>
    <row r="59" spans="1:14">
      <c r="A59" s="575" t="s">
        <v>64</v>
      </c>
      <c r="B59" s="576"/>
      <c r="C59" s="591">
        <f>SUM('3.Market-Rate For-Sale Housing'!D43:D44)</f>
        <v>202100</v>
      </c>
      <c r="D59" s="592">
        <f>D51*'3.Market-Rate For-Sale Housing'!$B$20</f>
        <v>0</v>
      </c>
      <c r="E59" s="593">
        <f>E51*'3.Market-Rate For-Sale Housing'!$B$20</f>
        <v>0</v>
      </c>
      <c r="F59" s="594">
        <f>F51*'3.Market-Rate For-Sale Housing'!$B$20</f>
        <v>0</v>
      </c>
      <c r="G59" s="592">
        <f>G51*'3.Market-Rate For-Sale Housing'!$B$20</f>
        <v>0</v>
      </c>
      <c r="H59" s="592">
        <f>H51*'3.Market-Rate For-Sale Housing'!$B$20</f>
        <v>0</v>
      </c>
      <c r="I59" s="592">
        <f>I51*'3.Market-Rate For-Sale Housing'!$B$20</f>
        <v>93000</v>
      </c>
      <c r="J59" s="592">
        <f>J51*'3.Market-Rate For-Sale Housing'!$B$20</f>
        <v>110000</v>
      </c>
      <c r="K59" s="593">
        <f>K51*'3.Market-Rate For-Sale Housing'!$B$20</f>
        <v>0</v>
      </c>
      <c r="L59" s="592">
        <f>L51*'3.Market-Rate For-Sale Housing'!$B$20</f>
        <v>0</v>
      </c>
      <c r="M59" s="592">
        <f>M51*'3.Market-Rate For-Sale Housing'!$B$20</f>
        <v>0</v>
      </c>
      <c r="N59" s="594">
        <f>N51*'3.Market-Rate For-Sale Housing'!$B$20</f>
        <v>0</v>
      </c>
    </row>
    <row r="60" spans="1:14">
      <c r="A60" s="575" t="s">
        <v>65</v>
      </c>
      <c r="B60" s="576"/>
      <c r="C60" s="591">
        <f>SUM('4.Affordable Rental Housing'!D46:D47)</f>
        <v>225000</v>
      </c>
      <c r="D60" s="592">
        <f>D52*'4.Affordable Rental Housing'!$B$12</f>
        <v>0</v>
      </c>
      <c r="E60" s="593">
        <f>E52*'4.Affordable Rental Housing'!$B$12</f>
        <v>50400</v>
      </c>
      <c r="F60" s="594">
        <f>F52*'4.Affordable Rental Housing'!$B$12</f>
        <v>100000</v>
      </c>
      <c r="G60" s="592">
        <f>G52*'4.Affordable Rental Housing'!$B$12</f>
        <v>0</v>
      </c>
      <c r="H60" s="592">
        <f>H52*'4.Affordable Rental Housing'!$B$12</f>
        <v>0</v>
      </c>
      <c r="I60" s="592">
        <f>I52*'4.Affordable Rental Housing'!$B$12</f>
        <v>75200</v>
      </c>
      <c r="J60" s="592">
        <f>J52*'4.Affordable Rental Housing'!$B$12</f>
        <v>0</v>
      </c>
      <c r="K60" s="593">
        <f>K52*'4.Affordable Rental Housing'!$B$12</f>
        <v>0</v>
      </c>
      <c r="L60" s="592">
        <f>L52*'4.Affordable Rental Housing'!$B$12</f>
        <v>0</v>
      </c>
      <c r="M60" s="592">
        <f>M52*'4.Affordable Rental Housing'!$B$12</f>
        <v>0</v>
      </c>
      <c r="N60" s="594">
        <f>N52*'4.Affordable Rental Housing'!$B$12</f>
        <v>0</v>
      </c>
    </row>
    <row r="61" spans="1:14">
      <c r="A61" s="575" t="s">
        <v>301</v>
      </c>
      <c r="B61" s="576"/>
      <c r="C61" s="591">
        <f>SUM('5.Affordable For-Sale Housing '!D35)</f>
        <v>55000</v>
      </c>
      <c r="D61" s="592">
        <f>D53*'5.Affordable For-Sale Housing '!$B$12</f>
        <v>0</v>
      </c>
      <c r="E61" s="593">
        <f>E53*'5.Affordable For-Sale Housing '!$B$12</f>
        <v>0</v>
      </c>
      <c r="F61" s="594">
        <f>F53*'5.Affordable For-Sale Housing '!$B$12</f>
        <v>0</v>
      </c>
      <c r="G61" s="592">
        <f>G53*'5.Affordable For-Sale Housing '!$B$12</f>
        <v>0</v>
      </c>
      <c r="H61" s="592">
        <f>H53*'5.Affordable For-Sale Housing '!$B$12</f>
        <v>0</v>
      </c>
      <c r="I61" s="592">
        <f>I53*'5.Affordable For-Sale Housing '!$B$12</f>
        <v>0</v>
      </c>
      <c r="J61" s="592">
        <f>J53*'5.Affordable For-Sale Housing '!$B$12</f>
        <v>55000</v>
      </c>
      <c r="K61" s="593">
        <f>K53*'5.Affordable For-Sale Housing '!$B$12</f>
        <v>0</v>
      </c>
      <c r="L61" s="592">
        <f>L53*'5.Affordable For-Sale Housing '!$B$12</f>
        <v>0</v>
      </c>
      <c r="M61" s="592">
        <f>M53*'5.Affordable For-Sale Housing '!$B$12</f>
        <v>0</v>
      </c>
      <c r="N61" s="594">
        <f>N53*'5.Affordable For-Sale Housing '!$B$12</f>
        <v>0</v>
      </c>
    </row>
    <row r="62" spans="1:14">
      <c r="A62" s="575" t="s">
        <v>66</v>
      </c>
      <c r="B62" s="560"/>
      <c r="C62" s="591">
        <f>SUM('6.Office'!D47:D48)</f>
        <v>323650.80000000005</v>
      </c>
      <c r="D62" s="592">
        <f>'Development Schedule'!D98</f>
        <v>0</v>
      </c>
      <c r="E62" s="593">
        <f>'Development Schedule'!E98</f>
        <v>104381.33333333333</v>
      </c>
      <c r="F62" s="594">
        <f>'Development Schedule'!F98</f>
        <v>255230.66666666666</v>
      </c>
      <c r="G62" s="592">
        <f>'Development Schedule'!G98</f>
        <v>0</v>
      </c>
      <c r="H62" s="592">
        <f>'Development Schedule'!H98</f>
        <v>0</v>
      </c>
      <c r="I62" s="592">
        <f>'Development Schedule'!I98</f>
        <v>0</v>
      </c>
      <c r="J62" s="592">
        <f>'Development Schedule'!J98</f>
        <v>0</v>
      </c>
      <c r="K62" s="593">
        <f>'Development Schedule'!K98</f>
        <v>0</v>
      </c>
      <c r="L62" s="592">
        <f>'Development Schedule'!L98</f>
        <v>0</v>
      </c>
      <c r="M62" s="592">
        <f>'Development Schedule'!M98</f>
        <v>0</v>
      </c>
      <c r="N62" s="594">
        <f>'Development Schedule'!N98</f>
        <v>0</v>
      </c>
    </row>
    <row r="63" spans="1:14">
      <c r="A63" s="575" t="s">
        <v>183</v>
      </c>
      <c r="B63" s="560"/>
      <c r="C63" s="591">
        <f>'7.Industrial (Brewery)'!D38</f>
        <v>131506.20000000001</v>
      </c>
      <c r="D63" s="592">
        <f>'Development Schedule'!D97</f>
        <v>0</v>
      </c>
      <c r="E63" s="593">
        <f>'Development Schedule'!E97</f>
        <v>0</v>
      </c>
      <c r="F63" s="594">
        <f>'Development Schedule'!F97</f>
        <v>0</v>
      </c>
      <c r="G63" s="592">
        <f>'Development Schedule'!G97</f>
        <v>48706</v>
      </c>
      <c r="H63" s="592">
        <f>'Development Schedule'!H97</f>
        <v>97412</v>
      </c>
      <c r="I63" s="592">
        <f>'Development Schedule'!I97</f>
        <v>0</v>
      </c>
      <c r="J63" s="592">
        <f>'Development Schedule'!J97</f>
        <v>0</v>
      </c>
      <c r="K63" s="593">
        <f>'Development Schedule'!K97</f>
        <v>0</v>
      </c>
      <c r="L63" s="592">
        <f>'Development Schedule'!L97</f>
        <v>0</v>
      </c>
      <c r="M63" s="592">
        <f>'Development Schedule'!M97</f>
        <v>0</v>
      </c>
      <c r="N63" s="594">
        <f>'Development Schedule'!N97</f>
        <v>0</v>
      </c>
    </row>
    <row r="64" spans="1:14">
      <c r="A64" s="575" t="s">
        <v>120</v>
      </c>
      <c r="B64" s="560"/>
      <c r="C64" s="591">
        <f>SUM('8.Market-Rate Retail'!C103:C110)</f>
        <v>314728</v>
      </c>
      <c r="D64" s="592">
        <f>'Development Schedule'!D90</f>
        <v>0</v>
      </c>
      <c r="E64" s="593">
        <f>'Development Schedule'!E90</f>
        <v>33860</v>
      </c>
      <c r="F64" s="594">
        <f>'Development Schedule'!F90</f>
        <v>0</v>
      </c>
      <c r="G64" s="592">
        <f>'Development Schedule'!G90</f>
        <v>0</v>
      </c>
      <c r="H64" s="592">
        <f>'Development Schedule'!H90</f>
        <v>77784</v>
      </c>
      <c r="I64" s="592">
        <f>'Development Schedule'!I90</f>
        <v>58350</v>
      </c>
      <c r="J64" s="592">
        <f>'Development Schedule'!J90</f>
        <v>0</v>
      </c>
      <c r="K64" s="593">
        <f>'Development Schedule'!K90</f>
        <v>0</v>
      </c>
      <c r="L64" s="592">
        <f>'Development Schedule'!L90</f>
        <v>0</v>
      </c>
      <c r="M64" s="592">
        <f>'Development Schedule'!M90</f>
        <v>0</v>
      </c>
      <c r="N64" s="594">
        <f>'Development Schedule'!N90</f>
        <v>0</v>
      </c>
    </row>
    <row r="65" spans="1:15">
      <c r="A65" s="575" t="s">
        <v>48</v>
      </c>
      <c r="B65" s="560"/>
      <c r="C65" s="591">
        <f>SUM('9.Hotel'!D33)</f>
        <v>167420</v>
      </c>
      <c r="D65" s="592">
        <f>'Development Schedule'!D89</f>
        <v>0</v>
      </c>
      <c r="E65" s="593">
        <f>'Development Schedule'!E89</f>
        <v>0</v>
      </c>
      <c r="F65" s="594">
        <f>'Development Schedule'!F89</f>
        <v>0</v>
      </c>
      <c r="G65" s="592">
        <f>'Development Schedule'!G89</f>
        <v>55806.666666666664</v>
      </c>
      <c r="H65" s="592">
        <f>'Development Schedule'!H89</f>
        <v>111613.33333333333</v>
      </c>
      <c r="I65" s="592">
        <f>'Development Schedule'!I89</f>
        <v>0</v>
      </c>
      <c r="J65" s="592">
        <f>'Development Schedule'!J89</f>
        <v>0</v>
      </c>
      <c r="K65" s="593">
        <f>'Development Schedule'!K89</f>
        <v>0</v>
      </c>
      <c r="L65" s="592">
        <f>'Development Schedule'!L89</f>
        <v>0</v>
      </c>
      <c r="M65" s="592">
        <f>'Development Schedule'!M89</f>
        <v>0</v>
      </c>
      <c r="N65" s="594">
        <f>'Development Schedule'!N89</f>
        <v>0</v>
      </c>
    </row>
    <row r="66" spans="1:15">
      <c r="A66" s="575" t="s">
        <v>49</v>
      </c>
      <c r="B66" s="560"/>
      <c r="C66" s="591">
        <f>SUM('10.Structured Parking'!D65:D67)</f>
        <v>522094</v>
      </c>
      <c r="D66" s="592">
        <f>'Development Schedule'!D103</f>
        <v>0</v>
      </c>
      <c r="E66" s="593">
        <f>'Development Schedule'!E103</f>
        <v>239840</v>
      </c>
      <c r="F66" s="594">
        <f>'Development Schedule'!F103</f>
        <v>0</v>
      </c>
      <c r="G66" s="592">
        <f>'Development Schedule'!G103</f>
        <v>282254</v>
      </c>
      <c r="H66" s="592">
        <f>'Development Schedule'!H103</f>
        <v>0</v>
      </c>
      <c r="I66" s="592">
        <f>'Development Schedule'!I103</f>
        <v>0</v>
      </c>
      <c r="J66" s="592">
        <f>'Development Schedule'!J103</f>
        <v>0</v>
      </c>
      <c r="K66" s="593">
        <f>'Development Schedule'!K103</f>
        <v>0</v>
      </c>
      <c r="L66" s="592">
        <f>'Development Schedule'!L103</f>
        <v>0</v>
      </c>
      <c r="M66" s="592">
        <f>'Development Schedule'!M103</f>
        <v>0</v>
      </c>
      <c r="N66" s="594">
        <f>'Development Schedule'!N103</f>
        <v>0</v>
      </c>
    </row>
    <row r="67" spans="1:15" hidden="1">
      <c r="A67" s="582" t="s">
        <v>50</v>
      </c>
      <c r="B67" s="567"/>
      <c r="C67" s="595" t="e">
        <f>SUM(#REF!)</f>
        <v>#REF!</v>
      </c>
      <c r="D67" s="596" t="e">
        <f>'Development Schedule'!#REF!</f>
        <v>#REF!</v>
      </c>
      <c r="E67" s="597" t="e">
        <f>'Development Schedule'!#REF!</f>
        <v>#REF!</v>
      </c>
      <c r="F67" s="598" t="e">
        <f>'Development Schedule'!#REF!</f>
        <v>#REF!</v>
      </c>
      <c r="G67" s="596" t="e">
        <f>'Development Schedule'!#REF!</f>
        <v>#REF!</v>
      </c>
      <c r="H67" s="592" t="e">
        <f>'Development Schedule'!#REF!</f>
        <v>#REF!</v>
      </c>
      <c r="I67" s="596" t="e">
        <f>'Development Schedule'!#REF!</f>
        <v>#REF!</v>
      </c>
      <c r="J67" s="596" t="e">
        <f>'Development Schedule'!#REF!</f>
        <v>#REF!</v>
      </c>
      <c r="K67" s="597" t="e">
        <f>'Development Schedule'!#REF!</f>
        <v>#REF!</v>
      </c>
      <c r="L67" s="596" t="e">
        <f>'Development Schedule'!#REF!</f>
        <v>#REF!</v>
      </c>
      <c r="M67" s="596" t="e">
        <f>'Development Schedule'!#REF!</f>
        <v>#REF!</v>
      </c>
      <c r="N67" s="598" t="e">
        <f>'Development Schedule'!#REF!</f>
        <v>#REF!</v>
      </c>
    </row>
    <row r="68" spans="1:15" ht="16.2" thickBot="1">
      <c r="A68" s="599" t="s">
        <v>31</v>
      </c>
      <c r="B68" s="569"/>
      <c r="C68" s="1062">
        <f>SUM(C58:C66)</f>
        <v>2302099</v>
      </c>
      <c r="D68" s="601">
        <f t="shared" ref="D68:J68" si="8">SUM(D66,D65,D58:D64)</f>
        <v>0</v>
      </c>
      <c r="E68" s="602">
        <f t="shared" si="8"/>
        <v>488481.33333333331</v>
      </c>
      <c r="F68" s="603">
        <f t="shared" si="8"/>
        <v>535230.66666666663</v>
      </c>
      <c r="G68" s="601">
        <f t="shared" si="8"/>
        <v>460766.66666666669</v>
      </c>
      <c r="H68" s="601">
        <f t="shared" si="8"/>
        <v>390809.33333333331</v>
      </c>
      <c r="I68" s="601">
        <f t="shared" si="8"/>
        <v>292550</v>
      </c>
      <c r="J68" s="601">
        <f t="shared" si="8"/>
        <v>165000</v>
      </c>
      <c r="K68" s="602">
        <f>SUM(K66,K58:K65)</f>
        <v>0</v>
      </c>
      <c r="L68" s="601">
        <f>SUM(L66,L58:L65)</f>
        <v>0</v>
      </c>
      <c r="M68" s="601">
        <f>SUM(M66,M58:M65)</f>
        <v>0</v>
      </c>
      <c r="N68" s="603">
        <f>SUM(N66,N58:N65)</f>
        <v>0</v>
      </c>
    </row>
    <row r="69" spans="1:15" s="10" customFormat="1" ht="16.2" thickBot="1">
      <c r="A69" s="476"/>
      <c r="B69" s="441"/>
      <c r="C69" s="442"/>
      <c r="D69" s="443"/>
      <c r="E69" s="443"/>
      <c r="F69" s="443"/>
      <c r="G69" s="443"/>
      <c r="H69" s="1063"/>
      <c r="I69" s="443"/>
      <c r="J69" s="443"/>
      <c r="K69" s="443"/>
      <c r="L69" s="443"/>
      <c r="M69" s="443"/>
      <c r="N69" s="443"/>
    </row>
    <row r="70" spans="1:15" ht="16.2" thickBot="1">
      <c r="A70" s="1089" t="s">
        <v>123</v>
      </c>
      <c r="B70" s="1090"/>
      <c r="C70" s="1090"/>
      <c r="D70" s="1090"/>
      <c r="E70" s="1090"/>
      <c r="F70" s="1091"/>
      <c r="G70" s="440"/>
      <c r="H70" s="10"/>
      <c r="I70" s="1125" t="s">
        <v>210</v>
      </c>
      <c r="J70" s="1126"/>
      <c r="K70" s="1126"/>
      <c r="L70" s="1126"/>
      <c r="M70" s="1126"/>
      <c r="N70" s="1127"/>
    </row>
    <row r="71" spans="1:15" s="14" customFormat="1" ht="16.5" customHeight="1" thickBot="1">
      <c r="A71" s="572" t="s">
        <v>2</v>
      </c>
      <c r="B71" s="555"/>
      <c r="C71" s="573"/>
      <c r="D71" s="574"/>
      <c r="E71" s="556" t="s">
        <v>52</v>
      </c>
      <c r="F71" s="557" t="s">
        <v>34</v>
      </c>
      <c r="G71" s="8"/>
      <c r="H71" s="13"/>
      <c r="I71" s="553"/>
      <c r="J71" s="554"/>
      <c r="K71" s="554"/>
      <c r="L71" s="555"/>
      <c r="M71" s="556" t="s">
        <v>51</v>
      </c>
      <c r="N71" s="557" t="s">
        <v>74</v>
      </c>
    </row>
    <row r="72" spans="1:15" ht="15.6">
      <c r="A72" s="613" t="s">
        <v>63</v>
      </c>
      <c r="B72" s="1122"/>
      <c r="C72" s="1122"/>
      <c r="D72" s="866"/>
      <c r="E72" s="773">
        <f>F72/C50</f>
        <v>160612.87792836057</v>
      </c>
      <c r="F72" s="778">
        <f t="shared" ref="F72:F80" si="9">SUM(D17:N17)</f>
        <v>56254660.494408287</v>
      </c>
      <c r="G72" s="11"/>
      <c r="H72" s="10"/>
      <c r="I72" s="865" t="s">
        <v>467</v>
      </c>
      <c r="J72" s="441"/>
      <c r="K72" s="441"/>
      <c r="L72" s="866"/>
      <c r="M72" s="767"/>
      <c r="N72" s="871"/>
      <c r="O72" s="762"/>
    </row>
    <row r="73" spans="1:15">
      <c r="A73" s="575" t="s">
        <v>64</v>
      </c>
      <c r="B73" s="576"/>
      <c r="C73" s="576"/>
      <c r="D73" s="868"/>
      <c r="E73" s="774">
        <f>F73/C51</f>
        <v>159096.08709797068</v>
      </c>
      <c r="F73" s="759">
        <f t="shared" si="9"/>
        <v>32153319.202499874</v>
      </c>
      <c r="G73" s="11"/>
      <c r="H73" s="10"/>
      <c r="I73" s="561" t="s">
        <v>492</v>
      </c>
      <c r="J73" s="560"/>
      <c r="K73" s="560"/>
      <c r="L73" s="867"/>
      <c r="M73" s="563">
        <f>Budget!C10</f>
        <v>145134741.02163348</v>
      </c>
      <c r="N73" s="564">
        <f>M73/$M$86</f>
        <v>0.41355097570479893</v>
      </c>
    </row>
    <row r="74" spans="1:15" ht="15.6">
      <c r="A74" s="575" t="s">
        <v>65</v>
      </c>
      <c r="B74" s="576"/>
      <c r="C74" s="576"/>
      <c r="D74" s="868"/>
      <c r="E74" s="775">
        <f>F74/C52</f>
        <v>120881.76238079999</v>
      </c>
      <c r="F74" s="759">
        <f t="shared" si="9"/>
        <v>33907334.347814396</v>
      </c>
      <c r="G74" s="11"/>
      <c r="H74" s="10"/>
      <c r="I74" s="558" t="s">
        <v>468</v>
      </c>
      <c r="J74" s="560"/>
      <c r="K74" s="560"/>
      <c r="L74" s="873"/>
      <c r="M74" s="563"/>
      <c r="N74" s="564"/>
      <c r="O74" s="762"/>
    </row>
    <row r="75" spans="1:15">
      <c r="A75" s="575" t="s">
        <v>301</v>
      </c>
      <c r="B75" s="576"/>
      <c r="C75" s="576"/>
      <c r="D75" s="868"/>
      <c r="E75" s="774">
        <f>F75/C53</f>
        <v>128436.57159222069</v>
      </c>
      <c r="F75" s="759">
        <f t="shared" si="9"/>
        <v>8830014.2969651725</v>
      </c>
      <c r="G75" s="11"/>
      <c r="H75" s="10"/>
      <c r="I75" s="561" t="s">
        <v>493</v>
      </c>
      <c r="J75" s="560"/>
      <c r="K75" s="560"/>
      <c r="L75" s="873"/>
      <c r="M75" s="563">
        <f>Budget!C12</f>
        <v>125700000</v>
      </c>
      <c r="N75" s="564">
        <f>M75/$M$86</f>
        <v>0.35817308302734141</v>
      </c>
    </row>
    <row r="76" spans="1:15" ht="15.6">
      <c r="A76" s="36" t="s">
        <v>285</v>
      </c>
      <c r="B76" s="10"/>
      <c r="C76" s="10"/>
      <c r="D76" s="1123"/>
      <c r="E76" s="776">
        <f>F76/C62</f>
        <v>151.7235391329173</v>
      </c>
      <c r="F76" s="779">
        <f t="shared" si="9"/>
        <v>49105444.819199994</v>
      </c>
      <c r="G76" s="11"/>
      <c r="H76" s="10"/>
      <c r="I76" s="561" t="s">
        <v>484</v>
      </c>
      <c r="J76" s="559"/>
      <c r="K76" s="559"/>
      <c r="L76" s="868"/>
      <c r="M76" s="581">
        <f>Budget!C13</f>
        <v>5500000</v>
      </c>
      <c r="N76" s="564">
        <f>M76/M86</f>
        <v>1.5671853274863787E-2</v>
      </c>
    </row>
    <row r="77" spans="1:15">
      <c r="A77" s="575" t="s">
        <v>183</v>
      </c>
      <c r="B77" s="560"/>
      <c r="C77" s="576"/>
      <c r="D77" s="868"/>
      <c r="E77" s="774">
        <f>F77/C63</f>
        <v>139.95992153087997</v>
      </c>
      <c r="F77" s="759">
        <f t="shared" si="9"/>
        <v>18405597.432824209</v>
      </c>
      <c r="G77" s="11"/>
      <c r="H77" s="10"/>
      <c r="I77" s="561" t="s">
        <v>487</v>
      </c>
      <c r="J77" s="560"/>
      <c r="K77" s="560"/>
      <c r="L77" s="868"/>
      <c r="M77" s="565">
        <f>Budget!C14</f>
        <v>14562044.801073438</v>
      </c>
      <c r="N77" s="564">
        <f>M77/$M$86</f>
        <v>4.1493496273530169E-2</v>
      </c>
      <c r="O77" s="472"/>
    </row>
    <row r="78" spans="1:15">
      <c r="A78" s="575" t="s">
        <v>67</v>
      </c>
      <c r="B78" s="560"/>
      <c r="C78" s="576"/>
      <c r="D78" s="868"/>
      <c r="E78" s="774">
        <f>F78/C64</f>
        <v>78.353858543064291</v>
      </c>
      <c r="F78" s="759">
        <f t="shared" si="9"/>
        <v>24660153.191541538</v>
      </c>
      <c r="G78" s="11"/>
      <c r="H78" s="10"/>
      <c r="I78" s="561" t="s">
        <v>490</v>
      </c>
      <c r="J78" s="560"/>
      <c r="K78" s="560"/>
      <c r="L78" s="868"/>
      <c r="M78" s="581">
        <f>Budget!C15</f>
        <v>4800000</v>
      </c>
      <c r="N78" s="564">
        <f>M78/M86</f>
        <v>1.3677253767153849E-2</v>
      </c>
    </row>
    <row r="79" spans="1:15" ht="15.6">
      <c r="A79" s="575" t="s">
        <v>48</v>
      </c>
      <c r="B79" s="560"/>
      <c r="C79" s="576"/>
      <c r="D79" s="868"/>
      <c r="E79" s="777">
        <f>F79/C54</f>
        <v>175414.51410807972</v>
      </c>
      <c r="F79" s="759">
        <f t="shared" si="9"/>
        <v>58763862.226206705</v>
      </c>
      <c r="G79" s="11"/>
      <c r="H79" s="10"/>
      <c r="I79" s="561" t="s">
        <v>491</v>
      </c>
      <c r="J79" s="559"/>
      <c r="K79" s="559"/>
      <c r="L79" s="868"/>
      <c r="M79" s="581">
        <f>Budget!C16</f>
        <v>15550000</v>
      </c>
      <c r="N79" s="564">
        <f>M79/M86</f>
        <v>4.4308603349842157E-2</v>
      </c>
    </row>
    <row r="80" spans="1:15" ht="15.6">
      <c r="A80" s="575" t="s">
        <v>173</v>
      </c>
      <c r="B80" s="560"/>
      <c r="C80" s="576"/>
      <c r="D80" s="868"/>
      <c r="E80" s="777">
        <f>F80/(C55)</f>
        <v>12629.905866600731</v>
      </c>
      <c r="F80" s="759">
        <f t="shared" si="9"/>
        <v>32969990.367585216</v>
      </c>
      <c r="G80" s="11"/>
      <c r="H80" s="10"/>
      <c r="I80" s="558" t="s">
        <v>469</v>
      </c>
      <c r="J80" s="559"/>
      <c r="K80" s="559"/>
      <c r="L80" s="868"/>
      <c r="M80" s="875"/>
      <c r="N80" s="564">
        <f>M80/$M$86</f>
        <v>0</v>
      </c>
    </row>
    <row r="81" spans="1:14">
      <c r="A81" s="575" t="s">
        <v>203</v>
      </c>
      <c r="B81" s="560"/>
      <c r="C81" s="576"/>
      <c r="D81" s="868"/>
      <c r="E81" s="774">
        <f>F81/'Land Acquisition'!D14</f>
        <v>29.23243836885268</v>
      </c>
      <c r="F81" s="577">
        <f>SUM(D27:N27)</f>
        <v>33075013.159999996</v>
      </c>
      <c r="G81" s="11"/>
      <c r="H81" s="10"/>
      <c r="I81" s="772" t="s">
        <v>483</v>
      </c>
      <c r="J81" s="560"/>
      <c r="K81" s="560"/>
      <c r="L81" s="868"/>
      <c r="M81" s="566">
        <f>Budget!C18</f>
        <v>7586525</v>
      </c>
      <c r="N81" s="564">
        <f>M81/$M$86</f>
        <v>2.1617255757470179E-2</v>
      </c>
    </row>
    <row r="82" spans="1:14" ht="16.2" thickBot="1">
      <c r="A82" s="575" t="s">
        <v>200</v>
      </c>
      <c r="B82" s="560"/>
      <c r="C82" s="576"/>
      <c r="D82" s="868"/>
      <c r="E82" s="1141">
        <v>3</v>
      </c>
      <c r="F82" s="577">
        <f>SUM(D29:N29)</f>
        <v>209742</v>
      </c>
      <c r="G82" s="8"/>
      <c r="H82" s="10"/>
      <c r="I82" s="772" t="s">
        <v>331</v>
      </c>
      <c r="J82" s="560"/>
      <c r="K82" s="560"/>
      <c r="L82" s="868"/>
      <c r="M82" s="566">
        <f>Budget!C19</f>
        <v>1260970</v>
      </c>
      <c r="N82" s="564">
        <f>M82/$M$86</f>
        <v>3.5930430589099977E-3</v>
      </c>
    </row>
    <row r="83" spans="1:14" ht="16.2" thickBot="1">
      <c r="A83" s="1142"/>
      <c r="B83" s="763"/>
      <c r="C83" s="764"/>
      <c r="D83" s="763"/>
      <c r="E83" s="1143"/>
      <c r="F83" s="1144"/>
      <c r="G83" s="8"/>
      <c r="H83" s="10"/>
      <c r="I83" s="1145" t="s">
        <v>496</v>
      </c>
      <c r="J83" s="560"/>
      <c r="K83" s="560"/>
      <c r="L83" s="868"/>
      <c r="M83" s="566">
        <f>Budget!C20</f>
        <v>2400000</v>
      </c>
      <c r="N83" s="564">
        <f>M83/M86</f>
        <v>6.8386268835769247E-3</v>
      </c>
    </row>
    <row r="84" spans="1:14" ht="16.2" thickBot="1">
      <c r="A84" s="599" t="s">
        <v>308</v>
      </c>
      <c r="B84" s="870"/>
      <c r="C84" s="1124"/>
      <c r="D84" s="870"/>
      <c r="E84" s="1140"/>
      <c r="F84" s="780">
        <f>Budget!C7</f>
        <v>2612513.486542841</v>
      </c>
      <c r="G84" s="669"/>
      <c r="H84" s="10"/>
      <c r="I84" s="772" t="s">
        <v>494</v>
      </c>
      <c r="J84" s="560"/>
      <c r="K84" s="560"/>
      <c r="L84" s="868"/>
      <c r="M84" s="566">
        <f>Budget!C21</f>
        <v>6013364.2028813697</v>
      </c>
      <c r="N84" s="564">
        <f>M84/$M$86</f>
        <v>1.7134647541068193E-2</v>
      </c>
    </row>
    <row r="85" spans="1:14" ht="16.2" thickBot="1">
      <c r="A85" s="1192" t="s">
        <v>466</v>
      </c>
      <c r="B85" s="1193"/>
      <c r="C85" s="1193"/>
      <c r="D85" s="1194"/>
      <c r="E85" s="556" t="s">
        <v>54</v>
      </c>
      <c r="F85" s="557" t="s">
        <v>55</v>
      </c>
      <c r="G85" s="669"/>
      <c r="H85" s="10"/>
      <c r="I85" s="772" t="s">
        <v>314</v>
      </c>
      <c r="J85" s="560"/>
      <c r="K85" s="10"/>
      <c r="L85" s="758"/>
      <c r="M85" s="566">
        <f>Budget!C22</f>
        <v>22440000</v>
      </c>
      <c r="N85" s="564">
        <f>M85/$M$86</f>
        <v>6.3941161361444246E-2</v>
      </c>
    </row>
    <row r="86" spans="1:14" ht="16.2" thickBot="1">
      <c r="A86" s="575" t="s">
        <v>430</v>
      </c>
      <c r="B86" s="560"/>
      <c r="C86" s="576"/>
      <c r="D86" s="560"/>
      <c r="E86" s="876">
        <v>0</v>
      </c>
      <c r="F86" s="992">
        <f>SUM('1.Infrastructure Costs'!E10:M10)</f>
        <v>5422479.617991169</v>
      </c>
      <c r="G86" s="655"/>
      <c r="H86" s="10"/>
      <c r="I86" s="568" t="s">
        <v>208</v>
      </c>
      <c r="J86" s="569"/>
      <c r="K86" s="569"/>
      <c r="L86" s="864"/>
      <c r="M86" s="570">
        <f>SUM(M73:M85)</f>
        <v>350947645.02558833</v>
      </c>
      <c r="N86" s="571">
        <f>SUM(N73:N85)</f>
        <v>0.99999999999999978</v>
      </c>
    </row>
    <row r="87" spans="1:14" ht="15" customHeight="1">
      <c r="A87" s="575" t="s">
        <v>392</v>
      </c>
      <c r="B87" s="560"/>
      <c r="C87" s="576"/>
      <c r="D87" s="560"/>
      <c r="E87" s="565">
        <v>0</v>
      </c>
      <c r="F87" s="993">
        <f>SUM('1.Infrastructure Costs'!F11:M11)</f>
        <v>8017818.9371751603</v>
      </c>
      <c r="G87" s="10"/>
      <c r="H87" s="10"/>
      <c r="I87" s="1250" t="s">
        <v>498</v>
      </c>
      <c r="J87" s="1250"/>
      <c r="K87" s="1250"/>
      <c r="L87" s="1250"/>
      <c r="M87" s="1250"/>
      <c r="N87" s="1250"/>
    </row>
    <row r="88" spans="1:14" ht="15.6" customHeight="1">
      <c r="A88" s="575" t="s">
        <v>391</v>
      </c>
      <c r="B88" s="560"/>
      <c r="C88" s="576"/>
      <c r="D88" s="560"/>
      <c r="E88" s="565">
        <v>0</v>
      </c>
      <c r="F88" s="993">
        <f>SUM('1.Infrastructure Costs'!F12:M12)</f>
        <v>1747689.2240261759</v>
      </c>
      <c r="G88" s="10"/>
      <c r="H88" s="10"/>
      <c r="I88" s="1251"/>
      <c r="J88" s="1251"/>
      <c r="K88" s="1251"/>
      <c r="L88" s="1251"/>
      <c r="M88" s="1251"/>
      <c r="N88" s="1251"/>
    </row>
    <row r="89" spans="1:14">
      <c r="A89" s="575" t="s">
        <v>431</v>
      </c>
      <c r="B89" s="560"/>
      <c r="C89" s="576"/>
      <c r="D89" s="560"/>
      <c r="E89" s="565">
        <v>0</v>
      </c>
      <c r="F89" s="993">
        <f>SUM('1.Infrastructure Costs'!F13:M13)</f>
        <v>1075572.9148149574</v>
      </c>
      <c r="G89" s="10"/>
      <c r="H89" s="10"/>
      <c r="I89" s="21" t="s">
        <v>499</v>
      </c>
    </row>
    <row r="90" spans="1:14">
      <c r="A90" s="575"/>
      <c r="B90" s="560"/>
      <c r="C90" s="576"/>
      <c r="D90" s="560"/>
      <c r="E90" s="565"/>
      <c r="F90" s="993"/>
      <c r="G90" s="10"/>
      <c r="H90" s="10"/>
      <c r="I90" s="1210" t="s">
        <v>500</v>
      </c>
      <c r="J90" s="1210"/>
      <c r="K90" s="1210"/>
      <c r="L90" s="1210"/>
      <c r="M90" s="1210"/>
      <c r="N90" s="1210"/>
    </row>
    <row r="91" spans="1:14" ht="15.6" thickBot="1">
      <c r="A91" s="771"/>
      <c r="B91" s="567"/>
      <c r="C91" s="583"/>
      <c r="D91" s="567"/>
      <c r="E91" s="665"/>
      <c r="F91" s="863"/>
      <c r="G91" s="10"/>
      <c r="H91" s="10"/>
      <c r="I91" s="1210"/>
      <c r="J91" s="1210"/>
      <c r="K91" s="1210"/>
      <c r="L91" s="1210"/>
      <c r="M91" s="1210"/>
      <c r="N91" s="1210"/>
    </row>
    <row r="92" spans="1:14" ht="16.5" customHeight="1" thickBot="1">
      <c r="A92" s="584" t="s">
        <v>33</v>
      </c>
      <c r="B92" s="585"/>
      <c r="C92" s="585"/>
      <c r="D92" s="560"/>
      <c r="E92" s="586"/>
      <c r="F92" s="994">
        <f>SUM(F86:F91)</f>
        <v>16263560.694007464</v>
      </c>
      <c r="G92" s="10"/>
      <c r="H92" s="655"/>
      <c r="I92" s="1207"/>
      <c r="J92" s="1207"/>
      <c r="K92" s="1207"/>
      <c r="L92" s="1207"/>
      <c r="M92" s="1207"/>
      <c r="N92" s="1207"/>
    </row>
    <row r="93" spans="1:14" ht="16.2" customHeight="1" thickBot="1">
      <c r="A93" s="572" t="s">
        <v>3</v>
      </c>
      <c r="B93" s="587"/>
      <c r="C93" s="587"/>
      <c r="D93" s="588"/>
      <c r="E93" s="589"/>
      <c r="F93" s="590">
        <f>SUM(F72:F84,F92)+E92-SUM(F86:F90)</f>
        <v>350947645.02558827</v>
      </c>
      <c r="I93" s="1207"/>
      <c r="J93" s="1207"/>
      <c r="K93" s="1207"/>
      <c r="L93" s="1207"/>
      <c r="M93" s="1207"/>
      <c r="N93" s="1207"/>
    </row>
    <row r="94" spans="1:14" ht="16.5" customHeight="1" thickBot="1">
      <c r="D94" s="15"/>
      <c r="E94" s="27"/>
      <c r="G94" s="762"/>
      <c r="I94" s="770"/>
    </row>
    <row r="95" spans="1:14" ht="16.5" customHeight="1" thickBot="1">
      <c r="A95" s="1195" t="s">
        <v>232</v>
      </c>
      <c r="B95" s="1196"/>
      <c r="C95" s="1196"/>
      <c r="D95" s="1196"/>
      <c r="E95" s="1196"/>
      <c r="F95" s="1197"/>
    </row>
    <row r="96" spans="1:14" ht="15.6" customHeight="1" thickBot="1">
      <c r="A96" s="659"/>
      <c r="B96" s="657"/>
      <c r="C96" s="660" t="s">
        <v>125</v>
      </c>
      <c r="D96" s="660" t="s">
        <v>126</v>
      </c>
      <c r="E96" s="660" t="s">
        <v>127</v>
      </c>
      <c r="F96" s="661" t="s">
        <v>31</v>
      </c>
    </row>
    <row r="97" spans="1:14" ht="18.600000000000001" thickBot="1">
      <c r="A97" s="662" t="s">
        <v>128</v>
      </c>
      <c r="B97" s="653"/>
      <c r="C97" s="663" t="s">
        <v>130</v>
      </c>
      <c r="D97" s="663" t="s">
        <v>233</v>
      </c>
      <c r="E97" s="663" t="s">
        <v>439</v>
      </c>
      <c r="F97" s="664" t="s">
        <v>440</v>
      </c>
      <c r="I97" s="1195" t="s">
        <v>242</v>
      </c>
      <c r="J97" s="1196"/>
      <c r="K97" s="1196"/>
      <c r="L97" s="1196"/>
      <c r="M97" s="1196"/>
      <c r="N97" s="1197"/>
    </row>
    <row r="98" spans="1:14" ht="15" customHeight="1">
      <c r="A98" s="613" t="s">
        <v>237</v>
      </c>
      <c r="B98" s="657"/>
      <c r="C98" s="1098">
        <v>108</v>
      </c>
      <c r="D98" s="1099">
        <f t="shared" ref="D98:D105" si="10">C98*0.25</f>
        <v>27</v>
      </c>
      <c r="E98" s="1100">
        <f t="shared" ref="E98:E105" si="11">C98*0.07</f>
        <v>7.5600000000000005</v>
      </c>
      <c r="F98" s="1101">
        <f t="shared" ref="F98:F105" si="12">SUM(C98:E98)</f>
        <v>142.56</v>
      </c>
      <c r="I98" s="656"/>
      <c r="J98" s="657"/>
      <c r="K98" s="658" t="s">
        <v>244</v>
      </c>
      <c r="L98" s="656"/>
      <c r="M98" s="657"/>
      <c r="N98" s="675"/>
    </row>
    <row r="99" spans="1:14" ht="16.2" thickBot="1">
      <c r="A99" s="36" t="s">
        <v>236</v>
      </c>
      <c r="B99" s="10"/>
      <c r="C99" s="984">
        <v>100</v>
      </c>
      <c r="D99" s="668">
        <f t="shared" si="10"/>
        <v>25</v>
      </c>
      <c r="E99" s="669">
        <f t="shared" si="11"/>
        <v>7.0000000000000009</v>
      </c>
      <c r="F99" s="986">
        <f t="shared" si="12"/>
        <v>132</v>
      </c>
      <c r="I99" s="37" t="s">
        <v>355</v>
      </c>
      <c r="J99" s="653"/>
      <c r="K99" s="674" t="s">
        <v>360</v>
      </c>
      <c r="L99" s="714" t="s">
        <v>246</v>
      </c>
      <c r="M99" s="703"/>
      <c r="N99" s="704"/>
    </row>
    <row r="100" spans="1:14">
      <c r="A100" s="36" t="s">
        <v>238</v>
      </c>
      <c r="B100" s="10"/>
      <c r="C100" s="984">
        <f>100*1.02</f>
        <v>102</v>
      </c>
      <c r="D100" s="668">
        <f t="shared" si="10"/>
        <v>25.5</v>
      </c>
      <c r="E100" s="669">
        <f t="shared" si="11"/>
        <v>7.1400000000000006</v>
      </c>
      <c r="F100" s="986">
        <f t="shared" si="12"/>
        <v>134.63999999999999</v>
      </c>
      <c r="I100" s="656" t="s">
        <v>354</v>
      </c>
      <c r="J100" s="657"/>
      <c r="K100" s="824">
        <v>2.1</v>
      </c>
      <c r="L100" s="1151" t="s">
        <v>352</v>
      </c>
      <c r="M100" s="1152"/>
      <c r="N100" s="1153"/>
    </row>
    <row r="101" spans="1:14" ht="15.6" thickBot="1">
      <c r="A101" s="772" t="s">
        <v>239</v>
      </c>
      <c r="B101" s="10"/>
      <c r="C101" s="984">
        <f>250*1.02</f>
        <v>255</v>
      </c>
      <c r="D101" s="668">
        <f t="shared" si="10"/>
        <v>63.75</v>
      </c>
      <c r="E101" s="669">
        <f t="shared" si="11"/>
        <v>17.850000000000001</v>
      </c>
      <c r="F101" s="986">
        <f t="shared" si="12"/>
        <v>336.6</v>
      </c>
      <c r="I101" s="665"/>
      <c r="J101" s="653"/>
      <c r="K101" s="653"/>
      <c r="L101" s="1154"/>
      <c r="M101" s="1155"/>
      <c r="N101" s="1156"/>
    </row>
    <row r="102" spans="1:14" ht="15.6" thickBot="1">
      <c r="A102" s="772" t="s">
        <v>87</v>
      </c>
      <c r="B102" s="10"/>
      <c r="C102" s="984">
        <f>59*1.02</f>
        <v>60.18</v>
      </c>
      <c r="D102" s="668">
        <f t="shared" si="10"/>
        <v>15.045</v>
      </c>
      <c r="E102" s="669">
        <f t="shared" si="11"/>
        <v>4.2126000000000001</v>
      </c>
      <c r="F102" s="986">
        <f t="shared" si="12"/>
        <v>79.437599999999989</v>
      </c>
      <c r="I102" s="33" t="s">
        <v>247</v>
      </c>
      <c r="J102" s="16"/>
      <c r="K102" s="826">
        <v>7.0000000000000007E-2</v>
      </c>
      <c r="L102" s="33" t="s">
        <v>351</v>
      </c>
      <c r="M102" s="16"/>
      <c r="N102" s="676"/>
    </row>
    <row r="103" spans="1:14" ht="15" customHeight="1" thickBot="1">
      <c r="A103" s="772" t="s">
        <v>48</v>
      </c>
      <c r="B103" s="10"/>
      <c r="C103" s="984">
        <f>320*1.02</f>
        <v>326.39999999999998</v>
      </c>
      <c r="D103" s="668">
        <f t="shared" si="10"/>
        <v>81.599999999999994</v>
      </c>
      <c r="E103" s="669">
        <f t="shared" si="11"/>
        <v>22.847999999999999</v>
      </c>
      <c r="F103" s="986">
        <f t="shared" si="12"/>
        <v>430.84800000000001</v>
      </c>
      <c r="I103" s="769" t="s">
        <v>290</v>
      </c>
      <c r="J103" s="16"/>
      <c r="K103" s="880">
        <f>1.5</f>
        <v>1.5</v>
      </c>
      <c r="L103" s="989" t="s">
        <v>310</v>
      </c>
      <c r="M103" s="16"/>
      <c r="N103" s="676"/>
    </row>
    <row r="104" spans="1:14" ht="15" customHeight="1">
      <c r="A104" s="772" t="s">
        <v>49</v>
      </c>
      <c r="B104" s="10"/>
      <c r="C104" s="984">
        <f>45*1.02</f>
        <v>45.9</v>
      </c>
      <c r="D104" s="668">
        <f t="shared" si="10"/>
        <v>11.475</v>
      </c>
      <c r="E104" s="669">
        <f t="shared" si="11"/>
        <v>3.2130000000000001</v>
      </c>
      <c r="F104" s="986">
        <f t="shared" si="12"/>
        <v>60.588000000000001</v>
      </c>
      <c r="I104" s="772"/>
      <c r="J104" s="10"/>
      <c r="K104" s="1004"/>
      <c r="L104" s="1182" t="s">
        <v>353</v>
      </c>
      <c r="M104" s="1183"/>
      <c r="N104" s="1184"/>
    </row>
    <row r="105" spans="1:14" ht="15.6" customHeight="1">
      <c r="A105" s="772" t="s">
        <v>183</v>
      </c>
      <c r="B105" s="10"/>
      <c r="C105" s="984">
        <f>87*1.02</f>
        <v>88.74</v>
      </c>
      <c r="D105" s="668">
        <f t="shared" si="10"/>
        <v>22.184999999999999</v>
      </c>
      <c r="E105" s="669">
        <f t="shared" si="11"/>
        <v>6.2118000000000002</v>
      </c>
      <c r="F105" s="986">
        <f t="shared" si="12"/>
        <v>117.13679999999999</v>
      </c>
      <c r="I105" s="36" t="s">
        <v>248</v>
      </c>
      <c r="J105" s="10"/>
      <c r="K105" s="988">
        <v>221</v>
      </c>
      <c r="L105" s="1185"/>
      <c r="M105" s="1186"/>
      <c r="N105" s="1187"/>
    </row>
    <row r="106" spans="1:14" ht="15.6" customHeight="1" thickBot="1">
      <c r="A106" s="783" t="s">
        <v>472</v>
      </c>
      <c r="B106" s="653"/>
      <c r="C106" s="985">
        <v>17</v>
      </c>
      <c r="D106" s="670">
        <f>C106*0.25</f>
        <v>4.25</v>
      </c>
      <c r="E106" s="671">
        <f>C106*0.07</f>
        <v>1.1900000000000002</v>
      </c>
      <c r="F106" s="987">
        <f>SUM(C106:E106)</f>
        <v>22.44</v>
      </c>
      <c r="I106" s="36"/>
      <c r="J106" s="10"/>
      <c r="K106" s="988"/>
      <c r="L106" s="1185"/>
      <c r="M106" s="1186"/>
      <c r="N106" s="1187"/>
    </row>
    <row r="107" spans="1:14" ht="15.6" thickBot="1">
      <c r="A107" s="673" t="s">
        <v>427</v>
      </c>
      <c r="I107" s="665"/>
      <c r="J107" s="653"/>
      <c r="K107" s="653"/>
      <c r="L107" s="1212"/>
      <c r="M107" s="1213"/>
      <c r="N107" s="1214"/>
    </row>
    <row r="108" spans="1:14" ht="15.6" thickBot="1">
      <c r="A108" s="21" t="s">
        <v>428</v>
      </c>
      <c r="I108" s="656" t="s">
        <v>300</v>
      </c>
      <c r="J108" s="657"/>
      <c r="K108" s="990">
        <v>116.67</v>
      </c>
      <c r="L108" s="1037" t="s">
        <v>311</v>
      </c>
      <c r="M108" s="657"/>
      <c r="N108" s="675"/>
    </row>
    <row r="109" spans="1:14">
      <c r="A109" s="677" t="s">
        <v>429</v>
      </c>
      <c r="I109" s="656" t="s">
        <v>249</v>
      </c>
      <c r="J109" s="657"/>
      <c r="K109" s="990">
        <v>20</v>
      </c>
      <c r="L109" s="1149" t="s">
        <v>356</v>
      </c>
      <c r="M109" s="1149"/>
      <c r="N109" s="1158"/>
    </row>
    <row r="110" spans="1:14" ht="15.6" thickBot="1">
      <c r="A110" s="677" t="s">
        <v>350</v>
      </c>
      <c r="B110" s="677"/>
      <c r="C110" s="677"/>
      <c r="D110" s="677"/>
      <c r="E110" s="677"/>
      <c r="F110" s="677"/>
      <c r="I110" s="665" t="s">
        <v>184</v>
      </c>
      <c r="J110" s="653"/>
      <c r="K110" s="1038">
        <v>0.151</v>
      </c>
      <c r="L110" s="1150"/>
      <c r="M110" s="1150"/>
      <c r="N110" s="1160"/>
    </row>
    <row r="111" spans="1:14" ht="15.6" thickBot="1">
      <c r="A111" s="21" t="s">
        <v>478</v>
      </c>
      <c r="I111" s="656" t="s">
        <v>250</v>
      </c>
      <c r="J111" s="657"/>
      <c r="K111" s="831">
        <v>15</v>
      </c>
      <c r="L111" s="1164" t="s">
        <v>357</v>
      </c>
      <c r="M111" s="1165"/>
      <c r="N111" s="1166"/>
    </row>
    <row r="112" spans="1:14" ht="16.2" thickBot="1">
      <c r="B112" s="1198" t="s">
        <v>199</v>
      </c>
      <c r="C112" s="1199"/>
      <c r="D112" s="1199"/>
      <c r="E112" s="1199"/>
      <c r="F112" s="1200"/>
      <c r="I112" s="36" t="s">
        <v>251</v>
      </c>
      <c r="J112" s="10"/>
      <c r="K112" s="832">
        <v>25</v>
      </c>
      <c r="L112" s="1167"/>
      <c r="M112" s="1168"/>
      <c r="N112" s="1169"/>
    </row>
    <row r="113" spans="2:14" ht="15.6">
      <c r="B113" s="678"/>
      <c r="C113" s="660"/>
      <c r="D113" s="660" t="s">
        <v>190</v>
      </c>
      <c r="E113" s="679" t="s">
        <v>191</v>
      </c>
      <c r="F113" s="661" t="s">
        <v>176</v>
      </c>
      <c r="I113" s="36" t="s">
        <v>252</v>
      </c>
      <c r="J113" s="10"/>
      <c r="K113" s="832">
        <v>10</v>
      </c>
      <c r="L113" s="1167"/>
      <c r="M113" s="1168"/>
      <c r="N113" s="1169"/>
    </row>
    <row r="114" spans="2:14" ht="15" customHeight="1" thickBot="1">
      <c r="B114" s="662" t="s">
        <v>187</v>
      </c>
      <c r="C114" s="663"/>
      <c r="D114" s="663" t="s">
        <v>176</v>
      </c>
      <c r="E114" s="680" t="s">
        <v>95</v>
      </c>
      <c r="F114" s="664" t="s">
        <v>178</v>
      </c>
      <c r="G114" s="749"/>
      <c r="I114" s="665" t="s">
        <v>185</v>
      </c>
      <c r="J114" s="653"/>
      <c r="K114" s="833">
        <v>4.2999999999999997E-2</v>
      </c>
      <c r="L114" s="1170"/>
      <c r="M114" s="1171"/>
      <c r="N114" s="1172"/>
    </row>
    <row r="115" spans="2:14" ht="15.6">
      <c r="B115" s="659" t="s">
        <v>192</v>
      </c>
      <c r="C115" s="882"/>
      <c r="D115" s="883">
        <f>'Land Values'!D8</f>
        <v>2641020</v>
      </c>
      <c r="E115" s="887">
        <f>'Land Values'!E8</f>
        <v>546477</v>
      </c>
      <c r="F115" s="891">
        <f>D115/E115</f>
        <v>4.8328108959754941</v>
      </c>
      <c r="G115" s="750"/>
      <c r="I115" s="656" t="s">
        <v>253</v>
      </c>
      <c r="J115" s="657"/>
      <c r="K115" s="824">
        <v>215</v>
      </c>
      <c r="L115" s="1173" t="s">
        <v>358</v>
      </c>
      <c r="M115" s="1174"/>
      <c r="N115" s="1175"/>
    </row>
    <row r="116" spans="2:14" ht="15.6">
      <c r="B116" s="681" t="s">
        <v>193</v>
      </c>
      <c r="C116" s="682"/>
      <c r="D116" s="889">
        <f>'Land Values'!D12</f>
        <v>1332500</v>
      </c>
      <c r="E116" s="888">
        <f>'Land Values'!E12</f>
        <v>51782</v>
      </c>
      <c r="F116" s="892">
        <f t="shared" ref="F116" si="13">D116/E116</f>
        <v>25.732880151403961</v>
      </c>
      <c r="G116" s="750"/>
      <c r="I116" s="36" t="s">
        <v>254</v>
      </c>
      <c r="J116" s="10"/>
      <c r="K116" s="834">
        <v>0.64</v>
      </c>
      <c r="L116" s="1176"/>
      <c r="M116" s="1177"/>
      <c r="N116" s="1178"/>
    </row>
    <row r="117" spans="2:14" ht="16.2" thickBot="1">
      <c r="B117" s="681" t="s">
        <v>194</v>
      </c>
      <c r="C117" s="682"/>
      <c r="D117" s="889">
        <f>'Land Values'!D16</f>
        <v>2548580</v>
      </c>
      <c r="E117" s="888">
        <f>'Land Values'!E16</f>
        <v>98800</v>
      </c>
      <c r="F117" s="892">
        <f>D117/E117</f>
        <v>25.795344129554657</v>
      </c>
      <c r="G117" s="750"/>
      <c r="I117" s="665" t="s">
        <v>255</v>
      </c>
      <c r="J117" s="653"/>
      <c r="K117" s="835">
        <v>0.28000000000000003</v>
      </c>
      <c r="L117" s="1179"/>
      <c r="M117" s="1180"/>
      <c r="N117" s="1181"/>
    </row>
    <row r="118" spans="2:14" ht="15.6">
      <c r="B118" s="681" t="s">
        <v>342</v>
      </c>
      <c r="C118" s="682"/>
      <c r="D118" s="889">
        <f>'Land Values'!D20</f>
        <v>720150</v>
      </c>
      <c r="E118" s="888">
        <f>'Land Values'!E20</f>
        <v>27975</v>
      </c>
      <c r="F118" s="892">
        <f>D118/E118</f>
        <v>25.742627345844504</v>
      </c>
      <c r="G118" s="750"/>
      <c r="I118" s="656" t="s">
        <v>276</v>
      </c>
      <c r="J118" s="657"/>
      <c r="K118" s="836">
        <v>7</v>
      </c>
      <c r="L118" s="656" t="s">
        <v>462</v>
      </c>
      <c r="M118" s="657"/>
      <c r="N118" s="675"/>
    </row>
    <row r="119" spans="2:14" ht="16.2" thickBot="1">
      <c r="B119" s="681" t="s">
        <v>343</v>
      </c>
      <c r="C119" s="682"/>
      <c r="D119" s="752">
        <f>'Land Values'!D24</f>
        <v>12998901.76</v>
      </c>
      <c r="E119" s="888">
        <f>'Land Values'!E24</f>
        <v>113152</v>
      </c>
      <c r="F119" s="892">
        <f t="shared" ref="F119:F122" si="14">D119/E119</f>
        <v>114.88</v>
      </c>
      <c r="G119" s="750"/>
      <c r="I119" s="665" t="s">
        <v>186</v>
      </c>
      <c r="J119" s="653"/>
      <c r="K119" s="837">
        <v>2.8000000000000001E-2</v>
      </c>
      <c r="L119" s="665" t="s">
        <v>463</v>
      </c>
      <c r="M119" s="653"/>
      <c r="N119" s="724"/>
    </row>
    <row r="120" spans="2:14" ht="15.6">
      <c r="B120" s="884" t="s">
        <v>344</v>
      </c>
      <c r="C120" s="885"/>
      <c r="D120" s="890">
        <f>'Land Values'!D28</f>
        <v>942970</v>
      </c>
      <c r="E120" s="886">
        <f>'Land Values'!E28</f>
        <v>18132</v>
      </c>
      <c r="F120" s="892">
        <f t="shared" si="14"/>
        <v>52.005846018089564</v>
      </c>
      <c r="G120" s="750"/>
      <c r="I120" s="656" t="s">
        <v>292</v>
      </c>
      <c r="J120" s="657"/>
      <c r="K120" s="990">
        <v>170</v>
      </c>
      <c r="L120" s="36" t="s">
        <v>359</v>
      </c>
      <c r="M120" s="10"/>
      <c r="N120" s="758"/>
    </row>
    <row r="121" spans="2:14" ht="15.6" thickBot="1">
      <c r="B121" s="884" t="s">
        <v>345</v>
      </c>
      <c r="C121" s="885"/>
      <c r="D121" s="890">
        <f>'Land Values'!D32</f>
        <v>1921350</v>
      </c>
      <c r="E121" s="886">
        <f>'Land Values'!E32</f>
        <v>25616</v>
      </c>
      <c r="F121" s="892">
        <f t="shared" si="14"/>
        <v>75.005855715178015</v>
      </c>
      <c r="G121" s="683"/>
      <c r="I121" s="665" t="s">
        <v>294</v>
      </c>
      <c r="J121" s="653"/>
      <c r="K121" s="991">
        <v>3</v>
      </c>
      <c r="L121" s="36"/>
      <c r="M121" s="10"/>
      <c r="N121" s="758"/>
    </row>
    <row r="122" spans="2:14" ht="15.6" thickBot="1">
      <c r="B122" s="884" t="s">
        <v>361</v>
      </c>
      <c r="C122" s="885"/>
      <c r="D122" s="890">
        <f>'Land Values'!D36</f>
        <v>3999860</v>
      </c>
      <c r="E122" s="886">
        <f>'Land Values'!E36</f>
        <v>18132</v>
      </c>
      <c r="F122" s="892">
        <f t="shared" si="14"/>
        <v>220.59673505404808</v>
      </c>
      <c r="G122" s="685"/>
      <c r="I122" s="656" t="s">
        <v>256</v>
      </c>
      <c r="J122" s="657"/>
      <c r="K122" s="1104">
        <v>5.8000000000000003E-2</v>
      </c>
      <c r="L122" s="1182" t="s">
        <v>362</v>
      </c>
      <c r="M122" s="1183"/>
      <c r="N122" s="1184"/>
    </row>
    <row r="123" spans="2:14" ht="16.2" thickBot="1">
      <c r="B123" s="893" t="s">
        <v>31</v>
      </c>
      <c r="C123" s="894"/>
      <c r="D123" s="895">
        <f>SUM(D115:D122)</f>
        <v>27105331.759999998</v>
      </c>
      <c r="E123" s="896">
        <f>SUM(E115:E122)</f>
        <v>900066</v>
      </c>
      <c r="F123" s="897">
        <f>D123/E123</f>
        <v>30.114826868251882</v>
      </c>
      <c r="G123" s="685"/>
      <c r="I123" s="36" t="s">
        <v>257</v>
      </c>
      <c r="J123" s="10"/>
      <c r="K123" s="834">
        <v>6.4000000000000001E-2</v>
      </c>
      <c r="L123" s="1185"/>
      <c r="M123" s="1186"/>
      <c r="N123" s="1187"/>
    </row>
    <row r="124" spans="2:14">
      <c r="B124" s="742" t="s">
        <v>465</v>
      </c>
      <c r="C124" s="57"/>
      <c r="D124" s="846"/>
      <c r="E124" s="847"/>
      <c r="F124" s="847"/>
      <c r="G124" s="685"/>
      <c r="I124" s="36" t="s">
        <v>258</v>
      </c>
      <c r="J124" s="10"/>
      <c r="K124" s="834">
        <v>7.1999999999999995E-2</v>
      </c>
      <c r="L124" s="1185"/>
      <c r="M124" s="1186"/>
      <c r="N124" s="1187"/>
    </row>
    <row r="125" spans="2:14" ht="15.6">
      <c r="B125" s="742"/>
      <c r="C125" s="743"/>
      <c r="D125" s="844"/>
      <c r="E125" s="845"/>
      <c r="F125" s="845"/>
      <c r="G125" s="751"/>
      <c r="H125" s="749"/>
      <c r="I125" s="36" t="s">
        <v>259</v>
      </c>
      <c r="J125" s="10"/>
      <c r="K125" s="834">
        <v>7.4999999999999997E-2</v>
      </c>
      <c r="L125" s="1185"/>
      <c r="M125" s="1186"/>
      <c r="N125" s="1187"/>
    </row>
    <row r="126" spans="2:14" ht="15.6">
      <c r="B126" s="742"/>
      <c r="C126" s="743"/>
      <c r="D126" s="844"/>
      <c r="E126" s="845"/>
      <c r="F126" s="845"/>
      <c r="G126" s="692"/>
      <c r="H126" s="750"/>
      <c r="I126" s="36" t="s">
        <v>275</v>
      </c>
      <c r="J126" s="10"/>
      <c r="K126" s="834">
        <v>0.06</v>
      </c>
      <c r="L126" s="716"/>
      <c r="M126" s="717"/>
      <c r="N126" s="718"/>
    </row>
    <row r="127" spans="2:14" ht="16.2" thickBot="1">
      <c r="B127" s="39"/>
      <c r="C127" s="57"/>
      <c r="D127" s="846"/>
      <c r="E127" s="847"/>
      <c r="F127" s="847"/>
      <c r="G127" s="692"/>
      <c r="H127" s="750"/>
      <c r="I127" s="665" t="s">
        <v>260</v>
      </c>
      <c r="J127" s="653"/>
      <c r="K127" s="1103">
        <v>6.7000000000000004E-2</v>
      </c>
      <c r="L127" s="665"/>
      <c r="M127" s="653"/>
      <c r="N127" s="724"/>
    </row>
    <row r="128" spans="2:14" ht="16.2" thickBot="1">
      <c r="B128" s="1198" t="s">
        <v>195</v>
      </c>
      <c r="C128" s="1199"/>
      <c r="D128" s="1199"/>
      <c r="E128" s="1199"/>
      <c r="F128" s="1200"/>
      <c r="G128" s="463"/>
      <c r="H128" s="752"/>
      <c r="I128" s="560"/>
      <c r="J128" s="560"/>
      <c r="K128" s="1128"/>
      <c r="L128" s="898"/>
      <c r="M128" s="898"/>
      <c r="N128" s="898"/>
    </row>
    <row r="129" spans="2:14">
      <c r="B129" s="744" t="s">
        <v>364</v>
      </c>
      <c r="C129" s="745"/>
      <c r="D129" s="853"/>
      <c r="E129" s="854"/>
      <c r="F129" s="855"/>
      <c r="H129" s="753"/>
      <c r="I129" s="560"/>
      <c r="J129" s="560"/>
      <c r="K129" s="1128"/>
      <c r="L129" s="898"/>
      <c r="M129" s="898"/>
      <c r="N129" s="898"/>
    </row>
    <row r="130" spans="2:14">
      <c r="B130" s="695"/>
      <c r="C130" s="696"/>
      <c r="D130" s="696"/>
      <c r="E130" s="696"/>
      <c r="F130" s="856">
        <f>'Land Acquisition'!F20</f>
        <v>69914</v>
      </c>
      <c r="H130" s="753"/>
      <c r="I130" s="560"/>
      <c r="J130" s="560"/>
      <c r="K130" s="1128"/>
      <c r="L130" s="881"/>
      <c r="M130" s="881"/>
      <c r="N130" s="881"/>
    </row>
    <row r="131" spans="2:14" ht="15.6">
      <c r="B131" s="697" t="s">
        <v>196</v>
      </c>
      <c r="C131" s="698"/>
      <c r="D131" s="698"/>
      <c r="E131" s="698"/>
      <c r="F131" s="699">
        <f>SUM(F129:F130)</f>
        <v>69914</v>
      </c>
      <c r="H131" s="753"/>
      <c r="I131" s="560"/>
      <c r="J131" s="560"/>
      <c r="K131" s="1128"/>
      <c r="L131" s="560"/>
      <c r="M131" s="560"/>
      <c r="N131" s="560"/>
    </row>
    <row r="132" spans="2:14" ht="15.6">
      <c r="B132" s="695" t="s">
        <v>363</v>
      </c>
      <c r="C132" s="696"/>
      <c r="D132" s="696"/>
      <c r="E132" s="702" t="s">
        <v>197</v>
      </c>
      <c r="F132" s="857">
        <v>3</v>
      </c>
      <c r="H132" s="751"/>
      <c r="I132" s="1211"/>
      <c r="J132" s="1211"/>
      <c r="K132" s="1211"/>
      <c r="L132" s="1211"/>
      <c r="M132" s="1211"/>
      <c r="N132" s="1211"/>
    </row>
    <row r="133" spans="2:14" ht="18.600000000000001" thickBot="1">
      <c r="B133" s="662" t="s">
        <v>263</v>
      </c>
      <c r="C133" s="700"/>
      <c r="D133" s="700"/>
      <c r="E133" s="700"/>
      <c r="F133" s="690">
        <f>F131*F132</f>
        <v>209742</v>
      </c>
      <c r="H133" s="692"/>
      <c r="I133" s="1211"/>
      <c r="J133" s="1211"/>
      <c r="K133" s="1211"/>
      <c r="L133" s="1211"/>
      <c r="M133" s="1211"/>
      <c r="N133" s="1211"/>
    </row>
    <row r="134" spans="2:14">
      <c r="B134" s="673" t="s">
        <v>332</v>
      </c>
      <c r="C134" s="673"/>
      <c r="D134" s="673"/>
      <c r="E134" s="673"/>
      <c r="F134" s="673"/>
      <c r="H134" s="692"/>
    </row>
    <row r="135" spans="2:14">
      <c r="G135" s="38"/>
      <c r="H135" s="463"/>
    </row>
    <row r="136" spans="2:14">
      <c r="H136" s="463"/>
    </row>
    <row r="137" spans="2:14">
      <c r="H137" s="463"/>
    </row>
    <row r="138" spans="2:14">
      <c r="H138" s="38"/>
    </row>
    <row r="139" spans="2:14">
      <c r="H139" s="38"/>
      <c r="I139" s="749"/>
      <c r="J139" s="749"/>
      <c r="K139" s="749"/>
      <c r="L139" s="749"/>
      <c r="M139" s="10"/>
    </row>
    <row r="140" spans="2:14" ht="15.6">
      <c r="H140" s="38"/>
      <c r="I140" s="750"/>
      <c r="J140" s="750"/>
      <c r="K140" s="750"/>
      <c r="L140" s="10"/>
    </row>
    <row r="141" spans="2:14" ht="15.6">
      <c r="H141" s="38"/>
      <c r="I141" s="750"/>
      <c r="J141" s="750"/>
      <c r="K141" s="750"/>
      <c r="L141" s="10"/>
    </row>
    <row r="142" spans="2:14">
      <c r="H142" s="38"/>
      <c r="I142" s="683"/>
      <c r="J142" s="683"/>
      <c r="K142" s="752"/>
      <c r="L142" s="10"/>
    </row>
    <row r="143" spans="2:14">
      <c r="I143" s="685"/>
      <c r="J143" s="685"/>
      <c r="K143" s="753"/>
      <c r="L143" s="10"/>
    </row>
    <row r="144" spans="2:14">
      <c r="I144" s="685"/>
      <c r="J144" s="685"/>
      <c r="K144" s="753"/>
      <c r="L144" s="10"/>
    </row>
    <row r="145" spans="9:12">
      <c r="I145" s="685"/>
      <c r="J145" s="685"/>
      <c r="K145" s="753"/>
      <c r="L145" s="10"/>
    </row>
    <row r="146" spans="9:12">
      <c r="I146" s="685"/>
      <c r="J146" s="685"/>
      <c r="K146" s="753"/>
      <c r="L146" s="10"/>
    </row>
    <row r="147" spans="9:12" ht="15.6">
      <c r="I147" s="751"/>
      <c r="J147" s="751"/>
      <c r="K147" s="751"/>
      <c r="L147" s="10"/>
    </row>
    <row r="148" spans="9:12">
      <c r="I148" s="692"/>
      <c r="J148" s="692"/>
      <c r="K148" s="693"/>
      <c r="L148" s="694"/>
    </row>
    <row r="149" spans="9:12">
      <c r="I149" s="692"/>
      <c r="J149" s="692"/>
      <c r="K149" s="693"/>
      <c r="L149" s="694"/>
    </row>
    <row r="150" spans="9:12">
      <c r="I150" s="463"/>
      <c r="J150" s="463"/>
      <c r="K150" s="156"/>
      <c r="L150" s="464"/>
    </row>
    <row r="151" spans="9:12">
      <c r="I151" s="463"/>
      <c r="J151" s="463"/>
      <c r="K151" s="156"/>
      <c r="L151" s="464"/>
    </row>
    <row r="152" spans="9:12">
      <c r="I152" s="463"/>
      <c r="J152" s="463"/>
      <c r="K152" s="156"/>
      <c r="L152" s="464"/>
    </row>
    <row r="153" spans="9:12">
      <c r="I153" s="38"/>
      <c r="J153" s="38"/>
      <c r="K153" s="38"/>
      <c r="L153" s="38"/>
    </row>
    <row r="154" spans="9:12">
      <c r="I154" s="38"/>
      <c r="J154" s="38"/>
      <c r="K154" s="38"/>
      <c r="L154" s="38"/>
    </row>
    <row r="155" spans="9:12">
      <c r="I155" s="38"/>
      <c r="J155" s="38"/>
      <c r="K155" s="38"/>
      <c r="L155" s="38"/>
    </row>
    <row r="156" spans="9:12">
      <c r="I156" s="38"/>
      <c r="J156" s="38"/>
      <c r="K156" s="38"/>
      <c r="L156" s="38"/>
    </row>
    <row r="157" spans="9:12">
      <c r="I157" s="38"/>
      <c r="J157" s="38"/>
      <c r="K157" s="38"/>
      <c r="L157" s="38"/>
    </row>
  </sheetData>
  <mergeCells count="22">
    <mergeCell ref="I132:N133"/>
    <mergeCell ref="L100:N101"/>
    <mergeCell ref="L109:N110"/>
    <mergeCell ref="L111:N114"/>
    <mergeCell ref="L115:N117"/>
    <mergeCell ref="L122:N125"/>
    <mergeCell ref="L104:N107"/>
    <mergeCell ref="A1:N1"/>
    <mergeCell ref="A85:D85"/>
    <mergeCell ref="A95:F95"/>
    <mergeCell ref="B128:F128"/>
    <mergeCell ref="I97:N97"/>
    <mergeCell ref="G2:J2"/>
    <mergeCell ref="K2:N2"/>
    <mergeCell ref="K47:N47"/>
    <mergeCell ref="I92:N93"/>
    <mergeCell ref="B112:F112"/>
    <mergeCell ref="E47:F47"/>
    <mergeCell ref="G47:J47"/>
    <mergeCell ref="E2:F2"/>
    <mergeCell ref="I87:N88"/>
    <mergeCell ref="I90:N91"/>
  </mergeCells>
  <pageMargins left="0.19791666666666699" right="0.25" top="0.75" bottom="0.75" header="0.3" footer="0.3"/>
  <pageSetup paperSize="17" scale="44" orientation="portrait" r:id="rId1"/>
  <headerFooter alignWithMargins="0">
    <oddHeader xml:space="preserve">&amp;L&amp;"Arial,Bold"2019 ULI Hines Student Urban Design Competition&amp;RTeam 191863
 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F43"/>
  <sheetViews>
    <sheetView view="pageBreakPreview" zoomScale="85" zoomScaleNormal="85" zoomScaleSheetLayoutView="85" workbookViewId="0">
      <selection activeCell="B5" sqref="B5"/>
    </sheetView>
  </sheetViews>
  <sheetFormatPr defaultColWidth="10" defaultRowHeight="13.2"/>
  <cols>
    <col min="1" max="1" width="31" style="375" customWidth="1"/>
    <col min="2" max="2" width="19" style="375" customWidth="1"/>
    <col min="3" max="3" width="19" style="402" customWidth="1"/>
    <col min="4" max="5" width="19" style="375" customWidth="1"/>
    <col min="6" max="16384" width="10" style="375"/>
  </cols>
  <sheetData>
    <row r="1" spans="1:5" s="39" customFormat="1">
      <c r="A1" s="50" t="s">
        <v>81</v>
      </c>
      <c r="B1" s="51"/>
      <c r="C1" s="51"/>
      <c r="D1" s="51"/>
      <c r="E1" s="52"/>
    </row>
    <row r="2" spans="1:5" s="39" customFormat="1" ht="13.8" thickBot="1">
      <c r="A2" s="53" t="s">
        <v>124</v>
      </c>
      <c r="B2" s="54"/>
      <c r="C2" s="54"/>
      <c r="D2" s="54"/>
      <c r="E2" s="55"/>
    </row>
    <row r="3" spans="1:5" s="39" customFormat="1" ht="12.75" customHeight="1">
      <c r="A3" s="726"/>
      <c r="B3" s="727" t="s">
        <v>125</v>
      </c>
      <c r="C3" s="382" t="s">
        <v>126</v>
      </c>
      <c r="D3" s="382" t="s">
        <v>127</v>
      </c>
      <c r="E3" s="383" t="s">
        <v>31</v>
      </c>
    </row>
    <row r="4" spans="1:5" s="39" customFormat="1" ht="16.2" thickBot="1">
      <c r="A4" s="115" t="s">
        <v>128</v>
      </c>
      <c r="B4" s="135" t="s">
        <v>129</v>
      </c>
      <c r="C4" s="135" t="s">
        <v>130</v>
      </c>
      <c r="D4" s="135" t="s">
        <v>131</v>
      </c>
      <c r="E4" s="384" t="s">
        <v>130</v>
      </c>
    </row>
    <row r="5" spans="1:5" s="39" customFormat="1">
      <c r="A5" s="63" t="s">
        <v>132</v>
      </c>
      <c r="B5" s="385">
        <v>122</v>
      </c>
      <c r="C5" s="386">
        <f t="shared" ref="C5:C29" si="0">B5*$B$33</f>
        <v>24.400000000000002</v>
      </c>
      <c r="D5" s="387">
        <f t="shared" ref="D5:D29" si="1">B5*$B$34</f>
        <v>4.88</v>
      </c>
      <c r="E5" s="388">
        <f>SUM(B5:D5)</f>
        <v>151.28</v>
      </c>
    </row>
    <row r="6" spans="1:5" s="39" customFormat="1">
      <c r="A6" s="63" t="s">
        <v>133</v>
      </c>
      <c r="B6" s="389">
        <v>139.76</v>
      </c>
      <c r="C6" s="390">
        <f t="shared" si="0"/>
        <v>27.951999999999998</v>
      </c>
      <c r="D6" s="391">
        <f t="shared" si="1"/>
        <v>5.5903999999999998</v>
      </c>
      <c r="E6" s="392">
        <f t="shared" ref="E6:E29" si="2">SUM(B6:D6)</f>
        <v>173.30239999999998</v>
      </c>
    </row>
    <row r="7" spans="1:5" s="39" customFormat="1">
      <c r="A7" s="63" t="s">
        <v>134</v>
      </c>
      <c r="B7" s="389">
        <v>164.86</v>
      </c>
      <c r="C7" s="390">
        <f t="shared" si="0"/>
        <v>32.972000000000001</v>
      </c>
      <c r="D7" s="391">
        <f t="shared" si="1"/>
        <v>6.5944000000000003</v>
      </c>
      <c r="E7" s="392">
        <f t="shared" si="2"/>
        <v>204.42640000000003</v>
      </c>
    </row>
    <row r="8" spans="1:5" s="39" customFormat="1">
      <c r="A8" s="63" t="s">
        <v>135</v>
      </c>
      <c r="B8" s="389">
        <v>134.1</v>
      </c>
      <c r="C8" s="390">
        <f t="shared" si="0"/>
        <v>26.82</v>
      </c>
      <c r="D8" s="391">
        <f t="shared" si="1"/>
        <v>5.3639999999999999</v>
      </c>
      <c r="E8" s="392">
        <f t="shared" si="2"/>
        <v>166.28399999999999</v>
      </c>
    </row>
    <row r="9" spans="1:5" s="39" customFormat="1">
      <c r="A9" s="63" t="s">
        <v>164</v>
      </c>
      <c r="B9" s="389">
        <v>186.95</v>
      </c>
      <c r="C9" s="390">
        <f t="shared" si="0"/>
        <v>37.39</v>
      </c>
      <c r="D9" s="391">
        <f t="shared" si="1"/>
        <v>7.4779999999999998</v>
      </c>
      <c r="E9" s="392">
        <f t="shared" si="2"/>
        <v>231.81799999999998</v>
      </c>
    </row>
    <row r="10" spans="1:5" s="39" customFormat="1">
      <c r="A10" s="63" t="s">
        <v>136</v>
      </c>
      <c r="B10" s="389">
        <v>131.75</v>
      </c>
      <c r="C10" s="390">
        <f t="shared" si="0"/>
        <v>26.35</v>
      </c>
      <c r="D10" s="391">
        <f t="shared" si="1"/>
        <v>5.2700000000000005</v>
      </c>
      <c r="E10" s="392">
        <f t="shared" si="2"/>
        <v>163.37</v>
      </c>
    </row>
    <row r="11" spans="1:5" s="39" customFormat="1">
      <c r="A11" s="63" t="s">
        <v>137</v>
      </c>
      <c r="B11" s="389">
        <v>114</v>
      </c>
      <c r="C11" s="390">
        <f t="shared" si="0"/>
        <v>22.8</v>
      </c>
      <c r="D11" s="391">
        <f t="shared" si="1"/>
        <v>4.5600000000000005</v>
      </c>
      <c r="E11" s="392">
        <f t="shared" si="2"/>
        <v>141.36000000000001</v>
      </c>
    </row>
    <row r="12" spans="1:5" s="39" customFormat="1">
      <c r="A12" s="63" t="s">
        <v>138</v>
      </c>
      <c r="B12" s="389">
        <v>132.15</v>
      </c>
      <c r="C12" s="390">
        <f t="shared" si="0"/>
        <v>26.430000000000003</v>
      </c>
      <c r="D12" s="391">
        <f t="shared" si="1"/>
        <v>5.2860000000000005</v>
      </c>
      <c r="E12" s="392">
        <f t="shared" si="2"/>
        <v>163.86600000000001</v>
      </c>
    </row>
    <row r="13" spans="1:5" s="39" customFormat="1">
      <c r="A13" s="63" t="s">
        <v>139</v>
      </c>
      <c r="B13" s="389">
        <v>94.87</v>
      </c>
      <c r="C13" s="390">
        <f t="shared" si="0"/>
        <v>18.974</v>
      </c>
      <c r="D13" s="391">
        <f t="shared" si="1"/>
        <v>3.7948000000000004</v>
      </c>
      <c r="E13" s="392">
        <f t="shared" si="2"/>
        <v>117.6388</v>
      </c>
    </row>
    <row r="14" spans="1:5" s="39" customFormat="1">
      <c r="A14" s="63" t="s">
        <v>165</v>
      </c>
      <c r="B14" s="389">
        <v>117.77</v>
      </c>
      <c r="C14" s="390">
        <f t="shared" si="0"/>
        <v>23.554000000000002</v>
      </c>
      <c r="D14" s="391">
        <f t="shared" si="1"/>
        <v>4.7107999999999999</v>
      </c>
      <c r="E14" s="392">
        <f t="shared" si="2"/>
        <v>146.03480000000002</v>
      </c>
    </row>
    <row r="15" spans="1:5" s="39" customFormat="1">
      <c r="A15" s="63" t="s">
        <v>140</v>
      </c>
      <c r="B15" s="389">
        <v>150.63999999999999</v>
      </c>
      <c r="C15" s="390">
        <f t="shared" si="0"/>
        <v>30.128</v>
      </c>
      <c r="D15" s="391">
        <f t="shared" si="1"/>
        <v>6.0255999999999998</v>
      </c>
      <c r="E15" s="392">
        <f t="shared" si="2"/>
        <v>186.79359999999997</v>
      </c>
    </row>
    <row r="16" spans="1:5" s="39" customFormat="1">
      <c r="A16" s="63" t="s">
        <v>141</v>
      </c>
      <c r="B16" s="389">
        <v>146.47</v>
      </c>
      <c r="C16" s="390">
        <f t="shared" si="0"/>
        <v>29.294</v>
      </c>
      <c r="D16" s="391">
        <f t="shared" si="1"/>
        <v>5.8588000000000005</v>
      </c>
      <c r="E16" s="392">
        <f t="shared" si="2"/>
        <v>181.62280000000001</v>
      </c>
    </row>
    <row r="17" spans="1:6" s="39" customFormat="1">
      <c r="A17" s="63" t="s">
        <v>142</v>
      </c>
      <c r="B17" s="389">
        <v>135.13999999999999</v>
      </c>
      <c r="C17" s="390">
        <f t="shared" si="0"/>
        <v>27.027999999999999</v>
      </c>
      <c r="D17" s="391">
        <f t="shared" si="1"/>
        <v>5.4055999999999997</v>
      </c>
      <c r="E17" s="392">
        <f t="shared" si="2"/>
        <v>167.57359999999997</v>
      </c>
    </row>
    <row r="18" spans="1:6" s="39" customFormat="1">
      <c r="A18" s="63" t="s">
        <v>143</v>
      </c>
      <c r="B18" s="389">
        <v>186.71</v>
      </c>
      <c r="C18" s="390">
        <f t="shared" si="0"/>
        <v>37.342000000000006</v>
      </c>
      <c r="D18" s="391">
        <f t="shared" si="1"/>
        <v>7.4684000000000008</v>
      </c>
      <c r="E18" s="392">
        <f t="shared" si="2"/>
        <v>231.52040000000002</v>
      </c>
    </row>
    <row r="19" spans="1:6" s="39" customFormat="1">
      <c r="A19" s="63" t="s">
        <v>144</v>
      </c>
      <c r="B19" s="389">
        <v>137.88</v>
      </c>
      <c r="C19" s="390">
        <f t="shared" si="0"/>
        <v>27.576000000000001</v>
      </c>
      <c r="D19" s="391">
        <f t="shared" si="1"/>
        <v>5.5152000000000001</v>
      </c>
      <c r="E19" s="392">
        <f t="shared" si="2"/>
        <v>170.97119999999998</v>
      </c>
    </row>
    <row r="20" spans="1:6" s="39" customFormat="1">
      <c r="A20" s="63" t="s">
        <v>145</v>
      </c>
      <c r="B20" s="389">
        <v>132.12</v>
      </c>
      <c r="C20" s="390">
        <f t="shared" si="0"/>
        <v>26.424000000000003</v>
      </c>
      <c r="D20" s="391">
        <f t="shared" si="1"/>
        <v>5.2848000000000006</v>
      </c>
      <c r="E20" s="392">
        <f t="shared" si="2"/>
        <v>163.8288</v>
      </c>
    </row>
    <row r="21" spans="1:6" s="39" customFormat="1">
      <c r="A21" s="63" t="s">
        <v>146</v>
      </c>
      <c r="B21" s="389">
        <v>139.97999999999999</v>
      </c>
      <c r="C21" s="390">
        <f t="shared" si="0"/>
        <v>27.995999999999999</v>
      </c>
      <c r="D21" s="391">
        <f t="shared" si="1"/>
        <v>5.5991999999999997</v>
      </c>
      <c r="E21" s="392">
        <f t="shared" si="2"/>
        <v>173.5752</v>
      </c>
      <c r="F21" s="393"/>
    </row>
    <row r="22" spans="1:6" s="39" customFormat="1">
      <c r="A22" s="63" t="s">
        <v>147</v>
      </c>
      <c r="B22" s="389">
        <v>130.96</v>
      </c>
      <c r="C22" s="390">
        <f t="shared" si="0"/>
        <v>26.192000000000004</v>
      </c>
      <c r="D22" s="391">
        <f t="shared" si="1"/>
        <v>5.2384000000000004</v>
      </c>
      <c r="E22" s="392">
        <f t="shared" si="2"/>
        <v>162.39040000000003</v>
      </c>
    </row>
    <row r="23" spans="1:6" s="39" customFormat="1">
      <c r="A23" s="63" t="s">
        <v>148</v>
      </c>
      <c r="B23" s="389">
        <v>177.4</v>
      </c>
      <c r="C23" s="390">
        <f t="shared" si="0"/>
        <v>35.480000000000004</v>
      </c>
      <c r="D23" s="391">
        <f t="shared" si="1"/>
        <v>7.0960000000000001</v>
      </c>
      <c r="E23" s="392">
        <f t="shared" si="2"/>
        <v>219.976</v>
      </c>
    </row>
    <row r="24" spans="1:6" s="39" customFormat="1">
      <c r="A24" s="63" t="s">
        <v>149</v>
      </c>
      <c r="B24" s="389">
        <v>168.62</v>
      </c>
      <c r="C24" s="390">
        <f t="shared" si="0"/>
        <v>33.724000000000004</v>
      </c>
      <c r="D24" s="391">
        <f t="shared" si="1"/>
        <v>6.7448000000000006</v>
      </c>
      <c r="E24" s="392">
        <f t="shared" si="2"/>
        <v>209.08879999999999</v>
      </c>
    </row>
    <row r="25" spans="1:6" s="39" customFormat="1">
      <c r="A25" s="63" t="s">
        <v>150</v>
      </c>
      <c r="B25" s="389">
        <v>102.255</v>
      </c>
      <c r="C25" s="390">
        <f t="shared" si="0"/>
        <v>20.451000000000001</v>
      </c>
      <c r="D25" s="391">
        <f t="shared" si="1"/>
        <v>4.0902000000000003</v>
      </c>
      <c r="E25" s="392">
        <f t="shared" si="2"/>
        <v>126.79619999999998</v>
      </c>
    </row>
    <row r="26" spans="1:6" s="39" customFormat="1">
      <c r="A26" s="63" t="s">
        <v>151</v>
      </c>
      <c r="B26" s="389">
        <v>143.02000000000001</v>
      </c>
      <c r="C26" s="390">
        <f t="shared" si="0"/>
        <v>28.604000000000003</v>
      </c>
      <c r="D26" s="391">
        <f t="shared" si="1"/>
        <v>5.7208000000000006</v>
      </c>
      <c r="E26" s="392">
        <f t="shared" si="2"/>
        <v>177.34480000000002</v>
      </c>
    </row>
    <row r="27" spans="1:6" s="39" customFormat="1">
      <c r="A27" s="63" t="s">
        <v>152</v>
      </c>
      <c r="B27" s="389">
        <v>142.85</v>
      </c>
      <c r="C27" s="390">
        <f t="shared" si="0"/>
        <v>28.57</v>
      </c>
      <c r="D27" s="391">
        <f t="shared" si="1"/>
        <v>5.7139999999999995</v>
      </c>
      <c r="E27" s="392">
        <f t="shared" si="2"/>
        <v>177.13399999999999</v>
      </c>
    </row>
    <row r="28" spans="1:6">
      <c r="A28" s="63" t="s">
        <v>153</v>
      </c>
      <c r="B28" s="389">
        <v>88.93</v>
      </c>
      <c r="C28" s="390">
        <f t="shared" si="0"/>
        <v>17.786000000000001</v>
      </c>
      <c r="D28" s="391">
        <f t="shared" si="1"/>
        <v>3.5572000000000004</v>
      </c>
      <c r="E28" s="392">
        <f t="shared" si="2"/>
        <v>110.2732</v>
      </c>
      <c r="F28" s="39"/>
    </row>
    <row r="29" spans="1:6" ht="13.8" thickBot="1">
      <c r="A29" s="66" t="s">
        <v>154</v>
      </c>
      <c r="B29" s="394">
        <v>79.77</v>
      </c>
      <c r="C29" s="395">
        <f t="shared" si="0"/>
        <v>15.954000000000001</v>
      </c>
      <c r="D29" s="396">
        <f t="shared" si="1"/>
        <v>3.1907999999999999</v>
      </c>
      <c r="E29" s="397">
        <f t="shared" si="2"/>
        <v>98.914799999999985</v>
      </c>
      <c r="F29" s="39"/>
    </row>
    <row r="30" spans="1:6">
      <c r="A30" s="39" t="s">
        <v>155</v>
      </c>
      <c r="B30" s="39"/>
      <c r="C30" s="57"/>
      <c r="D30" s="39"/>
      <c r="E30" s="39"/>
      <c r="F30" s="39"/>
    </row>
    <row r="31" spans="1:6" ht="13.8" thickBot="1">
      <c r="A31" s="39"/>
      <c r="B31" s="39"/>
      <c r="C31" s="57"/>
      <c r="D31" s="39"/>
      <c r="E31" s="39"/>
      <c r="F31" s="39"/>
    </row>
    <row r="32" spans="1:6" ht="13.8" thickBot="1">
      <c r="A32" s="126" t="s">
        <v>14</v>
      </c>
      <c r="B32" s="127"/>
      <c r="C32" s="64"/>
      <c r="D32" s="73"/>
      <c r="E32" s="73"/>
      <c r="F32" s="39"/>
    </row>
    <row r="33" spans="1:6">
      <c r="A33" s="63" t="s">
        <v>156</v>
      </c>
      <c r="B33" s="403">
        <v>0.2</v>
      </c>
      <c r="C33" s="64"/>
      <c r="D33" s="73"/>
      <c r="E33" s="73"/>
      <c r="F33" s="39"/>
    </row>
    <row r="34" spans="1:6" ht="13.8" thickBot="1">
      <c r="A34" s="66" t="s">
        <v>157</v>
      </c>
      <c r="B34" s="404">
        <v>0.04</v>
      </c>
      <c r="C34" s="64"/>
      <c r="D34" s="73"/>
      <c r="E34" s="73"/>
      <c r="F34" s="39"/>
    </row>
    <row r="35" spans="1:6" ht="13.8" thickBot="1">
      <c r="A35" s="56"/>
      <c r="B35" s="39"/>
      <c r="C35" s="57"/>
      <c r="D35" s="39"/>
      <c r="E35" s="39"/>
      <c r="F35" s="39"/>
    </row>
    <row r="36" spans="1:6">
      <c r="A36" s="50" t="s">
        <v>81</v>
      </c>
      <c r="B36" s="398"/>
      <c r="C36" s="57"/>
      <c r="D36" s="39"/>
      <c r="E36" s="39"/>
      <c r="F36" s="39"/>
    </row>
    <row r="37" spans="1:6" ht="13.8" thickBot="1">
      <c r="A37" s="53" t="s">
        <v>158</v>
      </c>
      <c r="B37" s="399"/>
      <c r="C37" s="57"/>
      <c r="D37" s="39"/>
      <c r="E37" s="39"/>
      <c r="F37" s="39"/>
    </row>
    <row r="38" spans="1:6" ht="13.8" thickBot="1">
      <c r="A38" s="80" t="s">
        <v>159</v>
      </c>
      <c r="B38" s="84" t="s">
        <v>160</v>
      </c>
      <c r="C38" s="57"/>
      <c r="D38" s="39"/>
      <c r="E38" s="39"/>
      <c r="F38" s="39"/>
    </row>
    <row r="39" spans="1:6">
      <c r="A39" s="63" t="s">
        <v>161</v>
      </c>
      <c r="B39" s="405">
        <v>35</v>
      </c>
      <c r="C39" s="57"/>
      <c r="D39" s="39"/>
      <c r="E39" s="39"/>
      <c r="F39" s="39"/>
    </row>
    <row r="40" spans="1:6">
      <c r="A40" s="63" t="s">
        <v>56</v>
      </c>
      <c r="B40" s="406">
        <v>10</v>
      </c>
      <c r="C40" s="57"/>
      <c r="D40" s="39"/>
      <c r="E40" s="39"/>
      <c r="F40" s="39"/>
    </row>
    <row r="41" spans="1:6">
      <c r="A41" s="63" t="s">
        <v>162</v>
      </c>
      <c r="B41" s="406">
        <v>25</v>
      </c>
      <c r="C41" s="57"/>
      <c r="D41" s="39"/>
      <c r="E41" s="39"/>
      <c r="F41" s="39"/>
    </row>
    <row r="42" spans="1:6" ht="13.8" thickBot="1">
      <c r="A42" s="66" t="s">
        <v>163</v>
      </c>
      <c r="B42" s="407">
        <v>50</v>
      </c>
      <c r="C42" s="57"/>
      <c r="D42" s="39"/>
      <c r="E42" s="39"/>
      <c r="F42" s="39"/>
    </row>
    <row r="43" spans="1:6">
      <c r="A43" s="39"/>
      <c r="B43" s="39"/>
      <c r="C43" s="57"/>
      <c r="D43" s="39"/>
      <c r="E43" s="39"/>
      <c r="F43" s="39"/>
    </row>
  </sheetData>
  <printOptions horizontalCentered="1"/>
  <pageMargins left="0.45" right="0.45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0"/>
  <sheetViews>
    <sheetView view="pageBreakPreview" zoomScale="140" zoomScaleNormal="130" zoomScaleSheetLayoutView="140" workbookViewId="0">
      <selection activeCell="C13" sqref="C13"/>
    </sheetView>
  </sheetViews>
  <sheetFormatPr defaultColWidth="9.109375" defaultRowHeight="13.2"/>
  <cols>
    <col min="1" max="1" width="33.88671875" style="478" customWidth="1"/>
    <col min="2" max="2" width="15" style="478" customWidth="1"/>
    <col min="3" max="3" width="16" style="478" customWidth="1"/>
    <col min="4" max="4" width="23.5546875" style="478" bestFit="1" customWidth="1"/>
    <col min="5" max="5" width="15.6640625" style="478" bestFit="1" customWidth="1"/>
    <col min="6" max="6" width="10.109375" style="478" bestFit="1" customWidth="1"/>
    <col min="7" max="7" width="12.109375" style="478" bestFit="1" customWidth="1"/>
    <col min="8" max="16384" width="9.109375" style="478"/>
  </cols>
  <sheetData>
    <row r="1" spans="1:7">
      <c r="A1" s="1217" t="s">
        <v>81</v>
      </c>
      <c r="B1" s="1218"/>
      <c r="C1" s="1219"/>
    </row>
    <row r="2" spans="1:7" ht="13.8" thickBot="1">
      <c r="A2" s="1220"/>
      <c r="B2" s="1221"/>
      <c r="C2" s="1222"/>
    </row>
    <row r="3" spans="1:7" ht="3" customHeight="1">
      <c r="A3" s="518"/>
      <c r="B3" s="1108"/>
      <c r="C3" s="1109"/>
    </row>
    <row r="4" spans="1:7">
      <c r="A4" s="482" t="s">
        <v>68</v>
      </c>
      <c r="B4" s="480"/>
      <c r="C4" s="486">
        <f>'Summary Board'!F81</f>
        <v>33075013.159999996</v>
      </c>
    </row>
    <row r="5" spans="1:7">
      <c r="A5" s="482" t="s">
        <v>200</v>
      </c>
      <c r="B5" s="480"/>
      <c r="C5" s="509">
        <f>'Summary Board'!F82</f>
        <v>209742</v>
      </c>
    </row>
    <row r="6" spans="1:7">
      <c r="A6" s="482" t="s">
        <v>207</v>
      </c>
      <c r="B6" s="480"/>
      <c r="C6" s="509">
        <f>SUM('Summary Board'!F72:F80)</f>
        <v>315050376.37904543</v>
      </c>
    </row>
    <row r="7" spans="1:7">
      <c r="A7" s="488" t="s">
        <v>470</v>
      </c>
      <c r="B7" s="485"/>
      <c r="C7" s="1107">
        <f>(C6+C5+C4)*0.0075</f>
        <v>2612513.486542841</v>
      </c>
      <c r="D7" s="1085"/>
    </row>
    <row r="8" spans="1:7" ht="13.8" thickBot="1">
      <c r="A8" s="490" t="s">
        <v>3</v>
      </c>
      <c r="B8" s="484"/>
      <c r="C8" s="493">
        <f>SUM(C4:C7)</f>
        <v>350947645.02558827</v>
      </c>
    </row>
    <row r="9" spans="1:7">
      <c r="A9" s="492" t="s">
        <v>467</v>
      </c>
      <c r="B9" s="480"/>
      <c r="C9" s="483"/>
      <c r="D9" s="480"/>
      <c r="E9" s="480"/>
      <c r="F9" s="480"/>
      <c r="G9" s="480"/>
    </row>
    <row r="10" spans="1:7">
      <c r="A10" s="482" t="s">
        <v>492</v>
      </c>
      <c r="B10" s="480"/>
      <c r="C10" s="708">
        <f>C8-(SUM(C12:C22))</f>
        <v>145134741.02163348</v>
      </c>
      <c r="D10" s="479"/>
      <c r="E10" s="480"/>
      <c r="F10" s="480"/>
      <c r="G10" s="480"/>
    </row>
    <row r="11" spans="1:7">
      <c r="A11" s="492" t="s">
        <v>468</v>
      </c>
      <c r="B11" s="480"/>
      <c r="C11" s="708"/>
      <c r="D11" s="479"/>
      <c r="E11" s="480"/>
      <c r="F11" s="480"/>
      <c r="G11" s="480"/>
    </row>
    <row r="12" spans="1:7">
      <c r="A12" s="482" t="s">
        <v>493</v>
      </c>
      <c r="B12" s="480"/>
      <c r="C12" s="487">
        <v>125700000</v>
      </c>
      <c r="D12" s="746"/>
      <c r="E12" s="340"/>
      <c r="F12" s="340"/>
      <c r="G12" s="340"/>
    </row>
    <row r="13" spans="1:7">
      <c r="A13" s="482" t="s">
        <v>484</v>
      </c>
      <c r="B13" s="480"/>
      <c r="C13" s="487">
        <v>5500000</v>
      </c>
      <c r="D13" s="746"/>
      <c r="E13" s="340"/>
      <c r="F13" s="340"/>
      <c r="G13" s="340"/>
    </row>
    <row r="14" spans="1:7">
      <c r="A14" s="482" t="s">
        <v>487</v>
      </c>
      <c r="B14" s="480"/>
      <c r="C14" s="487">
        <f>('Summary Board'!J44*0.0156)-(0.0156*'Summary Board'!J43)</f>
        <v>14562044.801073438</v>
      </c>
      <c r="D14" s="746"/>
      <c r="E14" s="340"/>
      <c r="F14" s="340"/>
      <c r="G14" s="340"/>
    </row>
    <row r="15" spans="1:7">
      <c r="A15" s="482" t="s">
        <v>490</v>
      </c>
      <c r="B15" s="480"/>
      <c r="C15" s="487">
        <v>4800000</v>
      </c>
      <c r="D15" s="746"/>
      <c r="E15" s="340"/>
      <c r="F15" s="340"/>
      <c r="G15" s="340"/>
    </row>
    <row r="16" spans="1:7">
      <c r="A16" s="482" t="s">
        <v>491</v>
      </c>
      <c r="B16" s="480"/>
      <c r="C16" s="487">
        <v>15550000</v>
      </c>
      <c r="D16" s="746"/>
      <c r="E16" s="340"/>
      <c r="F16" s="340"/>
      <c r="G16" s="340"/>
    </row>
    <row r="17" spans="1:7">
      <c r="A17" s="492" t="s">
        <v>469</v>
      </c>
      <c r="B17" s="480"/>
      <c r="C17" s="487"/>
      <c r="D17" s="746"/>
      <c r="E17" s="340"/>
      <c r="F17" s="340"/>
      <c r="G17" s="340"/>
    </row>
    <row r="18" spans="1:7">
      <c r="A18" s="482" t="s">
        <v>483</v>
      </c>
      <c r="B18" s="480"/>
      <c r="C18" s="487">
        <v>7586525</v>
      </c>
      <c r="D18" s="746"/>
      <c r="E18" s="340"/>
      <c r="F18" s="340"/>
      <c r="G18" s="340"/>
    </row>
    <row r="19" spans="1:7">
      <c r="A19" s="482" t="s">
        <v>331</v>
      </c>
      <c r="B19" s="480"/>
      <c r="C19" s="487">
        <v>1260970</v>
      </c>
      <c r="D19" s="746"/>
      <c r="E19" s="340"/>
      <c r="F19" s="340"/>
      <c r="G19" s="340"/>
    </row>
    <row r="20" spans="1:7">
      <c r="A20" s="482" t="s">
        <v>496</v>
      </c>
      <c r="B20" s="480"/>
      <c r="C20" s="487">
        <v>2400000</v>
      </c>
      <c r="D20" s="746"/>
      <c r="E20" s="340"/>
      <c r="F20" s="340"/>
      <c r="G20" s="340"/>
    </row>
    <row r="21" spans="1:7" ht="16.2" customHeight="1">
      <c r="A21" s="482" t="s">
        <v>488</v>
      </c>
      <c r="B21" s="480"/>
      <c r="C21" s="487">
        <f>SUM('11. Solar Energy'!E24:I24)*0.75</f>
        <v>6013364.2028813697</v>
      </c>
      <c r="D21" s="746"/>
      <c r="E21" s="1111"/>
      <c r="F21" s="340"/>
      <c r="G21" s="340"/>
    </row>
    <row r="22" spans="1:7">
      <c r="A22" s="482" t="s">
        <v>314</v>
      </c>
      <c r="B22" s="480"/>
      <c r="C22" s="487">
        <f>80000*(SUM('4.Affordable Rental Housing'!C46:C47))</f>
        <v>22440000</v>
      </c>
      <c r="D22" s="746"/>
      <c r="E22" s="340"/>
      <c r="F22" s="340"/>
      <c r="G22" s="340"/>
    </row>
    <row r="23" spans="1:7" ht="13.8" thickBot="1">
      <c r="A23" s="490" t="s">
        <v>208</v>
      </c>
      <c r="B23" s="491"/>
      <c r="C23" s="493">
        <f>SUM(C10:C22)</f>
        <v>350947645.02558833</v>
      </c>
      <c r="D23" s="479"/>
      <c r="E23" s="479"/>
      <c r="F23" s="479"/>
      <c r="G23" s="479"/>
    </row>
    <row r="24" spans="1:7">
      <c r="A24" s="480" t="s">
        <v>486</v>
      </c>
      <c r="B24" s="480"/>
      <c r="C24" s="479"/>
      <c r="D24" s="481"/>
      <c r="E24" s="481"/>
      <c r="F24" s="481"/>
      <c r="G24" s="481"/>
    </row>
    <row r="25" spans="1:7" ht="13.8" thickBot="1">
      <c r="A25" s="480"/>
      <c r="B25" s="480"/>
      <c r="C25" s="479"/>
      <c r="D25" s="480"/>
      <c r="E25" s="480"/>
      <c r="F25" s="480"/>
      <c r="G25" s="480"/>
    </row>
    <row r="26" spans="1:7" ht="13.8" thickBot="1">
      <c r="A26" s="1215" t="s">
        <v>217</v>
      </c>
      <c r="B26" s="1216"/>
      <c r="C26" s="479"/>
      <c r="D26" s="480"/>
      <c r="E26" s="480"/>
      <c r="F26" s="480"/>
      <c r="G26" s="480"/>
    </row>
    <row r="27" spans="1:7" ht="13.8" thickBot="1">
      <c r="A27" s="1120" t="s">
        <v>485</v>
      </c>
      <c r="B27" s="1121">
        <v>1.5599999999999999E-2</v>
      </c>
      <c r="C27" s="479"/>
      <c r="D27" s="480"/>
      <c r="E27" s="480"/>
      <c r="F27" s="480"/>
      <c r="G27" s="480"/>
    </row>
    <row r="28" spans="1:7">
      <c r="A28" s="480"/>
      <c r="B28" s="1119"/>
      <c r="C28" s="479"/>
      <c r="D28" s="480"/>
      <c r="E28" s="480"/>
      <c r="F28" s="480"/>
      <c r="G28" s="480"/>
    </row>
    <row r="29" spans="1:7">
      <c r="A29" s="480"/>
      <c r="B29" s="1119"/>
      <c r="C29" s="479"/>
      <c r="D29" s="480"/>
      <c r="E29" s="480"/>
      <c r="F29" s="480"/>
      <c r="G29" s="480"/>
    </row>
    <row r="30" spans="1:7">
      <c r="A30" s="480"/>
      <c r="B30" s="1119"/>
      <c r="C30" s="479"/>
      <c r="D30" s="480"/>
      <c r="E30" s="480"/>
      <c r="F30" s="480"/>
      <c r="G30" s="480"/>
    </row>
  </sheetData>
  <dataConsolidate/>
  <mergeCells count="2">
    <mergeCell ref="A26:B26"/>
    <mergeCell ref="A1:C2"/>
  </mergeCells>
  <printOptions horizontalCentered="1"/>
  <pageMargins left="0.45" right="0.45" top="0.5" bottom="0.5" header="0.3" footer="0.3"/>
  <pageSetup paperSize="17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52"/>
  <sheetViews>
    <sheetView view="pageBreakPreview" zoomScale="80" zoomScaleNormal="85" zoomScaleSheetLayoutView="80" workbookViewId="0">
      <selection activeCell="D25" sqref="D25"/>
    </sheetView>
  </sheetViews>
  <sheetFormatPr defaultColWidth="9.109375" defaultRowHeight="13.2"/>
  <cols>
    <col min="1" max="1" width="31.5546875" style="478" customWidth="1"/>
    <col min="2" max="2" width="15.44140625" style="478" bestFit="1" customWidth="1"/>
    <col min="3" max="3" width="14.44140625" style="478" bestFit="1" customWidth="1"/>
    <col min="4" max="4" width="13.88671875" style="478" bestFit="1" customWidth="1"/>
    <col min="5" max="5" width="12.6640625" style="478" bestFit="1" customWidth="1"/>
    <col min="6" max="9" width="13.88671875" style="478" bestFit="1" customWidth="1"/>
    <col min="10" max="10" width="13.6640625" style="478" customWidth="1"/>
    <col min="11" max="11" width="13.88671875" style="478" bestFit="1" customWidth="1"/>
    <col min="12" max="13" width="15.44140625" style="478" bestFit="1" customWidth="1"/>
    <col min="14" max="14" width="12.6640625" style="478" bestFit="1" customWidth="1"/>
    <col min="15" max="16384" width="9.109375" style="478"/>
  </cols>
  <sheetData>
    <row r="1" spans="1:14">
      <c r="A1" s="1066" t="s">
        <v>81</v>
      </c>
      <c r="B1" s="1129"/>
      <c r="C1" s="1129"/>
      <c r="D1" s="1129"/>
      <c r="E1" s="1129"/>
      <c r="F1" s="1129"/>
      <c r="G1" s="1129"/>
      <c r="H1" s="1129"/>
      <c r="I1" s="1129"/>
      <c r="J1" s="1129"/>
      <c r="K1" s="1129"/>
      <c r="L1" s="1129"/>
      <c r="M1" s="1130"/>
    </row>
    <row r="2" spans="1:14" ht="13.8" thickBot="1">
      <c r="A2" s="1069" t="s">
        <v>211</v>
      </c>
      <c r="B2" s="1131"/>
      <c r="C2" s="1132"/>
      <c r="D2" s="1132"/>
      <c r="E2" s="1132"/>
      <c r="F2" s="1132"/>
      <c r="G2" s="1132"/>
      <c r="H2" s="1132"/>
      <c r="I2" s="1132"/>
      <c r="J2" s="1132"/>
      <c r="K2" s="1132"/>
      <c r="L2" s="1132"/>
      <c r="M2" s="1133"/>
    </row>
    <row r="3" spans="1:14" ht="13.8" thickBot="1">
      <c r="A3" s="123"/>
      <c r="B3" s="45" t="s">
        <v>57</v>
      </c>
      <c r="C3" s="103" t="s">
        <v>36</v>
      </c>
      <c r="D3" s="104"/>
      <c r="E3" s="42"/>
      <c r="F3" s="103" t="s">
        <v>78</v>
      </c>
      <c r="G3" s="140"/>
      <c r="H3" s="42"/>
      <c r="I3" s="103" t="s">
        <v>79</v>
      </c>
      <c r="J3" s="40"/>
      <c r="K3" s="41"/>
      <c r="L3" s="42"/>
      <c r="M3" s="499"/>
    </row>
    <row r="4" spans="1:14" ht="14.1" customHeight="1" thickBot="1">
      <c r="A4" s="63"/>
      <c r="B4" s="276">
        <v>0</v>
      </c>
      <c r="C4" s="101">
        <f>B4+1</f>
        <v>1</v>
      </c>
      <c r="D4" s="100">
        <f t="shared" ref="D4:L5" si="0">C4+1</f>
        <v>2</v>
      </c>
      <c r="E4" s="102">
        <f t="shared" si="0"/>
        <v>3</v>
      </c>
      <c r="F4" s="101">
        <f t="shared" si="0"/>
        <v>4</v>
      </c>
      <c r="G4" s="135">
        <f t="shared" si="0"/>
        <v>5</v>
      </c>
      <c r="H4" s="102">
        <f t="shared" si="0"/>
        <v>6</v>
      </c>
      <c r="I4" s="101">
        <f t="shared" si="0"/>
        <v>7</v>
      </c>
      <c r="J4" s="100">
        <f t="shared" si="0"/>
        <v>8</v>
      </c>
      <c r="K4" s="100">
        <f t="shared" si="0"/>
        <v>9</v>
      </c>
      <c r="L4" s="102">
        <f t="shared" si="0"/>
        <v>10</v>
      </c>
      <c r="M4" s="500"/>
    </row>
    <row r="5" spans="1:14" ht="14.1" customHeight="1" thickBot="1">
      <c r="A5" s="66"/>
      <c r="B5" s="276" t="s">
        <v>337</v>
      </c>
      <c r="C5" s="267">
        <v>2021</v>
      </c>
      <c r="D5" s="100">
        <f>C5+1</f>
        <v>2022</v>
      </c>
      <c r="E5" s="102">
        <f t="shared" si="0"/>
        <v>2023</v>
      </c>
      <c r="F5" s="101">
        <f t="shared" si="0"/>
        <v>2024</v>
      </c>
      <c r="G5" s="100">
        <f t="shared" si="0"/>
        <v>2025</v>
      </c>
      <c r="H5" s="102">
        <f t="shared" si="0"/>
        <v>2026</v>
      </c>
      <c r="I5" s="101">
        <f t="shared" si="0"/>
        <v>2027</v>
      </c>
      <c r="J5" s="100">
        <f t="shared" si="0"/>
        <v>2028</v>
      </c>
      <c r="K5" s="100">
        <f>J5+1</f>
        <v>2029</v>
      </c>
      <c r="L5" s="102">
        <f>K5+1</f>
        <v>2030</v>
      </c>
      <c r="M5" s="501" t="s">
        <v>31</v>
      </c>
    </row>
    <row r="6" spans="1:14" ht="14.1" customHeight="1">
      <c r="A6" s="482" t="s">
        <v>68</v>
      </c>
      <c r="B6" s="507">
        <f>'Land Acquisition'!E14</f>
        <v>33075013.159999996</v>
      </c>
      <c r="C6" s="507">
        <f>'Summary Board'!E27</f>
        <v>0</v>
      </c>
      <c r="D6" s="503">
        <f>'Summary Board'!F27</f>
        <v>0</v>
      </c>
      <c r="E6" s="486">
        <f>'Summary Board'!G27</f>
        <v>0</v>
      </c>
      <c r="F6" s="507">
        <f>'Summary Board'!H27</f>
        <v>0</v>
      </c>
      <c r="G6" s="503">
        <f>'Summary Board'!I27</f>
        <v>0</v>
      </c>
      <c r="H6" s="486">
        <f>'Summary Board'!J27</f>
        <v>0</v>
      </c>
      <c r="I6" s="507">
        <f>'Summary Board'!K27</f>
        <v>0</v>
      </c>
      <c r="J6" s="503">
        <f>'Summary Board'!L27</f>
        <v>0</v>
      </c>
      <c r="K6" s="503">
        <f>'Summary Board'!M27</f>
        <v>0</v>
      </c>
      <c r="L6" s="486">
        <f>'Summary Board'!N27</f>
        <v>0</v>
      </c>
      <c r="M6" s="1086">
        <f>SUM(B6:L6)</f>
        <v>33075013.159999996</v>
      </c>
    </row>
    <row r="7" spans="1:14" ht="14.1" customHeight="1">
      <c r="A7" s="482" t="s">
        <v>200</v>
      </c>
      <c r="B7" s="508">
        <f>'Summary Board'!D29</f>
        <v>209742</v>
      </c>
      <c r="C7" s="508">
        <f>'Summary Board'!E29</f>
        <v>0</v>
      </c>
      <c r="D7" s="505">
        <f>'Summary Board'!F29</f>
        <v>0</v>
      </c>
      <c r="E7" s="509">
        <f>'Summary Board'!G29</f>
        <v>0</v>
      </c>
      <c r="F7" s="508">
        <f>'Summary Board'!H29</f>
        <v>0</v>
      </c>
      <c r="G7" s="505">
        <f>'Summary Board'!I29</f>
        <v>0</v>
      </c>
      <c r="H7" s="509">
        <f>'Summary Board'!J29</f>
        <v>0</v>
      </c>
      <c r="I7" s="508">
        <f>'Summary Board'!K29</f>
        <v>0</v>
      </c>
      <c r="J7" s="505">
        <f>'Summary Board'!L29</f>
        <v>0</v>
      </c>
      <c r="K7" s="505">
        <f>'Summary Board'!M29</f>
        <v>0</v>
      </c>
      <c r="L7" s="509">
        <f>'Summary Board'!N29</f>
        <v>0</v>
      </c>
      <c r="M7" s="515">
        <f>SUM(B7:L7)</f>
        <v>209742</v>
      </c>
    </row>
    <row r="8" spans="1:14">
      <c r="A8" s="482" t="s">
        <v>207</v>
      </c>
      <c r="B8" s="508">
        <f>SUM('Summary Board'!D17:D25)</f>
        <v>0</v>
      </c>
      <c r="C8" s="508">
        <f>SUM('Summary Board'!E17:E25)</f>
        <v>44956725.158399999</v>
      </c>
      <c r="D8" s="505">
        <f>SUM('Summary Board'!F17:F25)</f>
        <v>72682601.587200001</v>
      </c>
      <c r="E8" s="505">
        <f>SUM('Summary Board'!G17:G25)</f>
        <v>43532626.606498018</v>
      </c>
      <c r="F8" s="508">
        <f>SUM('Summary Board'!H17:H25)</f>
        <v>70172629.602000669</v>
      </c>
      <c r="G8" s="505">
        <f>SUM('Summary Board'!I17:I25)</f>
        <v>48697016.539069951</v>
      </c>
      <c r="H8" s="505">
        <f>SUM('Summary Board'!J17:J25)</f>
        <v>35008776.88587676</v>
      </c>
      <c r="I8" s="508">
        <f>SUM('Summary Board'!K17:K25)</f>
        <v>0</v>
      </c>
      <c r="J8" s="505">
        <f>SUM('Summary Board'!L17:L25)</f>
        <v>0</v>
      </c>
      <c r="K8" s="505">
        <f>SUM('Summary Board'!M17:M25)</f>
        <v>0</v>
      </c>
      <c r="L8" s="505">
        <f>SUM('Summary Board'!N17:N25)</f>
        <v>0</v>
      </c>
      <c r="M8" s="1087">
        <f>SUM(B8:L8)</f>
        <v>315050376.37904543</v>
      </c>
    </row>
    <row r="9" spans="1:14" ht="13.8" thickBot="1">
      <c r="A9" s="488" t="s">
        <v>470</v>
      </c>
      <c r="B9" s="508">
        <f>Budget!C7</f>
        <v>2612513.486542841</v>
      </c>
      <c r="C9" s="510">
        <v>0</v>
      </c>
      <c r="D9" s="502">
        <f>C9</f>
        <v>0</v>
      </c>
      <c r="E9" s="489">
        <f t="shared" ref="E9:L9" si="1">D9</f>
        <v>0</v>
      </c>
      <c r="F9" s="527">
        <f t="shared" si="1"/>
        <v>0</v>
      </c>
      <c r="G9" s="502">
        <f t="shared" si="1"/>
        <v>0</v>
      </c>
      <c r="H9" s="489">
        <f t="shared" si="1"/>
        <v>0</v>
      </c>
      <c r="I9" s="527">
        <f t="shared" si="1"/>
        <v>0</v>
      </c>
      <c r="J9" s="502">
        <f t="shared" si="1"/>
        <v>0</v>
      </c>
      <c r="K9" s="502">
        <f t="shared" si="1"/>
        <v>0</v>
      </c>
      <c r="L9" s="489">
        <f t="shared" si="1"/>
        <v>0</v>
      </c>
      <c r="M9" s="1088">
        <f>SUM(B9:L9)</f>
        <v>2612513.486542841</v>
      </c>
    </row>
    <row r="10" spans="1:14" ht="13.8" thickBot="1">
      <c r="A10" s="490" t="s">
        <v>3</v>
      </c>
      <c r="B10" s="543">
        <f t="shared" ref="B10:K10" si="2">SUM(B6:B9)</f>
        <v>35897268.64654284</v>
      </c>
      <c r="C10" s="511">
        <f t="shared" si="2"/>
        <v>44956725.158399999</v>
      </c>
      <c r="D10" s="506">
        <f t="shared" si="2"/>
        <v>72682601.587200001</v>
      </c>
      <c r="E10" s="493">
        <f t="shared" si="2"/>
        <v>43532626.606498018</v>
      </c>
      <c r="F10" s="511">
        <f t="shared" si="2"/>
        <v>70172629.602000669</v>
      </c>
      <c r="G10" s="506">
        <f t="shared" si="2"/>
        <v>48697016.539069951</v>
      </c>
      <c r="H10" s="493">
        <f t="shared" si="2"/>
        <v>35008776.88587676</v>
      </c>
      <c r="I10" s="511">
        <f t="shared" si="2"/>
        <v>0</v>
      </c>
      <c r="J10" s="506">
        <f t="shared" si="2"/>
        <v>0</v>
      </c>
      <c r="K10" s="506">
        <f t="shared" si="2"/>
        <v>0</v>
      </c>
      <c r="L10" s="493">
        <f>SUM(L6:L9)</f>
        <v>0</v>
      </c>
      <c r="M10" s="513">
        <f>SUM(M6:M9)</f>
        <v>350947645.02558827</v>
      </c>
    </row>
    <row r="11" spans="1:14" ht="4.5" customHeight="1">
      <c r="A11" s="518"/>
      <c r="B11" s="528"/>
      <c r="C11" s="528"/>
      <c r="D11" s="519"/>
      <c r="E11" s="520"/>
      <c r="F11" s="528"/>
      <c r="G11" s="519"/>
      <c r="H11" s="520"/>
      <c r="I11" s="528"/>
      <c r="J11" s="519"/>
      <c r="K11" s="519"/>
      <c r="L11" s="520"/>
      <c r="M11" s="525"/>
    </row>
    <row r="12" spans="1:14">
      <c r="A12" s="492" t="s">
        <v>213</v>
      </c>
      <c r="B12" s="529"/>
      <c r="C12" s="529"/>
      <c r="D12" s="498"/>
      <c r="E12" s="521"/>
      <c r="F12" s="529"/>
      <c r="G12" s="498"/>
      <c r="H12" s="521"/>
      <c r="I12" s="529"/>
      <c r="J12" s="498"/>
      <c r="K12" s="498"/>
      <c r="L12" s="521"/>
      <c r="M12" s="526"/>
    </row>
    <row r="13" spans="1:14">
      <c r="A13" s="482" t="s">
        <v>204</v>
      </c>
      <c r="B13" s="530">
        <f>B10</f>
        <v>35897268.64654284</v>
      </c>
      <c r="C13" s="530">
        <f>IF(SUM($B$10:C10)&gt;Budget!C10,MAX(0,Budget!C10-SUM($B$13:B13)),C10)</f>
        <v>44956725.158399999</v>
      </c>
      <c r="D13" s="522">
        <f>IF(SUM($B$10:D10)&gt;Budget!C10,MAX(0,Budget!C10-SUM($B$13:C13)),D10)</f>
        <v>64280747.21669063</v>
      </c>
      <c r="E13" s="504">
        <f>IF(SUM($B$10:E10)&gt;Budget!C10,MAX(0,Budget!C10-SUM($B$13:D13)),E10)</f>
        <v>0</v>
      </c>
      <c r="F13" s="530">
        <f>IF(SUM($B$10:F10)&gt;Budget!C10,MAX(0,Budget!C10-SUM($B$13:E13)),F10)</f>
        <v>0</v>
      </c>
      <c r="G13" s="522">
        <f>IF(SUM($B$10:G10)&gt;Budget!C10,MAX(0,Budget!C10-SUM($B$13:F13)),G10)</f>
        <v>0</v>
      </c>
      <c r="H13" s="504">
        <f>IF(SUM($B$10:H10)&gt;Budget!C10,MAX(0,Budget!C10-SUM($B$13:G13)),H10)</f>
        <v>0</v>
      </c>
      <c r="I13" s="530">
        <f>IF(SUM($B$10:I10)&gt;Budget!C10,MAX(0,Budget!C10-SUM($B$13:H13)),I10)</f>
        <v>0</v>
      </c>
      <c r="J13" s="522">
        <f>IF(SUM($B$10:J10)&gt;Budget!C10,MAX(0,Budget!C10-SUM($B$13:I13)),J10)</f>
        <v>0</v>
      </c>
      <c r="K13" s="522">
        <f>IF(SUM($B$10:K10)&gt;Budget!C10,MAX(0,Budget!C10-SUM($B$13:J13)),K10)</f>
        <v>0</v>
      </c>
      <c r="L13" s="504">
        <f>IF(SUM($B$10:L10)&gt;Budget!C10,MAX(0,Budget!C10-SUM($B$13:K13)),L10)</f>
        <v>0</v>
      </c>
      <c r="M13" s="514">
        <f>SUM(B13:L13)</f>
        <v>145134741.02163348</v>
      </c>
      <c r="N13" s="495"/>
    </row>
    <row r="14" spans="1:14">
      <c r="A14" s="482"/>
      <c r="B14" s="507"/>
      <c r="C14" s="507"/>
      <c r="D14" s="503"/>
      <c r="E14" s="486"/>
      <c r="F14" s="507"/>
      <c r="G14" s="503"/>
      <c r="H14" s="486"/>
      <c r="I14" s="507"/>
      <c r="J14" s="503"/>
      <c r="K14" s="503"/>
      <c r="L14" s="486"/>
      <c r="M14" s="512"/>
      <c r="N14" s="495"/>
    </row>
    <row r="15" spans="1:14">
      <c r="A15" s="482" t="s">
        <v>205</v>
      </c>
      <c r="B15" s="530">
        <f>B10-B13</f>
        <v>0</v>
      </c>
      <c r="C15" s="530">
        <f>C10-C13</f>
        <v>0</v>
      </c>
      <c r="D15" s="522">
        <f>D10-D13</f>
        <v>8401854.3705093712</v>
      </c>
      <c r="E15" s="504">
        <f t="shared" ref="E15:L15" si="3">E10-E13</f>
        <v>43532626.606498018</v>
      </c>
      <c r="F15" s="530">
        <f t="shared" si="3"/>
        <v>70172629.602000669</v>
      </c>
      <c r="G15" s="522">
        <f t="shared" si="3"/>
        <v>48697016.539069951</v>
      </c>
      <c r="H15" s="504">
        <f t="shared" si="3"/>
        <v>35008776.88587676</v>
      </c>
      <c r="I15" s="530">
        <f t="shared" si="3"/>
        <v>0</v>
      </c>
      <c r="J15" s="522">
        <f t="shared" si="3"/>
        <v>0</v>
      </c>
      <c r="K15" s="522">
        <f t="shared" si="3"/>
        <v>0</v>
      </c>
      <c r="L15" s="504">
        <f t="shared" si="3"/>
        <v>0</v>
      </c>
      <c r="M15" s="514">
        <f>SUM(B15:L15)</f>
        <v>205812904.00395477</v>
      </c>
      <c r="N15" s="496"/>
    </row>
    <row r="16" spans="1:14" ht="13.8" thickBot="1">
      <c r="A16" s="523" t="s">
        <v>206</v>
      </c>
      <c r="B16" s="531">
        <f>SUM($B$15:B15)</f>
        <v>0</v>
      </c>
      <c r="C16" s="531">
        <f>SUM($B$15:C15)</f>
        <v>0</v>
      </c>
      <c r="D16" s="524">
        <f>SUM($B$15:D15)</f>
        <v>8401854.3705093712</v>
      </c>
      <c r="E16" s="532">
        <f>SUM($B$15:E15)</f>
        <v>51934480.977007389</v>
      </c>
      <c r="F16" s="531">
        <f>SUM($B$15:F15)</f>
        <v>122107110.57900806</v>
      </c>
      <c r="G16" s="524">
        <f>SUM($B$15:G15)</f>
        <v>170804127.11807799</v>
      </c>
      <c r="H16" s="532">
        <f>SUM($B$15:H15)</f>
        <v>205812904.00395477</v>
      </c>
      <c r="I16" s="531">
        <f>SUM($B$15:I15)</f>
        <v>205812904.00395477</v>
      </c>
      <c r="J16" s="524">
        <f>SUM($B$15:J15)</f>
        <v>205812904.00395477</v>
      </c>
      <c r="K16" s="524">
        <f>SUM($B$15:K15)</f>
        <v>205812904.00395477</v>
      </c>
      <c r="L16" s="532">
        <f>SUM($B$15:L15)</f>
        <v>205812904.00395477</v>
      </c>
      <c r="M16" s="517"/>
    </row>
    <row r="17" spans="1:14" ht="4.5" customHeight="1">
      <c r="A17" s="482"/>
      <c r="B17" s="529"/>
      <c r="C17" s="529"/>
      <c r="D17" s="498"/>
      <c r="E17" s="521"/>
      <c r="F17" s="529"/>
      <c r="G17" s="498"/>
      <c r="H17" s="521"/>
      <c r="I17" s="529"/>
      <c r="J17" s="498"/>
      <c r="K17" s="498"/>
      <c r="L17" s="521"/>
      <c r="M17" s="526"/>
      <c r="N17" s="495"/>
    </row>
    <row r="18" spans="1:14">
      <c r="A18" s="492" t="s">
        <v>214</v>
      </c>
      <c r="B18" s="529"/>
      <c r="C18" s="529"/>
      <c r="D18" s="498"/>
      <c r="E18" s="521"/>
      <c r="F18" s="529"/>
      <c r="G18" s="498"/>
      <c r="H18" s="521"/>
      <c r="I18" s="529"/>
      <c r="J18" s="498"/>
      <c r="K18" s="498"/>
      <c r="L18" s="521"/>
      <c r="M18" s="526"/>
      <c r="N18" s="495"/>
    </row>
    <row r="19" spans="1:14">
      <c r="A19" s="482" t="s">
        <v>471</v>
      </c>
      <c r="B19" s="530">
        <f t="shared" ref="B19:L19" si="4">B16*$B$39</f>
        <v>0</v>
      </c>
      <c r="C19" s="530">
        <f t="shared" si="4"/>
        <v>0</v>
      </c>
      <c r="D19" s="522">
        <f>D16*$B$39</f>
        <v>420092.7185254686</v>
      </c>
      <c r="E19" s="504">
        <f t="shared" si="4"/>
        <v>2596724.0488503696</v>
      </c>
      <c r="F19" s="530">
        <f t="shared" si="4"/>
        <v>6105355.5289504034</v>
      </c>
      <c r="G19" s="522">
        <f t="shared" si="4"/>
        <v>8540206.3559038993</v>
      </c>
      <c r="H19" s="504">
        <f t="shared" si="4"/>
        <v>10290645.20019774</v>
      </c>
      <c r="I19" s="530">
        <f t="shared" si="4"/>
        <v>10290645.20019774</v>
      </c>
      <c r="J19" s="522">
        <f t="shared" si="4"/>
        <v>10290645.20019774</v>
      </c>
      <c r="K19" s="522">
        <f t="shared" si="4"/>
        <v>10290645.20019774</v>
      </c>
      <c r="L19" s="504">
        <f t="shared" si="4"/>
        <v>10290645.20019774</v>
      </c>
      <c r="M19" s="514">
        <f>SUM(B19:L19)</f>
        <v>69115604.65321885</v>
      </c>
    </row>
    <row r="20" spans="1:14">
      <c r="A20" s="488" t="s">
        <v>212</v>
      </c>
      <c r="B20" s="510">
        <v>0</v>
      </c>
      <c r="C20" s="527">
        <f>B20</f>
        <v>0</v>
      </c>
      <c r="D20" s="502">
        <v>0</v>
      </c>
      <c r="E20" s="489">
        <v>0</v>
      </c>
      <c r="F20" s="527">
        <f t="shared" ref="F20:H20" si="5">E20</f>
        <v>0</v>
      </c>
      <c r="G20" s="502">
        <f t="shared" si="5"/>
        <v>0</v>
      </c>
      <c r="H20" s="489">
        <f t="shared" si="5"/>
        <v>0</v>
      </c>
      <c r="I20" s="527"/>
      <c r="J20" s="502"/>
      <c r="K20" s="502"/>
      <c r="L20" s="489">
        <f>L16-SUM(C20:K20)</f>
        <v>205812904.00395477</v>
      </c>
      <c r="M20" s="516">
        <f>SUM(B20:L20)</f>
        <v>205812904.00395477</v>
      </c>
    </row>
    <row r="21" spans="1:14" ht="13.8" thickBot="1">
      <c r="A21" s="490" t="s">
        <v>215</v>
      </c>
      <c r="B21" s="511">
        <f>SUM(B19:B20)</f>
        <v>0</v>
      </c>
      <c r="C21" s="511">
        <f t="shared" ref="C21:M21" si="6">SUM(C19:C20)</f>
        <v>0</v>
      </c>
      <c r="D21" s="506">
        <f t="shared" si="6"/>
        <v>420092.7185254686</v>
      </c>
      <c r="E21" s="493">
        <f t="shared" si="6"/>
        <v>2596724.0488503696</v>
      </c>
      <c r="F21" s="511">
        <f t="shared" si="6"/>
        <v>6105355.5289504034</v>
      </c>
      <c r="G21" s="506">
        <f t="shared" si="6"/>
        <v>8540206.3559038993</v>
      </c>
      <c r="H21" s="493">
        <f t="shared" si="6"/>
        <v>10290645.20019774</v>
      </c>
      <c r="I21" s="511">
        <f t="shared" si="6"/>
        <v>10290645.20019774</v>
      </c>
      <c r="J21" s="506">
        <f t="shared" si="6"/>
        <v>10290645.20019774</v>
      </c>
      <c r="K21" s="506">
        <f t="shared" si="6"/>
        <v>10290645.20019774</v>
      </c>
      <c r="L21" s="493">
        <f t="shared" si="6"/>
        <v>216103549.20415249</v>
      </c>
      <c r="M21" s="513">
        <f t="shared" si="6"/>
        <v>274928508.65717363</v>
      </c>
      <c r="N21" s="480"/>
    </row>
    <row r="22" spans="1:14" ht="4.5" customHeight="1">
      <c r="A22" s="536"/>
      <c r="B22" s="544"/>
      <c r="C22" s="544"/>
      <c r="D22" s="537"/>
      <c r="E22" s="546"/>
      <c r="F22" s="544"/>
      <c r="G22" s="537"/>
      <c r="H22" s="546"/>
      <c r="I22" s="544"/>
      <c r="J22" s="537"/>
      <c r="K22" s="537"/>
      <c r="L22" s="546"/>
      <c r="M22" s="539"/>
      <c r="N22" s="480"/>
    </row>
    <row r="23" spans="1:14">
      <c r="A23" s="492" t="s">
        <v>221</v>
      </c>
      <c r="B23" s="529"/>
      <c r="C23" s="529"/>
      <c r="D23" s="498"/>
      <c r="E23" s="521"/>
      <c r="F23" s="529"/>
      <c r="G23" s="498"/>
      <c r="H23" s="521"/>
      <c r="I23" s="529"/>
      <c r="J23" s="498"/>
      <c r="K23" s="498"/>
      <c r="L23" s="521"/>
      <c r="M23" s="526"/>
      <c r="N23" s="480"/>
    </row>
    <row r="24" spans="1:14">
      <c r="A24" s="482" t="s">
        <v>5</v>
      </c>
      <c r="B24" s="507">
        <f>'Summary Board'!D15</f>
        <v>0</v>
      </c>
      <c r="C24" s="507">
        <f>'Summary Board'!E15</f>
        <v>1737908.6399999997</v>
      </c>
      <c r="D24" s="503">
        <f>'Summary Board'!F15</f>
        <v>20293944.252463806</v>
      </c>
      <c r="E24" s="486">
        <f>'Summary Board'!G15</f>
        <v>42714812.230023459</v>
      </c>
      <c r="F24" s="507">
        <f>'Summary Board'!H15</f>
        <v>51018668.731014475</v>
      </c>
      <c r="G24" s="503">
        <f>'Summary Board'!I15</f>
        <v>66290837.303565897</v>
      </c>
      <c r="H24" s="486">
        <f>'Summary Board'!J15</f>
        <v>76739552.524038285</v>
      </c>
      <c r="I24" s="507">
        <f>'Summary Board'!K15</f>
        <v>83307135.862931922</v>
      </c>
      <c r="J24" s="503">
        <f>'Summary Board'!L15</f>
        <v>64707113.958399363</v>
      </c>
      <c r="K24" s="503">
        <f>'Summary Board'!M15</f>
        <v>63773484.699886426</v>
      </c>
      <c r="L24" s="486">
        <f>'Summary Board'!N15</f>
        <v>65123987.202502728</v>
      </c>
      <c r="M24" s="514">
        <f>SUM(B24:L24)</f>
        <v>535707445.40482634</v>
      </c>
      <c r="N24" s="480"/>
    </row>
    <row r="25" spans="1:14">
      <c r="A25" s="488" t="s">
        <v>223</v>
      </c>
      <c r="B25" s="510">
        <f>-B19</f>
        <v>0</v>
      </c>
      <c r="C25" s="527">
        <f t="shared" ref="C25:L25" si="7">-C19</f>
        <v>0</v>
      </c>
      <c r="D25" s="502">
        <f t="shared" si="7"/>
        <v>-420092.7185254686</v>
      </c>
      <c r="E25" s="489">
        <f t="shared" si="7"/>
        <v>-2596724.0488503696</v>
      </c>
      <c r="F25" s="527">
        <f t="shared" si="7"/>
        <v>-6105355.5289504034</v>
      </c>
      <c r="G25" s="502">
        <f t="shared" si="7"/>
        <v>-8540206.3559038993</v>
      </c>
      <c r="H25" s="489">
        <f t="shared" si="7"/>
        <v>-10290645.20019774</v>
      </c>
      <c r="I25" s="527">
        <f t="shared" si="7"/>
        <v>-10290645.20019774</v>
      </c>
      <c r="J25" s="502">
        <f t="shared" si="7"/>
        <v>-10290645.20019774</v>
      </c>
      <c r="K25" s="502">
        <f t="shared" si="7"/>
        <v>-10290645.20019774</v>
      </c>
      <c r="L25" s="489">
        <f t="shared" si="7"/>
        <v>-10290645.20019774</v>
      </c>
      <c r="M25" s="516">
        <f>SUM(B25:L25)</f>
        <v>-69115604.65321885</v>
      </c>
      <c r="N25" s="480"/>
    </row>
    <row r="26" spans="1:14" ht="13.8" thickBot="1">
      <c r="A26" s="490" t="s">
        <v>222</v>
      </c>
      <c r="B26" s="511">
        <f>SUM(B24:B25)</f>
        <v>0</v>
      </c>
      <c r="C26" s="511">
        <f t="shared" ref="C26:L26" si="8">SUM(C24:C25)</f>
        <v>1737908.6399999997</v>
      </c>
      <c r="D26" s="506">
        <f t="shared" si="8"/>
        <v>19873851.533938337</v>
      </c>
      <c r="E26" s="493">
        <f t="shared" si="8"/>
        <v>40118088.181173086</v>
      </c>
      <c r="F26" s="511">
        <f t="shared" si="8"/>
        <v>44913313.202064075</v>
      </c>
      <c r="G26" s="506">
        <f t="shared" si="8"/>
        <v>57750630.947661996</v>
      </c>
      <c r="H26" s="493">
        <f t="shared" si="8"/>
        <v>66448907.323840544</v>
      </c>
      <c r="I26" s="511">
        <f t="shared" si="8"/>
        <v>73016490.662734181</v>
      </c>
      <c r="J26" s="506">
        <f t="shared" si="8"/>
        <v>54416468.758201621</v>
      </c>
      <c r="K26" s="506">
        <f t="shared" si="8"/>
        <v>53482839.499688685</v>
      </c>
      <c r="L26" s="493">
        <f t="shared" si="8"/>
        <v>54833342.002304986</v>
      </c>
      <c r="M26" s="513">
        <f>SUM(M24:M25)</f>
        <v>466591840.75160748</v>
      </c>
      <c r="N26" s="480"/>
    </row>
    <row r="27" spans="1:14" ht="4.5" customHeight="1">
      <c r="A27" s="540"/>
      <c r="B27" s="545"/>
      <c r="C27" s="545"/>
      <c r="D27" s="542"/>
      <c r="E27" s="547"/>
      <c r="F27" s="545"/>
      <c r="G27" s="542"/>
      <c r="H27" s="547"/>
      <c r="I27" s="545"/>
      <c r="J27" s="542"/>
      <c r="K27" s="542"/>
      <c r="L27" s="547"/>
      <c r="M27" s="541"/>
      <c r="N27" s="480"/>
    </row>
    <row r="28" spans="1:14">
      <c r="A28" s="492" t="s">
        <v>218</v>
      </c>
      <c r="B28" s="529"/>
      <c r="C28" s="529"/>
      <c r="D28" s="498"/>
      <c r="E28" s="521"/>
      <c r="F28" s="529"/>
      <c r="G28" s="498"/>
      <c r="H28" s="521"/>
      <c r="I28" s="529"/>
      <c r="J28" s="498"/>
      <c r="K28" s="498"/>
      <c r="L28" s="521"/>
      <c r="M28" s="526"/>
      <c r="N28" s="480"/>
    </row>
    <row r="29" spans="1:14">
      <c r="A29" s="482" t="s">
        <v>219</v>
      </c>
      <c r="B29" s="530">
        <f>-B13</f>
        <v>-35897268.64654284</v>
      </c>
      <c r="C29" s="530">
        <f t="shared" ref="C29:L29" si="9">-C13</f>
        <v>-44956725.158399999</v>
      </c>
      <c r="D29" s="522">
        <f t="shared" si="9"/>
        <v>-64280747.21669063</v>
      </c>
      <c r="E29" s="504">
        <f t="shared" si="9"/>
        <v>0</v>
      </c>
      <c r="F29" s="530">
        <f t="shared" si="9"/>
        <v>0</v>
      </c>
      <c r="G29" s="522">
        <f t="shared" si="9"/>
        <v>0</v>
      </c>
      <c r="H29" s="504">
        <f t="shared" si="9"/>
        <v>0</v>
      </c>
      <c r="I29" s="530">
        <f t="shared" si="9"/>
        <v>0</v>
      </c>
      <c r="J29" s="522">
        <f t="shared" si="9"/>
        <v>0</v>
      </c>
      <c r="K29" s="522">
        <f t="shared" si="9"/>
        <v>0</v>
      </c>
      <c r="L29" s="504">
        <f t="shared" si="9"/>
        <v>0</v>
      </c>
      <c r="M29" s="514">
        <f>SUM(B29:L29)</f>
        <v>-145134741.02163348</v>
      </c>
      <c r="N29" s="480"/>
    </row>
    <row r="30" spans="1:14">
      <c r="A30" s="482" t="s">
        <v>220</v>
      </c>
      <c r="B30" s="534">
        <f>B26</f>
        <v>0</v>
      </c>
      <c r="C30" s="534">
        <f>C26</f>
        <v>1737908.6399999997</v>
      </c>
      <c r="D30" s="535">
        <f t="shared" ref="D30:L30" si="10">D26</f>
        <v>19873851.533938337</v>
      </c>
      <c r="E30" s="487">
        <f t="shared" si="10"/>
        <v>40118088.181173086</v>
      </c>
      <c r="F30" s="534">
        <f t="shared" si="10"/>
        <v>44913313.202064075</v>
      </c>
      <c r="G30" s="535">
        <f t="shared" si="10"/>
        <v>57750630.947661996</v>
      </c>
      <c r="H30" s="487">
        <f t="shared" si="10"/>
        <v>66448907.323840544</v>
      </c>
      <c r="I30" s="534">
        <f t="shared" si="10"/>
        <v>73016490.662734181</v>
      </c>
      <c r="J30" s="535">
        <f t="shared" si="10"/>
        <v>54416468.758201621</v>
      </c>
      <c r="K30" s="535">
        <f t="shared" si="10"/>
        <v>53482839.499688685</v>
      </c>
      <c r="L30" s="487">
        <f t="shared" si="10"/>
        <v>54833342.002304986</v>
      </c>
      <c r="M30" s="515">
        <f>SUM(B30:L30)</f>
        <v>466591840.75160742</v>
      </c>
      <c r="N30" s="480"/>
    </row>
    <row r="31" spans="1:14">
      <c r="A31" s="482" t="s">
        <v>224</v>
      </c>
      <c r="B31" s="508">
        <f>'Summary Board'!D34</f>
        <v>0</v>
      </c>
      <c r="C31" s="508">
        <f>'Summary Board'!E34</f>
        <v>0</v>
      </c>
      <c r="D31" s="505">
        <f>'Summary Board'!F34</f>
        <v>0</v>
      </c>
      <c r="E31" s="505">
        <f>'Summary Board'!G34</f>
        <v>0</v>
      </c>
      <c r="F31" s="508">
        <f>'Summary Board'!H34</f>
        <v>0</v>
      </c>
      <c r="G31" s="505">
        <f>'Summary Board'!I34</f>
        <v>0</v>
      </c>
      <c r="H31" s="509">
        <f>'Summary Board'!J34</f>
        <v>0</v>
      </c>
      <c r="I31" s="508">
        <f>'Summary Board'!K34</f>
        <v>0</v>
      </c>
      <c r="J31" s="505">
        <f>'Summary Board'!L34</f>
        <v>0</v>
      </c>
      <c r="K31" s="505">
        <f>'Summary Board'!M34</f>
        <v>0</v>
      </c>
      <c r="L31" s="509">
        <f>'Summary Board'!N34</f>
        <v>966539423.48522043</v>
      </c>
      <c r="M31" s="515">
        <f>SUM(B31:L31)</f>
        <v>966539423.48522043</v>
      </c>
      <c r="N31" s="480"/>
    </row>
    <row r="32" spans="1:14">
      <c r="A32" s="482" t="s">
        <v>225</v>
      </c>
      <c r="B32" s="534">
        <f>'Summary Board'!D35</f>
        <v>0</v>
      </c>
      <c r="C32" s="534">
        <f>'Summary Board'!E35</f>
        <v>0</v>
      </c>
      <c r="D32" s="535">
        <f>'Summary Board'!F35</f>
        <v>0</v>
      </c>
      <c r="E32" s="487">
        <f>'Summary Board'!G35</f>
        <v>0</v>
      </c>
      <c r="F32" s="534">
        <f>'Summary Board'!H35</f>
        <v>0</v>
      </c>
      <c r="G32" s="535">
        <f>'Summary Board'!I35</f>
        <v>0</v>
      </c>
      <c r="H32" s="487">
        <f>'Summary Board'!J35</f>
        <v>0</v>
      </c>
      <c r="I32" s="534">
        <f>'Summary Board'!K35</f>
        <v>0</v>
      </c>
      <c r="J32" s="535">
        <f>'Summary Board'!L35</f>
        <v>0</v>
      </c>
      <c r="K32" s="535">
        <f>'Summary Board'!M35</f>
        <v>0</v>
      </c>
      <c r="L32" s="509">
        <f>'Summary Board'!N35</f>
        <v>-28996182.70455661</v>
      </c>
      <c r="M32" s="515">
        <f>SUM(B32:L32)</f>
        <v>-28996182.70455661</v>
      </c>
      <c r="N32" s="480"/>
    </row>
    <row r="33" spans="1:14">
      <c r="A33" s="488" t="s">
        <v>226</v>
      </c>
      <c r="B33" s="527">
        <f>-B20</f>
        <v>0</v>
      </c>
      <c r="C33" s="527">
        <f t="shared" ref="C33:K33" si="11">-C20</f>
        <v>0</v>
      </c>
      <c r="D33" s="502">
        <f t="shared" si="11"/>
        <v>0</v>
      </c>
      <c r="E33" s="489">
        <f t="shared" si="11"/>
        <v>0</v>
      </c>
      <c r="F33" s="527">
        <f t="shared" si="11"/>
        <v>0</v>
      </c>
      <c r="G33" s="502">
        <f t="shared" si="11"/>
        <v>0</v>
      </c>
      <c r="H33" s="489">
        <f t="shared" si="11"/>
        <v>0</v>
      </c>
      <c r="I33" s="527">
        <f t="shared" si="11"/>
        <v>0</v>
      </c>
      <c r="J33" s="502">
        <f t="shared" si="11"/>
        <v>0</v>
      </c>
      <c r="K33" s="502">
        <f t="shared" si="11"/>
        <v>0</v>
      </c>
      <c r="L33" s="489">
        <f>-L20</f>
        <v>-205812904.00395477</v>
      </c>
      <c r="M33" s="516">
        <f>SUM(B33:L33)</f>
        <v>-205812904.00395477</v>
      </c>
      <c r="N33" s="480"/>
    </row>
    <row r="34" spans="1:14" ht="13.8" thickBot="1">
      <c r="A34" s="490" t="s">
        <v>227</v>
      </c>
      <c r="B34" s="511">
        <f t="shared" ref="B34:M34" si="12">SUM(B29:B33)</f>
        <v>-35897268.64654284</v>
      </c>
      <c r="C34" s="511">
        <f>SUM(C29:C33)</f>
        <v>-43218816.518399999</v>
      </c>
      <c r="D34" s="506">
        <f t="shared" si="12"/>
        <v>-44406895.682752296</v>
      </c>
      <c r="E34" s="493">
        <f t="shared" si="12"/>
        <v>40118088.181173086</v>
      </c>
      <c r="F34" s="511">
        <f t="shared" si="12"/>
        <v>44913313.202064075</v>
      </c>
      <c r="G34" s="506">
        <f t="shared" si="12"/>
        <v>57750630.947661996</v>
      </c>
      <c r="H34" s="493">
        <f t="shared" si="12"/>
        <v>66448907.323840544</v>
      </c>
      <c r="I34" s="511">
        <f t="shared" si="12"/>
        <v>73016490.662734181</v>
      </c>
      <c r="J34" s="506">
        <f t="shared" si="12"/>
        <v>54416468.758201621</v>
      </c>
      <c r="K34" s="506">
        <f t="shared" si="12"/>
        <v>53482839.499688685</v>
      </c>
      <c r="L34" s="493">
        <f t="shared" si="12"/>
        <v>786563678.77901411</v>
      </c>
      <c r="M34" s="513">
        <f t="shared" si="12"/>
        <v>1053187436.5066828</v>
      </c>
      <c r="N34" s="480"/>
    </row>
    <row r="35" spans="1:14" ht="13.8" thickBot="1">
      <c r="A35" s="114" t="s">
        <v>26</v>
      </c>
      <c r="B35" s="541">
        <f>B34+NPV(B40,C34:L34)</f>
        <v>495141258.17260247</v>
      </c>
      <c r="C35" s="534"/>
      <c r="D35" s="535"/>
      <c r="E35" s="487"/>
      <c r="F35" s="534"/>
      <c r="G35" s="535"/>
      <c r="H35" s="487"/>
      <c r="I35" s="534"/>
      <c r="J35" s="535"/>
      <c r="K35" s="535"/>
      <c r="L35" s="487"/>
      <c r="M35" s="539"/>
      <c r="N35" s="480"/>
    </row>
    <row r="36" spans="1:14" ht="13.8" thickBot="1">
      <c r="A36" s="80" t="s">
        <v>228</v>
      </c>
      <c r="B36" s="552">
        <f>IRR(B34:L34,0)</f>
        <v>0.39133068934514537</v>
      </c>
      <c r="C36" s="548"/>
      <c r="D36" s="549"/>
      <c r="E36" s="550"/>
      <c r="F36" s="548"/>
      <c r="G36" s="549"/>
      <c r="H36" s="550"/>
      <c r="I36" s="548"/>
      <c r="J36" s="549"/>
      <c r="K36" s="549"/>
      <c r="L36" s="550"/>
      <c r="M36" s="538"/>
      <c r="N36" s="480"/>
    </row>
    <row r="37" spans="1:14" ht="13.8" thickBot="1">
      <c r="A37" s="480"/>
      <c r="B37" s="535"/>
      <c r="C37" s="535"/>
      <c r="D37" s="535"/>
      <c r="E37" s="535"/>
      <c r="F37" s="535"/>
      <c r="G37" s="535"/>
      <c r="H37" s="535"/>
      <c r="I37" s="535"/>
      <c r="J37" s="535"/>
      <c r="K37" s="535"/>
      <c r="L37" s="535"/>
      <c r="M37" s="537"/>
      <c r="N37" s="480"/>
    </row>
    <row r="38" spans="1:14" ht="13.8" thickBot="1">
      <c r="A38" s="1223" t="s">
        <v>217</v>
      </c>
      <c r="B38" s="1224"/>
      <c r="C38" s="498"/>
      <c r="D38" s="498"/>
      <c r="E38" s="498"/>
      <c r="F38" s="498"/>
      <c r="G38" s="498"/>
      <c r="H38" s="498"/>
      <c r="I38" s="498"/>
      <c r="J38" s="498"/>
      <c r="K38" s="498"/>
      <c r="L38" s="498"/>
      <c r="M38" s="498"/>
      <c r="N38" s="480"/>
    </row>
    <row r="39" spans="1:14">
      <c r="A39" s="518" t="s">
        <v>216</v>
      </c>
      <c r="B39" s="551">
        <v>0.05</v>
      </c>
      <c r="C39" s="479"/>
      <c r="D39" s="479"/>
      <c r="E39" s="479"/>
      <c r="F39" s="479"/>
      <c r="G39" s="479"/>
      <c r="H39" s="479"/>
      <c r="I39" s="479"/>
      <c r="J39" s="479"/>
      <c r="K39" s="479"/>
      <c r="L39" s="479"/>
      <c r="M39" s="480"/>
      <c r="N39" s="480"/>
    </row>
    <row r="40" spans="1:14" ht="13.8" thickBot="1">
      <c r="A40" s="523" t="s">
        <v>92</v>
      </c>
      <c r="B40" s="533">
        <v>0.08</v>
      </c>
      <c r="C40" s="479"/>
      <c r="D40" s="479"/>
      <c r="E40" s="479"/>
      <c r="F40" s="479"/>
      <c r="G40" s="479"/>
      <c r="H40" s="479"/>
      <c r="I40" s="479"/>
      <c r="J40" s="479"/>
      <c r="K40" s="479"/>
      <c r="L40" s="479"/>
      <c r="M40" s="480"/>
      <c r="N40" s="480"/>
    </row>
    <row r="41" spans="1:14">
      <c r="A41" s="480"/>
      <c r="B41" s="498"/>
      <c r="C41" s="498"/>
      <c r="D41" s="498"/>
      <c r="E41" s="498"/>
      <c r="F41" s="498"/>
      <c r="G41" s="498"/>
      <c r="H41" s="498"/>
      <c r="I41" s="498"/>
      <c r="J41" s="498"/>
      <c r="K41" s="498"/>
      <c r="L41" s="498"/>
      <c r="M41" s="480"/>
      <c r="N41" s="480"/>
    </row>
    <row r="42" spans="1:14">
      <c r="A42" s="480"/>
      <c r="B42" s="498"/>
      <c r="C42" s="498"/>
      <c r="D42" s="498"/>
      <c r="E42" s="498"/>
      <c r="F42" s="498"/>
      <c r="G42" s="498"/>
      <c r="H42" s="498"/>
      <c r="I42" s="498"/>
      <c r="J42" s="498"/>
      <c r="K42" s="498"/>
      <c r="L42" s="498"/>
      <c r="M42" s="480"/>
      <c r="N42" s="480"/>
    </row>
    <row r="43" spans="1:14">
      <c r="A43" s="480"/>
      <c r="B43" s="498"/>
      <c r="C43" s="498"/>
      <c r="D43" s="498"/>
      <c r="E43" s="498"/>
      <c r="F43" s="498"/>
      <c r="G43" s="498"/>
      <c r="H43" s="498"/>
      <c r="I43" s="498"/>
      <c r="J43" s="498"/>
      <c r="K43" s="498"/>
      <c r="L43" s="498"/>
      <c r="M43" s="480"/>
      <c r="N43" s="480"/>
    </row>
    <row r="44" spans="1:14">
      <c r="A44" s="480"/>
      <c r="B44" s="498"/>
      <c r="C44" s="498"/>
      <c r="D44" s="498"/>
      <c r="E44" s="498"/>
      <c r="F44" s="498"/>
      <c r="G44" s="498"/>
      <c r="H44" s="498"/>
      <c r="I44" s="498"/>
      <c r="J44" s="498"/>
      <c r="K44" s="498"/>
      <c r="L44" s="498"/>
      <c r="M44" s="480"/>
      <c r="N44" s="480"/>
    </row>
    <row r="45" spans="1:14">
      <c r="A45" s="480"/>
      <c r="B45" s="498"/>
      <c r="C45" s="498"/>
      <c r="D45" s="498"/>
      <c r="E45" s="498"/>
      <c r="F45" s="498"/>
      <c r="G45" s="498"/>
      <c r="H45" s="498"/>
      <c r="I45" s="498"/>
      <c r="J45" s="498"/>
      <c r="K45" s="498"/>
      <c r="L45" s="498"/>
      <c r="M45" s="480"/>
      <c r="N45" s="480"/>
    </row>
    <row r="46" spans="1:14">
      <c r="A46" s="480"/>
      <c r="B46" s="498"/>
      <c r="C46" s="498"/>
      <c r="D46" s="498"/>
      <c r="E46" s="498"/>
      <c r="F46" s="498"/>
      <c r="G46" s="498"/>
      <c r="H46" s="498"/>
      <c r="I46" s="498"/>
      <c r="J46" s="498"/>
      <c r="K46" s="498"/>
      <c r="L46" s="498"/>
      <c r="M46" s="480"/>
      <c r="N46" s="480"/>
    </row>
    <row r="47" spans="1:14">
      <c r="A47" s="480"/>
      <c r="B47" s="498"/>
      <c r="C47" s="498"/>
      <c r="D47" s="498"/>
      <c r="E47" s="498"/>
      <c r="F47" s="498"/>
      <c r="G47" s="498"/>
      <c r="H47" s="498"/>
      <c r="I47" s="498"/>
      <c r="J47" s="498"/>
      <c r="K47" s="498"/>
      <c r="L47" s="498"/>
      <c r="M47" s="480"/>
      <c r="N47" s="480"/>
    </row>
    <row r="48" spans="1:14">
      <c r="A48" s="480"/>
      <c r="B48" s="498"/>
      <c r="C48" s="498"/>
      <c r="D48" s="498"/>
      <c r="E48" s="498"/>
      <c r="F48" s="498"/>
      <c r="G48" s="498"/>
      <c r="H48" s="498"/>
      <c r="I48" s="498"/>
      <c r="J48" s="498"/>
      <c r="K48" s="498"/>
      <c r="L48" s="498"/>
      <c r="M48" s="480"/>
      <c r="N48" s="480"/>
    </row>
    <row r="49" spans="1:14">
      <c r="A49" s="480"/>
      <c r="B49" s="498"/>
      <c r="C49" s="498"/>
      <c r="D49" s="498"/>
      <c r="E49" s="498"/>
      <c r="F49" s="498"/>
      <c r="G49" s="498"/>
      <c r="H49" s="498"/>
      <c r="I49" s="498"/>
      <c r="J49" s="498"/>
      <c r="K49" s="498"/>
      <c r="L49" s="498"/>
      <c r="M49" s="480"/>
      <c r="N49" s="480"/>
    </row>
    <row r="50" spans="1:14">
      <c r="A50" s="480"/>
      <c r="B50" s="481"/>
      <c r="C50" s="480"/>
      <c r="D50" s="480"/>
      <c r="E50" s="480"/>
      <c r="F50" s="480"/>
      <c r="G50" s="480"/>
      <c r="H50" s="480"/>
      <c r="I50" s="480"/>
      <c r="J50" s="480"/>
      <c r="K50" s="480"/>
      <c r="L50" s="480"/>
      <c r="M50" s="480"/>
      <c r="N50" s="480"/>
    </row>
    <row r="51" spans="1:14">
      <c r="A51" s="480"/>
      <c r="B51" s="498"/>
      <c r="C51" s="498"/>
      <c r="D51" s="498"/>
      <c r="E51" s="498"/>
      <c r="F51" s="498"/>
      <c r="G51" s="498"/>
      <c r="H51" s="498"/>
      <c r="I51" s="498"/>
      <c r="J51" s="498"/>
      <c r="K51" s="498"/>
      <c r="L51" s="498"/>
      <c r="M51" s="480"/>
      <c r="N51" s="480"/>
    </row>
    <row r="52" spans="1:14">
      <c r="B52" s="497"/>
    </row>
  </sheetData>
  <mergeCells count="1">
    <mergeCell ref="A38:B38"/>
  </mergeCells>
  <printOptions horizontalCentered="1"/>
  <pageMargins left="0.45" right="0.45" top="0.5" bottom="0.5" header="0.3" footer="0.3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4"/>
  <sheetViews>
    <sheetView view="pageBreakPreview" zoomScale="85" zoomScaleNormal="100" zoomScaleSheetLayoutView="85" zoomScalePageLayoutView="70" workbookViewId="0">
      <selection activeCell="B12" sqref="B12"/>
    </sheetView>
  </sheetViews>
  <sheetFormatPr defaultColWidth="9.109375" defaultRowHeight="13.2"/>
  <cols>
    <col min="1" max="1" width="9.109375" style="39"/>
    <col min="2" max="2" width="13.6640625" style="39" customWidth="1"/>
    <col min="3" max="3" width="8.33203125" style="57" customWidth="1"/>
    <col min="4" max="4" width="13.6640625" style="57" customWidth="1"/>
    <col min="5" max="14" width="13.6640625" style="39" customWidth="1"/>
    <col min="15" max="16384" width="9.109375" style="39"/>
  </cols>
  <sheetData>
    <row r="1" spans="1:15" ht="13.5" customHeight="1" thickBot="1">
      <c r="M1" s="975" t="s">
        <v>93</v>
      </c>
      <c r="N1" s="976">
        <v>191863</v>
      </c>
    </row>
    <row r="2" spans="1:15" s="983" customFormat="1" ht="14.1" customHeight="1">
      <c r="A2" s="905" t="s">
        <v>81</v>
      </c>
      <c r="B2" s="977"/>
      <c r="C2" s="977"/>
      <c r="D2" s="977"/>
      <c r="E2" s="977"/>
      <c r="F2" s="977"/>
      <c r="G2" s="977"/>
      <c r="H2" s="977"/>
      <c r="I2" s="977"/>
      <c r="J2" s="977"/>
      <c r="K2" s="977"/>
      <c r="L2" s="977"/>
      <c r="M2" s="977"/>
      <c r="N2" s="980"/>
      <c r="O2" s="982"/>
    </row>
    <row r="3" spans="1:15" s="983" customFormat="1" ht="14.1" customHeight="1" thickBot="1">
      <c r="A3" s="906" t="s">
        <v>13</v>
      </c>
      <c r="B3" s="978"/>
      <c r="C3" s="979"/>
      <c r="D3" s="979"/>
      <c r="E3" s="979"/>
      <c r="F3" s="979"/>
      <c r="G3" s="979"/>
      <c r="H3" s="979"/>
      <c r="I3" s="979"/>
      <c r="J3" s="979"/>
      <c r="K3" s="979"/>
      <c r="L3" s="979"/>
      <c r="M3" s="979"/>
      <c r="N3" s="981"/>
    </row>
    <row r="4" spans="1:15" ht="14.1" customHeight="1" thickBot="1">
      <c r="A4" s="161"/>
      <c r="B4" s="162"/>
      <c r="C4" s="163"/>
      <c r="D4" s="128" t="s">
        <v>57</v>
      </c>
      <c r="E4" s="1227" t="s">
        <v>36</v>
      </c>
      <c r="F4" s="1228"/>
      <c r="G4" s="1229" t="s">
        <v>78</v>
      </c>
      <c r="H4" s="1230"/>
      <c r="I4" s="1230"/>
      <c r="J4" s="1231"/>
      <c r="K4" s="1232" t="s">
        <v>79</v>
      </c>
      <c r="L4" s="1233"/>
      <c r="M4" s="1233"/>
      <c r="N4" s="1234"/>
    </row>
    <row r="5" spans="1:15" ht="14.1" customHeight="1" thickBot="1">
      <c r="A5" s="121"/>
      <c r="B5" s="98"/>
      <c r="C5" s="164"/>
      <c r="D5" s="136">
        <v>0</v>
      </c>
      <c r="E5" s="101">
        <f>D5+1</f>
        <v>1</v>
      </c>
      <c r="F5" s="100">
        <f t="shared" ref="F5:M5" si="0">E5+1</f>
        <v>2</v>
      </c>
      <c r="G5" s="101">
        <f t="shared" si="0"/>
        <v>3</v>
      </c>
      <c r="H5" s="955">
        <f t="shared" si="0"/>
        <v>4</v>
      </c>
      <c r="I5" s="135">
        <f t="shared" si="0"/>
        <v>5</v>
      </c>
      <c r="J5" s="102">
        <f t="shared" si="0"/>
        <v>6</v>
      </c>
      <c r="K5" s="100">
        <f t="shared" si="0"/>
        <v>7</v>
      </c>
      <c r="L5" s="100">
        <f t="shared" si="0"/>
        <v>8</v>
      </c>
      <c r="M5" s="100">
        <f t="shared" si="0"/>
        <v>9</v>
      </c>
      <c r="N5" s="102">
        <f>M5+1</f>
        <v>10</v>
      </c>
    </row>
    <row r="6" spans="1:15" ht="3.75" customHeight="1" thickBot="1">
      <c r="A6" s="165"/>
      <c r="B6" s="166"/>
      <c r="C6" s="167"/>
      <c r="D6" s="136" t="s">
        <v>337</v>
      </c>
      <c r="E6" s="267">
        <v>2021</v>
      </c>
      <c r="F6" s="100">
        <f>E6+1</f>
        <v>2022</v>
      </c>
      <c r="G6" s="101">
        <f t="shared" ref="G6:L6" si="1">F6+1</f>
        <v>2023</v>
      </c>
      <c r="H6" s="955">
        <f t="shared" si="1"/>
        <v>2024</v>
      </c>
      <c r="I6" s="100">
        <f t="shared" si="1"/>
        <v>2025</v>
      </c>
      <c r="J6" s="102">
        <f t="shared" si="1"/>
        <v>2026</v>
      </c>
      <c r="K6" s="100">
        <f t="shared" si="1"/>
        <v>2027</v>
      </c>
      <c r="L6" s="100">
        <f t="shared" si="1"/>
        <v>2028</v>
      </c>
      <c r="M6" s="100">
        <f>L6+1</f>
        <v>2029</v>
      </c>
      <c r="N6" s="102">
        <f>M6+1</f>
        <v>2030</v>
      </c>
    </row>
    <row r="7" spans="1:15">
      <c r="A7" s="160" t="s">
        <v>91</v>
      </c>
      <c r="B7" s="107"/>
      <c r="C7" s="122">
        <v>0.02</v>
      </c>
      <c r="D7" s="129"/>
      <c r="E7" s="132"/>
      <c r="F7" s="106"/>
      <c r="G7" s="132"/>
      <c r="H7" s="106"/>
      <c r="I7" s="106"/>
      <c r="J7" s="110"/>
      <c r="K7" s="106"/>
      <c r="L7" s="106"/>
      <c r="M7" s="106"/>
      <c r="N7" s="110"/>
    </row>
    <row r="8" spans="1:15" ht="14.1" customHeight="1" thickBot="1">
      <c r="A8" s="160"/>
      <c r="B8" s="107"/>
      <c r="C8" s="122"/>
      <c r="D8" s="129"/>
      <c r="E8" s="132"/>
      <c r="F8" s="106"/>
      <c r="G8" s="132"/>
      <c r="H8" s="1052"/>
      <c r="I8" s="106"/>
      <c r="J8" s="110"/>
      <c r="K8" s="106"/>
      <c r="L8" s="106"/>
      <c r="M8" s="106"/>
      <c r="N8" s="110"/>
    </row>
    <row r="9" spans="1:15" ht="14.1" customHeight="1" thickBot="1">
      <c r="A9" s="209" t="s">
        <v>7</v>
      </c>
      <c r="B9" s="210"/>
      <c r="C9" s="211"/>
      <c r="D9" s="212"/>
      <c r="E9" s="185"/>
      <c r="F9" s="210"/>
      <c r="G9" s="185"/>
      <c r="H9" s="210"/>
      <c r="I9" s="210"/>
      <c r="J9" s="213"/>
      <c r="K9" s="210"/>
      <c r="L9" s="210"/>
      <c r="M9" s="210"/>
      <c r="N9" s="213"/>
    </row>
    <row r="10" spans="1:15" ht="14.1" customHeight="1">
      <c r="A10" s="112" t="s">
        <v>422</v>
      </c>
      <c r="B10" s="107"/>
      <c r="C10" s="108"/>
      <c r="D10" s="149">
        <f>'Development Schedule'!D99*$E$19*((1+$C$7)^D$5)</f>
        <v>0</v>
      </c>
      <c r="E10" s="150">
        <f>'Development Schedule'!E99*$E$19*((1+$C$7)^E$5)</f>
        <v>1342512.1</v>
      </c>
      <c r="F10" s="151">
        <f>'Development Schedule'!F99*$E$19*((1+$C$7)^F$5)</f>
        <v>1171122.7919999999</v>
      </c>
      <c r="G10" s="150">
        <f>'Development Schedule'!G99*$E$19*((1+$C$7)^G$5)</f>
        <v>1068418.90836</v>
      </c>
      <c r="H10" s="151">
        <f>'Development Schedule'!H99*$E$19*((1+$C$7)^H$5)</f>
        <v>175077.98971920001</v>
      </c>
      <c r="I10" s="958">
        <f>'Development Schedule'!I99*$E$19*((1+$C$7)^I$5)</f>
        <v>72157.200893136003</v>
      </c>
      <c r="J10" s="959">
        <f>'Development Schedule'!J99*$E$19*((1+$C$7)^J$5)</f>
        <v>46116.3510688608</v>
      </c>
      <c r="K10" s="957">
        <f>'Development Schedule'!K99*$E$19*((1+$C$7)^K$5)</f>
        <v>332232.91979711666</v>
      </c>
      <c r="L10" s="958">
        <f>'Development Schedule'!L99*$E$19*((1+$C$7)^L$5)</f>
        <v>523531.09663901606</v>
      </c>
      <c r="M10" s="958">
        <f>'Development Schedule'!M99*$E$19*((1+$C$7)^M$5)</f>
        <v>691310.25951384031</v>
      </c>
      <c r="N10" s="959">
        <f>'Development Schedule'!N99*$E$19*((1+$C$7)^N$5)</f>
        <v>0</v>
      </c>
    </row>
    <row r="11" spans="1:15" ht="14.1" customHeight="1">
      <c r="A11" s="113" t="s">
        <v>392</v>
      </c>
      <c r="B11" s="76"/>
      <c r="C11" s="107"/>
      <c r="D11" s="149">
        <f>'Development Schedule'!D100*E20*((1+$C$7)^D$5)</f>
        <v>0</v>
      </c>
      <c r="E11" s="328">
        <f>'Development Schedule'!E100*E20*((1+$C$7)^E$5)</f>
        <v>0</v>
      </c>
      <c r="F11" s="329">
        <f>'Development Schedule'!F100*E20*((1+$C$7)^F$5)</f>
        <v>576030.06964799995</v>
      </c>
      <c r="G11" s="328">
        <f>'Development Schedule'!G100*E20*((1+$C$7)^G$5)</f>
        <v>927888.55781529599</v>
      </c>
      <c r="H11" s="329">
        <f>'Development Schedule'!H100*E20*((1+$C$7)^H$5)</f>
        <v>2144949.3001474557</v>
      </c>
      <c r="I11" s="329">
        <f>'Development Schedule'!I100*E20*((1+$C$7)^I$5)</f>
        <v>2136587.6251503462</v>
      </c>
      <c r="J11" s="330">
        <f>'Development Schedule'!J100*E20*((1+$C$7)^J$5)</f>
        <v>2232363.3844140619</v>
      </c>
      <c r="K11" s="328">
        <f>'Development Schedule'!K100*E20*((1+$C$7)^K$5)</f>
        <v>0</v>
      </c>
      <c r="L11" s="329">
        <f>'Development Schedule'!L100*E20*((1+$C$7)^L$5)</f>
        <v>0</v>
      </c>
      <c r="M11" s="329">
        <f>'Development Schedule'!M100*E20*((1+$C$7)^M$5)</f>
        <v>0</v>
      </c>
      <c r="N11" s="330">
        <f>'Development Schedule'!N100*E20*((1+$C$7)^N$5)</f>
        <v>0</v>
      </c>
    </row>
    <row r="12" spans="1:15" s="119" customFormat="1" ht="14.1" customHeight="1">
      <c r="A12" s="113" t="s">
        <v>423</v>
      </c>
      <c r="B12" s="76"/>
      <c r="C12" s="107"/>
      <c r="D12" s="960">
        <f>'Development Schedule'!D101*$E$21*((1+$C$7)^D$5)</f>
        <v>0</v>
      </c>
      <c r="E12" s="961">
        <f>'Development Schedule'!E101*$E$21*((1+$C$7)^E$5)</f>
        <v>0</v>
      </c>
      <c r="F12" s="962">
        <f>'Development Schedule'!F101*$E$21*((1+$C$7)^F$5)</f>
        <v>684260.67599999998</v>
      </c>
      <c r="G12" s="961">
        <f>'Development Schedule'!G101*$E$21*((1+$C$7)^G$5)</f>
        <v>0</v>
      </c>
      <c r="H12" s="962">
        <f>'Development Schedule'!H101*$E$21*((1+$C$7)^H$5)</f>
        <v>0</v>
      </c>
      <c r="I12" s="962">
        <f>'Development Schedule'!I101*$E$21*((1+$C$7)^I$5)</f>
        <v>666456.29523561592</v>
      </c>
      <c r="J12" s="963">
        <f>'Development Schedule'!J101*$E$21*((1+$C$7)^J$5)</f>
        <v>396972.25279056001</v>
      </c>
      <c r="K12" s="961">
        <f>'Development Schedule'!K101*$E$21*((1+$C$7)^K$5)</f>
        <v>0</v>
      </c>
      <c r="L12" s="962">
        <f>'Development Schedule'!L101*$E$21*((1+$C$7)^L$5)</f>
        <v>0</v>
      </c>
      <c r="M12" s="962">
        <f>'Development Schedule'!M101*$E$21*((1+$C$7)^M$5)</f>
        <v>0</v>
      </c>
      <c r="N12" s="963">
        <f>'Development Schedule'!N101*$E$21*((1+$C$7)^N$5)</f>
        <v>0</v>
      </c>
    </row>
    <row r="13" spans="1:15">
      <c r="A13" s="113" t="s">
        <v>162</v>
      </c>
      <c r="B13" s="76"/>
      <c r="C13" s="107"/>
      <c r="D13" s="960">
        <f>'Development Schedule'!D102*E22*((1+$C$7)^D$5)</f>
        <v>0</v>
      </c>
      <c r="E13" s="961">
        <f>'Development Schedule'!E102*E22*((1+$C$7)^E$5)</f>
        <v>0</v>
      </c>
      <c r="F13" s="962">
        <f>'Development Schedule'!F102*E22*((1+$C$7)^F$5)</f>
        <v>0</v>
      </c>
      <c r="G13" s="961">
        <f>'Development Schedule'!G102*E22*((1+$C$7)^G$5)</f>
        <v>260959.53686399999</v>
      </c>
      <c r="H13" s="962">
        <f>'Development Schedule'!H102*E22*((1+$C$7)^H$5)</f>
        <v>266178.72760127997</v>
      </c>
      <c r="I13" s="962">
        <f>'Development Schedule'!I102*E22*((1+$C$7)^I$5)</f>
        <v>271502.30215330562</v>
      </c>
      <c r="J13" s="963">
        <f>'Development Schedule'!J102*E22*((1+$C$7)^J$5)</f>
        <v>276932.34819637175</v>
      </c>
      <c r="K13" s="961">
        <f>'Development Schedule'!K102*E22*((1+$C$7)^K$5)</f>
        <v>0</v>
      </c>
      <c r="L13" s="962">
        <f>'Development Schedule'!L102*E22*((1+$C$7)^L$5)</f>
        <v>0</v>
      </c>
      <c r="M13" s="962">
        <f>'Development Schedule'!M102*E22*((1+$C$7)^M$5)</f>
        <v>0</v>
      </c>
      <c r="N13" s="963">
        <f>'Development Schedule'!N102*E22*((1+$C$7)^N$5)</f>
        <v>0</v>
      </c>
    </row>
    <row r="14" spans="1:15" ht="13.8" thickBot="1">
      <c r="A14" s="1225" t="s">
        <v>32</v>
      </c>
      <c r="B14" s="1226"/>
      <c r="C14" s="120"/>
      <c r="D14" s="145">
        <f t="shared" ref="D14:N14" si="2">SUM(D11:D13)</f>
        <v>0</v>
      </c>
      <c r="E14" s="964">
        <f t="shared" si="2"/>
        <v>0</v>
      </c>
      <c r="F14" s="965">
        <f t="shared" si="2"/>
        <v>1260290.7456479999</v>
      </c>
      <c r="G14" s="964">
        <f t="shared" si="2"/>
        <v>1188848.094679296</v>
      </c>
      <c r="H14" s="1053">
        <f t="shared" si="2"/>
        <v>2411128.0277487356</v>
      </c>
      <c r="I14" s="965">
        <f t="shared" si="2"/>
        <v>3074546.222539268</v>
      </c>
      <c r="J14" s="969">
        <f t="shared" si="2"/>
        <v>2906267.9854009938</v>
      </c>
      <c r="K14" s="964">
        <f t="shared" si="2"/>
        <v>0</v>
      </c>
      <c r="L14" s="965">
        <f t="shared" si="2"/>
        <v>0</v>
      </c>
      <c r="M14" s="965">
        <f t="shared" si="2"/>
        <v>0</v>
      </c>
      <c r="N14" s="969">
        <f t="shared" si="2"/>
        <v>0</v>
      </c>
    </row>
    <row r="15" spans="1:15" ht="13.8" thickBot="1">
      <c r="A15" s="80" t="s">
        <v>8</v>
      </c>
      <c r="B15" s="81"/>
      <c r="C15" s="144"/>
      <c r="D15" s="146">
        <f>SUM(D10:D14)</f>
        <v>0</v>
      </c>
      <c r="E15" s="966">
        <f t="shared" ref="E15:N15" si="3">SUM(E10:E14)</f>
        <v>1342512.1</v>
      </c>
      <c r="F15" s="967">
        <f t="shared" si="3"/>
        <v>3691704.2832959997</v>
      </c>
      <c r="G15" s="966">
        <f t="shared" si="3"/>
        <v>3446115.0977185918</v>
      </c>
      <c r="H15" s="967">
        <f t="shared" si="3"/>
        <v>4997334.0452166712</v>
      </c>
      <c r="I15" s="967">
        <f t="shared" si="3"/>
        <v>6221249.6459716717</v>
      </c>
      <c r="J15" s="967">
        <f t="shared" si="3"/>
        <v>5858652.3218708485</v>
      </c>
      <c r="K15" s="966">
        <f t="shared" si="3"/>
        <v>332232.91979711666</v>
      </c>
      <c r="L15" s="967">
        <f t="shared" si="3"/>
        <v>523531.09663901606</v>
      </c>
      <c r="M15" s="967">
        <f t="shared" si="3"/>
        <v>691310.25951384031</v>
      </c>
      <c r="N15" s="968">
        <f t="shared" si="3"/>
        <v>0</v>
      </c>
    </row>
    <row r="16" spans="1:15" ht="13.8" thickBot="1">
      <c r="A16" s="115" t="s">
        <v>35</v>
      </c>
      <c r="B16" s="116"/>
      <c r="C16" s="117"/>
      <c r="D16" s="145">
        <f>D15+NPV(E23,E13:N13)</f>
        <v>762101.66426694102</v>
      </c>
      <c r="E16" s="66"/>
      <c r="F16" s="118"/>
      <c r="G16" s="118"/>
      <c r="H16" s="118"/>
      <c r="I16" s="118"/>
      <c r="J16" s="118"/>
      <c r="K16" s="118"/>
      <c r="L16" s="118"/>
      <c r="M16" s="118"/>
      <c r="N16" s="970"/>
    </row>
    <row r="17" spans="1:5" ht="13.8" customHeight="1" thickBot="1"/>
    <row r="18" spans="1:5" ht="13.8" customHeight="1" thickBot="1">
      <c r="A18" s="971" t="s">
        <v>14</v>
      </c>
      <c r="B18" s="972"/>
      <c r="C18" s="972"/>
      <c r="D18" s="973"/>
      <c r="E18" s="974"/>
    </row>
    <row r="19" spans="1:5">
      <c r="A19" s="63" t="s">
        <v>121</v>
      </c>
      <c r="B19" s="73"/>
      <c r="C19" s="64"/>
      <c r="D19" s="73"/>
      <c r="E19" s="956">
        <v>5</v>
      </c>
    </row>
    <row r="20" spans="1:5">
      <c r="A20" s="63" t="s">
        <v>425</v>
      </c>
      <c r="B20" s="73"/>
      <c r="C20" s="64"/>
      <c r="D20" s="73"/>
      <c r="E20" s="956">
        <f>'Summary Board'!F106</f>
        <v>22.44</v>
      </c>
    </row>
    <row r="21" spans="1:5" ht="15.6">
      <c r="A21" s="63" t="s">
        <v>424</v>
      </c>
      <c r="B21" s="73"/>
      <c r="C21" s="64"/>
      <c r="D21" s="73"/>
      <c r="E21" s="956">
        <v>25</v>
      </c>
    </row>
    <row r="22" spans="1:5">
      <c r="A22" s="63" t="s">
        <v>426</v>
      </c>
      <c r="B22" s="73"/>
      <c r="C22" s="64"/>
      <c r="D22" s="73"/>
      <c r="E22" s="956">
        <v>8</v>
      </c>
    </row>
    <row r="23" spans="1:5" ht="13.8" thickBot="1">
      <c r="A23" s="66" t="s">
        <v>92</v>
      </c>
      <c r="B23" s="118"/>
      <c r="C23" s="67"/>
      <c r="D23" s="118"/>
      <c r="E23" s="1054">
        <v>0.08</v>
      </c>
    </row>
    <row r="24" spans="1:5">
      <c r="A24" s="39" t="s">
        <v>264</v>
      </c>
    </row>
  </sheetData>
  <mergeCells count="4">
    <mergeCell ref="A14:B14"/>
    <mergeCell ref="E4:F4"/>
    <mergeCell ref="G4:J4"/>
    <mergeCell ref="K4:N4"/>
  </mergeCells>
  <phoneticPr fontId="3" type="noConversion"/>
  <printOptions horizontalCentered="1"/>
  <pageMargins left="0.5" right="0.5" top="1" bottom="0.5" header="0.5" footer="0.5"/>
  <pageSetup scale="70" orientation="landscape" r:id="rId1"/>
  <headerFooter alignWithMargins="0">
    <oddHeader>&amp;L&amp;"Arial,Bold"1. Infrastructure Costs by Year, Allocated by Use Types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88"/>
  <sheetViews>
    <sheetView view="pageBreakPreview" topLeftCell="A56" zoomScale="85" zoomScaleNormal="100" zoomScaleSheetLayoutView="85" workbookViewId="0">
      <selection activeCell="M69" sqref="M69"/>
    </sheetView>
  </sheetViews>
  <sheetFormatPr defaultColWidth="9.109375" defaultRowHeight="13.2"/>
  <cols>
    <col min="1" max="1" width="28.109375" style="96" customWidth="1"/>
    <col min="2" max="2" width="12.6640625" style="97" customWidth="1"/>
    <col min="3" max="3" width="15.44140625" style="97" bestFit="1" customWidth="1"/>
    <col min="4" max="4" width="13.6640625" style="96" customWidth="1"/>
    <col min="5" max="5" width="14.44140625" style="96" bestFit="1" customWidth="1"/>
    <col min="6" max="12" width="13.6640625" style="96" customWidth="1"/>
    <col min="13" max="13" width="15.44140625" style="96" bestFit="1" customWidth="1"/>
    <col min="14" max="14" width="15.33203125" style="96" bestFit="1" customWidth="1"/>
    <col min="15" max="16384" width="9.109375" style="96"/>
  </cols>
  <sheetData>
    <row r="1" spans="1:13" ht="14.1" customHeight="1" thickBot="1">
      <c r="A1" s="39"/>
      <c r="B1" s="57"/>
      <c r="C1" s="57"/>
      <c r="D1" s="39"/>
      <c r="E1" s="39"/>
      <c r="F1" s="39"/>
      <c r="G1" s="39"/>
      <c r="H1" s="39"/>
      <c r="I1" s="39"/>
      <c r="J1" s="39"/>
      <c r="K1" s="39"/>
      <c r="L1" s="134" t="s">
        <v>93</v>
      </c>
      <c r="M1" s="306">
        <v>191863</v>
      </c>
    </row>
    <row r="2" spans="1:13" ht="14.1" customHeight="1" thickBot="1">
      <c r="A2" s="39"/>
      <c r="B2" s="57"/>
      <c r="C2" s="57"/>
      <c r="D2" s="39"/>
      <c r="E2" s="39"/>
      <c r="F2" s="39"/>
      <c r="G2" s="118"/>
      <c r="H2" s="39"/>
      <c r="I2" s="39"/>
      <c r="J2" s="39"/>
      <c r="K2" s="39"/>
      <c r="L2" s="39"/>
      <c r="M2" s="39"/>
    </row>
    <row r="3" spans="1:13" ht="14.1" customHeight="1" thickBot="1">
      <c r="A3" s="123"/>
      <c r="B3" s="190"/>
      <c r="C3" s="128" t="s">
        <v>57</v>
      </c>
      <c r="D3" s="1227" t="s">
        <v>36</v>
      </c>
      <c r="E3" s="1228"/>
      <c r="F3" s="1229" t="s">
        <v>78</v>
      </c>
      <c r="G3" s="1230"/>
      <c r="H3" s="1230"/>
      <c r="I3" s="1231"/>
      <c r="J3" s="1232" t="s">
        <v>79</v>
      </c>
      <c r="K3" s="1233"/>
      <c r="L3" s="1233"/>
      <c r="M3" s="1234"/>
    </row>
    <row r="4" spans="1:13" ht="14.1" customHeight="1" thickBot="1">
      <c r="A4" s="63"/>
      <c r="B4" s="64"/>
      <c r="C4" s="136">
        <v>0</v>
      </c>
      <c r="D4" s="101">
        <f>C4+1</f>
        <v>1</v>
      </c>
      <c r="E4" s="100">
        <f t="shared" ref="E4:M5" si="0">D4+1</f>
        <v>2</v>
      </c>
      <c r="F4" s="101">
        <f t="shared" si="0"/>
        <v>3</v>
      </c>
      <c r="G4" s="955">
        <f t="shared" si="0"/>
        <v>4</v>
      </c>
      <c r="H4" s="135">
        <f t="shared" si="0"/>
        <v>5</v>
      </c>
      <c r="I4" s="102">
        <f t="shared" si="0"/>
        <v>6</v>
      </c>
      <c r="J4" s="100">
        <f t="shared" si="0"/>
        <v>7</v>
      </c>
      <c r="K4" s="100">
        <f t="shared" si="0"/>
        <v>8</v>
      </c>
      <c r="L4" s="100">
        <f t="shared" si="0"/>
        <v>9</v>
      </c>
      <c r="M4" s="102">
        <f t="shared" si="0"/>
        <v>10</v>
      </c>
    </row>
    <row r="5" spans="1:13" ht="13.5" customHeight="1" thickBot="1">
      <c r="A5" s="66"/>
      <c r="B5" s="135"/>
      <c r="C5" s="136" t="s">
        <v>337</v>
      </c>
      <c r="D5" s="267">
        <v>2021</v>
      </c>
      <c r="E5" s="100">
        <f>D5+1</f>
        <v>2022</v>
      </c>
      <c r="F5" s="101">
        <f t="shared" si="0"/>
        <v>2023</v>
      </c>
      <c r="G5" s="955">
        <f t="shared" si="0"/>
        <v>2024</v>
      </c>
      <c r="H5" s="100">
        <f t="shared" si="0"/>
        <v>2025</v>
      </c>
      <c r="I5" s="102">
        <f t="shared" si="0"/>
        <v>2026</v>
      </c>
      <c r="J5" s="100">
        <f t="shared" si="0"/>
        <v>2027</v>
      </c>
      <c r="K5" s="100">
        <f t="shared" si="0"/>
        <v>2028</v>
      </c>
      <c r="L5" s="100">
        <f>K5+1</f>
        <v>2029</v>
      </c>
      <c r="M5" s="102">
        <f>L5+1</f>
        <v>2030</v>
      </c>
    </row>
    <row r="6" spans="1:13" ht="13.8" thickBot="1">
      <c r="A6" s="185" t="s">
        <v>9</v>
      </c>
      <c r="B6" s="182"/>
      <c r="C6" s="191"/>
      <c r="D6" s="194"/>
      <c r="E6" s="183"/>
      <c r="F6" s="194"/>
      <c r="G6" s="183"/>
      <c r="H6" s="183"/>
      <c r="I6" s="184"/>
      <c r="J6" s="194"/>
      <c r="K6" s="183"/>
      <c r="L6" s="183"/>
      <c r="M6" s="184"/>
    </row>
    <row r="7" spans="1:13" s="39" customFormat="1" ht="13.8" hidden="1" thickBot="1">
      <c r="A7" s="62" t="s">
        <v>286</v>
      </c>
      <c r="B7" s="64"/>
      <c r="C7" s="130"/>
      <c r="D7" s="63"/>
      <c r="E7" s="73"/>
      <c r="F7" s="63"/>
      <c r="G7" s="73"/>
      <c r="H7" s="73"/>
      <c r="I7" s="111"/>
      <c r="J7" s="63"/>
      <c r="K7" s="73"/>
      <c r="L7" s="73"/>
      <c r="M7" s="111"/>
    </row>
    <row r="8" spans="1:13" s="39" customFormat="1" ht="13.8" hidden="1" thickBot="1">
      <c r="A8" s="160" t="s">
        <v>10</v>
      </c>
      <c r="B8" s="122">
        <v>0.03</v>
      </c>
      <c r="C8" s="129"/>
      <c r="D8" s="132"/>
      <c r="E8" s="106"/>
      <c r="F8" s="132"/>
      <c r="G8" s="106"/>
      <c r="H8" s="106"/>
      <c r="I8" s="110"/>
      <c r="J8" s="132"/>
      <c r="K8" s="106"/>
      <c r="L8" s="106"/>
      <c r="M8" s="110"/>
    </row>
    <row r="9" spans="1:13" s="39" customFormat="1" ht="13.8" hidden="1" thickBot="1">
      <c r="A9" s="160" t="s">
        <v>97</v>
      </c>
      <c r="B9" s="122"/>
      <c r="C9" s="129"/>
      <c r="D9" s="172">
        <f>ROUND('Development Schedule'!D29/$B$12,0)</f>
        <v>0</v>
      </c>
      <c r="E9" s="172">
        <f>D9</f>
        <v>0</v>
      </c>
      <c r="F9" s="195">
        <f>ROUND('Development Schedule'!F29/$B$12,0)</f>
        <v>74</v>
      </c>
      <c r="G9" s="172">
        <f>ROUND('Development Schedule'!H29/$B$12,0)</f>
        <v>0</v>
      </c>
      <c r="H9" s="172">
        <f>ROUND('Development Schedule'!I29/$B$12,0)</f>
        <v>0</v>
      </c>
      <c r="I9" s="174">
        <f>ROUND('Development Schedule'!J29/$B$12,0)</f>
        <v>0</v>
      </c>
      <c r="J9" s="195">
        <f>ROUND('Development Schedule'!K29/$B$12,0)</f>
        <v>0</v>
      </c>
      <c r="K9" s="172">
        <f>ROUND('Development Schedule'!L29/$B$12,0)</f>
        <v>0</v>
      </c>
      <c r="L9" s="172">
        <f>ROUND('Development Schedule'!M29/$B$12,0)</f>
        <v>0</v>
      </c>
      <c r="M9" s="174">
        <f>ROUND('Development Schedule'!N29/$B$12,0)</f>
        <v>0</v>
      </c>
    </row>
    <row r="10" spans="1:13" s="39" customFormat="1" ht="14.1" hidden="1" customHeight="1">
      <c r="A10" s="160" t="s">
        <v>37</v>
      </c>
      <c r="B10" s="64"/>
      <c r="C10" s="130"/>
      <c r="D10" s="196">
        <f>ROUND($C$78*D15,0)</f>
        <v>0</v>
      </c>
      <c r="E10" s="64">
        <f>E11-SUM($D$10:D10)</f>
        <v>0</v>
      </c>
      <c r="F10" s="196">
        <f>F11-SUM($D$10:E10)</f>
        <v>0</v>
      </c>
      <c r="G10" s="64">
        <f>G11-SUM($D$10:F10)</f>
        <v>0</v>
      </c>
      <c r="H10" s="64">
        <f>H11-SUM($D$10:G10)</f>
        <v>0</v>
      </c>
      <c r="I10" s="168">
        <f>I11-SUM($D$10:H10)</f>
        <v>0</v>
      </c>
      <c r="J10" s="196">
        <f>J11-SUM($D$10:I10)</f>
        <v>0</v>
      </c>
      <c r="K10" s="64">
        <f>K11-SUM($D$10:J10)</f>
        <v>0</v>
      </c>
      <c r="L10" s="64">
        <f>L11-SUM($D$10:K10)</f>
        <v>0</v>
      </c>
      <c r="M10" s="168">
        <f>M11-SUM($D$10:L10)</f>
        <v>0</v>
      </c>
    </row>
    <row r="11" spans="1:13" s="39" customFormat="1" ht="14.1" hidden="1" customHeight="1">
      <c r="A11" s="160" t="s">
        <v>98</v>
      </c>
      <c r="B11" s="58"/>
      <c r="C11" s="130"/>
      <c r="D11" s="196">
        <f t="shared" ref="D11:M11" si="1">ROUND($C$78*D15,0)</f>
        <v>0</v>
      </c>
      <c r="E11" s="64">
        <f t="shared" si="1"/>
        <v>0</v>
      </c>
      <c r="F11" s="196">
        <f t="shared" si="1"/>
        <v>0</v>
      </c>
      <c r="G11" s="64">
        <f t="shared" si="1"/>
        <v>0</v>
      </c>
      <c r="H11" s="64">
        <f t="shared" si="1"/>
        <v>0</v>
      </c>
      <c r="I11" s="168">
        <f t="shared" si="1"/>
        <v>0</v>
      </c>
      <c r="J11" s="196">
        <f t="shared" si="1"/>
        <v>0</v>
      </c>
      <c r="K11" s="64">
        <f t="shared" si="1"/>
        <v>0</v>
      </c>
      <c r="L11" s="64">
        <f t="shared" si="1"/>
        <v>0</v>
      </c>
      <c r="M11" s="168">
        <f t="shared" si="1"/>
        <v>0</v>
      </c>
    </row>
    <row r="12" spans="1:13" s="39" customFormat="1" ht="14.1" hidden="1" customHeight="1">
      <c r="A12" s="160" t="s">
        <v>38</v>
      </c>
      <c r="B12" s="58">
        <v>1000</v>
      </c>
      <c r="C12" s="130"/>
      <c r="D12" s="197"/>
      <c r="E12" s="107"/>
      <c r="F12" s="197"/>
      <c r="G12" s="107"/>
      <c r="H12" s="107"/>
      <c r="I12" s="175"/>
      <c r="J12" s="197"/>
      <c r="K12" s="107"/>
      <c r="L12" s="107"/>
      <c r="M12" s="175"/>
    </row>
    <row r="13" spans="1:13" s="39" customFormat="1" ht="14.1" hidden="1" customHeight="1">
      <c r="A13" s="160" t="s">
        <v>39</v>
      </c>
      <c r="B13" s="64"/>
      <c r="C13" s="130"/>
      <c r="D13" s="198">
        <f>SUM($D$9:D9)*$B$12</f>
        <v>0</v>
      </c>
      <c r="E13" s="171">
        <f>SUM($D$9:E9)*$B$12</f>
        <v>0</v>
      </c>
      <c r="F13" s="198">
        <f>SUM($D$9:F9)*$B$12</f>
        <v>74000</v>
      </c>
      <c r="G13" s="171">
        <f>SUM($D$9:G9)*$B$12</f>
        <v>74000</v>
      </c>
      <c r="H13" s="171">
        <f>SUM($D$9:H9)*$B$12</f>
        <v>74000</v>
      </c>
      <c r="I13" s="176">
        <f>SUM($D$9:I9)*$B$12</f>
        <v>74000</v>
      </c>
      <c r="J13" s="198">
        <f>SUM($D$9:J9)*$B$12</f>
        <v>74000</v>
      </c>
      <c r="K13" s="171">
        <f>SUM($D$9:K9)*$B$12</f>
        <v>74000</v>
      </c>
      <c r="L13" s="171">
        <f>SUM($D$9:L9)*$B$12</f>
        <v>74000</v>
      </c>
      <c r="M13" s="176">
        <f>SUM($D$9:M9)*$B$12</f>
        <v>74000</v>
      </c>
    </row>
    <row r="14" spans="1:13" s="39" customFormat="1" ht="14.1" hidden="1" customHeight="1">
      <c r="A14" s="160" t="s">
        <v>99</v>
      </c>
      <c r="B14" s="64"/>
      <c r="C14" s="207">
        <f>'Summary Board'!K100</f>
        <v>2.1</v>
      </c>
      <c r="D14" s="199">
        <f>$C$14*(1+$B$8)^D4</f>
        <v>2.1630000000000003</v>
      </c>
      <c r="E14" s="186">
        <f t="shared" ref="E14:M14" si="2">$C$14*(1+$B$8)^E4</f>
        <v>2.2278899999999999</v>
      </c>
      <c r="F14" s="199">
        <f t="shared" si="2"/>
        <v>2.2947267</v>
      </c>
      <c r="G14" s="186">
        <f t="shared" si="2"/>
        <v>2.363568501</v>
      </c>
      <c r="H14" s="186">
        <f t="shared" si="2"/>
        <v>2.4344755560299998</v>
      </c>
      <c r="I14" s="187">
        <f t="shared" si="2"/>
        <v>2.5075098227109001</v>
      </c>
      <c r="J14" s="199">
        <f t="shared" si="2"/>
        <v>2.5827351173922271</v>
      </c>
      <c r="K14" s="186">
        <f t="shared" si="2"/>
        <v>2.6602171709139935</v>
      </c>
      <c r="L14" s="186">
        <f t="shared" si="2"/>
        <v>2.7400236860414133</v>
      </c>
      <c r="M14" s="187">
        <f t="shared" si="2"/>
        <v>2.8222243966226559</v>
      </c>
    </row>
    <row r="15" spans="1:13" s="39" customFormat="1" ht="14.1" hidden="1" customHeight="1" thickBot="1">
      <c r="A15" s="133" t="s">
        <v>40</v>
      </c>
      <c r="B15" s="177"/>
      <c r="C15" s="193"/>
      <c r="D15" s="200">
        <v>0</v>
      </c>
      <c r="E15" s="178">
        <v>0.3</v>
      </c>
      <c r="F15" s="204">
        <v>0.75</v>
      </c>
      <c r="G15" s="122">
        <v>0.95</v>
      </c>
      <c r="H15" s="177">
        <f t="shared" ref="H15:M15" si="3">G15</f>
        <v>0.95</v>
      </c>
      <c r="I15" s="181">
        <f t="shared" si="3"/>
        <v>0.95</v>
      </c>
      <c r="J15" s="208">
        <f t="shared" si="3"/>
        <v>0.95</v>
      </c>
      <c r="K15" s="177">
        <f t="shared" si="3"/>
        <v>0.95</v>
      </c>
      <c r="L15" s="177">
        <f t="shared" si="3"/>
        <v>0.95</v>
      </c>
      <c r="M15" s="181">
        <f t="shared" si="3"/>
        <v>0.95</v>
      </c>
    </row>
    <row r="16" spans="1:13" s="73" customFormat="1" ht="4.5" customHeight="1">
      <c r="A16" s="160"/>
      <c r="B16" s="108"/>
      <c r="C16" s="409"/>
      <c r="D16" s="202"/>
      <c r="E16" s="173"/>
      <c r="F16" s="205"/>
      <c r="G16" s="122"/>
      <c r="H16" s="122"/>
      <c r="I16" s="206"/>
      <c r="J16" s="255"/>
      <c r="K16" s="108"/>
      <c r="L16" s="108"/>
      <c r="M16" s="206"/>
    </row>
    <row r="17" spans="1:13" s="73" customFormat="1" ht="14.1" customHeight="1">
      <c r="A17" s="62" t="s">
        <v>455</v>
      </c>
      <c r="B17" s="64"/>
      <c r="C17" s="130"/>
      <c r="D17" s="63"/>
      <c r="F17" s="63"/>
      <c r="I17" s="111"/>
      <c r="J17" s="63"/>
      <c r="M17" s="111"/>
    </row>
    <row r="18" spans="1:13" s="73" customFormat="1" ht="14.1" customHeight="1">
      <c r="A18" s="160" t="s">
        <v>10</v>
      </c>
      <c r="B18" s="122">
        <v>0.02</v>
      </c>
      <c r="C18" s="129"/>
      <c r="D18" s="132"/>
      <c r="E18" s="106"/>
      <c r="F18" s="132"/>
      <c r="G18" s="106"/>
      <c r="H18" s="106"/>
      <c r="I18" s="110"/>
      <c r="J18" s="132"/>
      <c r="K18" s="106"/>
      <c r="L18" s="106"/>
      <c r="M18" s="110"/>
    </row>
    <row r="19" spans="1:13" s="73" customFormat="1" ht="14.1" customHeight="1">
      <c r="A19" s="160" t="s">
        <v>97</v>
      </c>
      <c r="B19" s="122"/>
      <c r="C19" s="129"/>
      <c r="D19" s="195">
        <f>ROUND(D79*(1/3)/$B$22,0)</f>
        <v>60</v>
      </c>
      <c r="E19" s="172">
        <f>ROUND(D79/$B$22,0)</f>
        <v>180</v>
      </c>
      <c r="F19" s="195">
        <v>0</v>
      </c>
      <c r="G19" s="172">
        <v>0</v>
      </c>
      <c r="H19" s="172">
        <f t="shared" ref="H19:M19" si="4">G19</f>
        <v>0</v>
      </c>
      <c r="I19" s="174">
        <f t="shared" si="4"/>
        <v>0</v>
      </c>
      <c r="J19" s="195">
        <f t="shared" si="4"/>
        <v>0</v>
      </c>
      <c r="K19" s="172">
        <f t="shared" si="4"/>
        <v>0</v>
      </c>
      <c r="L19" s="172">
        <f t="shared" si="4"/>
        <v>0</v>
      </c>
      <c r="M19" s="174">
        <f t="shared" si="4"/>
        <v>0</v>
      </c>
    </row>
    <row r="20" spans="1:13" s="73" customFormat="1" ht="14.1" customHeight="1">
      <c r="A20" s="160" t="s">
        <v>37</v>
      </c>
      <c r="B20" s="64"/>
      <c r="C20" s="130"/>
      <c r="D20" s="196">
        <f>ROUND($C$79*D25,0)</f>
        <v>0</v>
      </c>
      <c r="E20" s="64">
        <f>E21-SUM($D$20:D20)</f>
        <v>54</v>
      </c>
      <c r="F20" s="196">
        <f>F21-SUM($D$20:E20)</f>
        <v>81</v>
      </c>
      <c r="G20" s="64">
        <f>G21-SUM($D$20:F20)</f>
        <v>32</v>
      </c>
      <c r="H20" s="64">
        <f>H21-SUM($D$20:G20)</f>
        <v>0</v>
      </c>
      <c r="I20" s="168">
        <f>I21-SUM($D$20:H20)</f>
        <v>0</v>
      </c>
      <c r="J20" s="196">
        <f>J21-SUM($D$20:I20)</f>
        <v>0</v>
      </c>
      <c r="K20" s="64">
        <f>K21-SUM($D$20:J20)</f>
        <v>0</v>
      </c>
      <c r="L20" s="64">
        <f>L21-SUM($D$20:K20)</f>
        <v>0</v>
      </c>
      <c r="M20" s="168">
        <f>M21-SUM($D$20:L20)</f>
        <v>0</v>
      </c>
    </row>
    <row r="21" spans="1:13" s="73" customFormat="1" ht="14.1" customHeight="1">
      <c r="A21" s="160" t="s">
        <v>98</v>
      </c>
      <c r="B21" s="58"/>
      <c r="C21" s="130"/>
      <c r="D21" s="196">
        <f t="shared" ref="D21:M21" si="5">ROUND($C$79*D25,0)</f>
        <v>0</v>
      </c>
      <c r="E21" s="64">
        <f t="shared" si="5"/>
        <v>54</v>
      </c>
      <c r="F21" s="196">
        <f t="shared" si="5"/>
        <v>135</v>
      </c>
      <c r="G21" s="64">
        <f t="shared" si="5"/>
        <v>167</v>
      </c>
      <c r="H21" s="64">
        <f t="shared" si="5"/>
        <v>167</v>
      </c>
      <c r="I21" s="168">
        <f t="shared" si="5"/>
        <v>167</v>
      </c>
      <c r="J21" s="196">
        <f t="shared" si="5"/>
        <v>167</v>
      </c>
      <c r="K21" s="64">
        <f t="shared" si="5"/>
        <v>167</v>
      </c>
      <c r="L21" s="64">
        <f t="shared" si="5"/>
        <v>167</v>
      </c>
      <c r="M21" s="168">
        <f t="shared" si="5"/>
        <v>167</v>
      </c>
    </row>
    <row r="22" spans="1:13" s="73" customFormat="1" ht="14.1" customHeight="1">
      <c r="A22" s="160" t="s">
        <v>38</v>
      </c>
      <c r="B22" s="1051">
        <v>1000</v>
      </c>
      <c r="C22" s="130"/>
      <c r="D22" s="197"/>
      <c r="E22" s="107"/>
      <c r="F22" s="197"/>
      <c r="G22" s="107"/>
      <c r="H22" s="107"/>
      <c r="I22" s="175"/>
      <c r="J22" s="197"/>
      <c r="K22" s="107"/>
      <c r="L22" s="107"/>
      <c r="M22" s="175"/>
    </row>
    <row r="23" spans="1:13" s="73" customFormat="1" ht="14.1" customHeight="1">
      <c r="A23" s="160" t="s">
        <v>39</v>
      </c>
      <c r="B23" s="64"/>
      <c r="C23" s="130"/>
      <c r="D23" s="198">
        <f>SUM($D$19:D19)*$B$22</f>
        <v>60000</v>
      </c>
      <c r="E23" s="171">
        <f>SUM(E19)*$B$22</f>
        <v>180000</v>
      </c>
      <c r="F23" s="198">
        <f t="shared" ref="F23:M23" si="6">E23</f>
        <v>180000</v>
      </c>
      <c r="G23" s="171">
        <f t="shared" si="6"/>
        <v>180000</v>
      </c>
      <c r="H23" s="171">
        <f t="shared" si="6"/>
        <v>180000</v>
      </c>
      <c r="I23" s="176">
        <f t="shared" si="6"/>
        <v>180000</v>
      </c>
      <c r="J23" s="198">
        <f t="shared" si="6"/>
        <v>180000</v>
      </c>
      <c r="K23" s="171">
        <f t="shared" si="6"/>
        <v>180000</v>
      </c>
      <c r="L23" s="171">
        <f t="shared" si="6"/>
        <v>180000</v>
      </c>
      <c r="M23" s="176">
        <f t="shared" si="6"/>
        <v>180000</v>
      </c>
    </row>
    <row r="24" spans="1:13" s="73" customFormat="1" ht="14.1" customHeight="1">
      <c r="A24" s="160" t="s">
        <v>99</v>
      </c>
      <c r="B24" s="64"/>
      <c r="C24" s="192">
        <f t="shared" ref="C24:M24" si="7">C14</f>
        <v>2.1</v>
      </c>
      <c r="D24" s="199">
        <f t="shared" si="7"/>
        <v>2.1630000000000003</v>
      </c>
      <c r="E24" s="186">
        <f t="shared" si="7"/>
        <v>2.2278899999999999</v>
      </c>
      <c r="F24" s="199">
        <f t="shared" si="7"/>
        <v>2.2947267</v>
      </c>
      <c r="G24" s="186">
        <f t="shared" si="7"/>
        <v>2.363568501</v>
      </c>
      <c r="H24" s="186">
        <f t="shared" si="7"/>
        <v>2.4344755560299998</v>
      </c>
      <c r="I24" s="187">
        <f t="shared" si="7"/>
        <v>2.5075098227109001</v>
      </c>
      <c r="J24" s="199">
        <f t="shared" si="7"/>
        <v>2.5827351173922271</v>
      </c>
      <c r="K24" s="186">
        <f t="shared" si="7"/>
        <v>2.6602171709139935</v>
      </c>
      <c r="L24" s="186">
        <f t="shared" si="7"/>
        <v>2.7400236860414133</v>
      </c>
      <c r="M24" s="187">
        <f t="shared" si="7"/>
        <v>2.8222243966226559</v>
      </c>
    </row>
    <row r="25" spans="1:13" s="73" customFormat="1" ht="14.1" customHeight="1" thickBot="1">
      <c r="A25" s="133" t="s">
        <v>40</v>
      </c>
      <c r="B25" s="177"/>
      <c r="C25" s="193"/>
      <c r="D25" s="200">
        <v>0</v>
      </c>
      <c r="E25" s="178">
        <v>0.3</v>
      </c>
      <c r="F25" s="204">
        <v>0.75</v>
      </c>
      <c r="G25" s="180">
        <v>0.93</v>
      </c>
      <c r="H25" s="177">
        <v>0.93</v>
      </c>
      <c r="I25" s="181">
        <f>H25</f>
        <v>0.93</v>
      </c>
      <c r="J25" s="208">
        <f>I25</f>
        <v>0.93</v>
      </c>
      <c r="K25" s="177">
        <f>J25</f>
        <v>0.93</v>
      </c>
      <c r="L25" s="177">
        <f>K25</f>
        <v>0.93</v>
      </c>
      <c r="M25" s="181">
        <f>L25</f>
        <v>0.93</v>
      </c>
    </row>
    <row r="26" spans="1:13" s="73" customFormat="1" ht="4.5" customHeight="1">
      <c r="A26" s="160"/>
      <c r="B26" s="108"/>
      <c r="C26" s="131"/>
      <c r="D26" s="202"/>
      <c r="E26" s="173"/>
      <c r="F26" s="205"/>
      <c r="G26" s="122"/>
      <c r="H26" s="122"/>
      <c r="I26" s="206"/>
      <c r="J26" s="255"/>
      <c r="K26" s="108"/>
      <c r="L26" s="108"/>
      <c r="M26" s="206"/>
    </row>
    <row r="27" spans="1:13" s="73" customFormat="1" ht="14.1" customHeight="1">
      <c r="A27" s="62" t="s">
        <v>460</v>
      </c>
      <c r="B27" s="64"/>
      <c r="C27" s="130"/>
      <c r="D27" s="63"/>
      <c r="F27" s="63"/>
      <c r="I27" s="111"/>
      <c r="J27" s="63"/>
      <c r="M27" s="111"/>
    </row>
    <row r="28" spans="1:13" s="73" customFormat="1" ht="14.1" customHeight="1">
      <c r="A28" s="160" t="s">
        <v>10</v>
      </c>
      <c r="B28" s="122">
        <v>0.02</v>
      </c>
      <c r="C28" s="129"/>
      <c r="D28" s="132"/>
      <c r="E28" s="106"/>
      <c r="F28" s="132"/>
      <c r="G28" s="106"/>
      <c r="H28" s="106"/>
      <c r="I28" s="110"/>
      <c r="J28" s="132"/>
      <c r="K28" s="106"/>
      <c r="L28" s="106"/>
      <c r="M28" s="110"/>
    </row>
    <row r="29" spans="1:13" s="73" customFormat="1" ht="14.1" customHeight="1">
      <c r="A29" s="160" t="s">
        <v>97</v>
      </c>
      <c r="B29" s="122"/>
      <c r="C29" s="129"/>
      <c r="D29" s="195">
        <f>0</f>
        <v>0</v>
      </c>
      <c r="E29" s="172">
        <f>ROUND('Development Schedule'!F41/$B$32,0)</f>
        <v>0</v>
      </c>
      <c r="F29" s="195">
        <f>0</f>
        <v>0</v>
      </c>
      <c r="G29" s="172">
        <f>ROUND(D80/$B$32,0)</f>
        <v>17</v>
      </c>
      <c r="H29" s="172">
        <v>0</v>
      </c>
      <c r="I29" s="174">
        <f>H29</f>
        <v>0</v>
      </c>
      <c r="J29" s="195">
        <f>I29</f>
        <v>0</v>
      </c>
      <c r="K29" s="172">
        <f>J29</f>
        <v>0</v>
      </c>
      <c r="L29" s="172">
        <f>K29</f>
        <v>0</v>
      </c>
      <c r="M29" s="174">
        <f>L29</f>
        <v>0</v>
      </c>
    </row>
    <row r="30" spans="1:13" s="73" customFormat="1" ht="14.1" customHeight="1">
      <c r="A30" s="160" t="s">
        <v>37</v>
      </c>
      <c r="B30" s="64"/>
      <c r="C30" s="130"/>
      <c r="D30" s="196">
        <f>ROUND($C$80*D35,0)</f>
        <v>0</v>
      </c>
      <c r="E30" s="64">
        <f>E31-SUM($D$30:D30)</f>
        <v>0</v>
      </c>
      <c r="F30" s="196">
        <f>F31-SUM($D$30:E30)</f>
        <v>0</v>
      </c>
      <c r="G30" s="64">
        <f>G31-SUM($D$30:F30)</f>
        <v>5</v>
      </c>
      <c r="H30" s="64">
        <f>H31-SUM($D$30:G30)</f>
        <v>8</v>
      </c>
      <c r="I30" s="168">
        <f>I31-SUM($D$30:H30)</f>
        <v>3</v>
      </c>
      <c r="J30" s="196">
        <f>J31-SUM($D$30:I30)</f>
        <v>1</v>
      </c>
      <c r="K30" s="64">
        <f>K31-SUM($D$30:J30)</f>
        <v>0</v>
      </c>
      <c r="L30" s="64">
        <f>L31-SUM($D$30:K30)</f>
        <v>0</v>
      </c>
      <c r="M30" s="168">
        <f>M31-SUM($D$30:L30)</f>
        <v>0</v>
      </c>
    </row>
    <row r="31" spans="1:13" s="73" customFormat="1" ht="14.1" customHeight="1">
      <c r="A31" s="160" t="s">
        <v>98</v>
      </c>
      <c r="B31" s="58"/>
      <c r="C31" s="130"/>
      <c r="D31" s="196">
        <f t="shared" ref="D31:M31" si="8">ROUND($C$80*D35,0)</f>
        <v>0</v>
      </c>
      <c r="E31" s="64">
        <f t="shared" si="8"/>
        <v>0</v>
      </c>
      <c r="F31" s="196">
        <f t="shared" si="8"/>
        <v>0</v>
      </c>
      <c r="G31" s="64">
        <f t="shared" si="8"/>
        <v>5</v>
      </c>
      <c r="H31" s="64">
        <f t="shared" si="8"/>
        <v>13</v>
      </c>
      <c r="I31" s="168">
        <f t="shared" si="8"/>
        <v>16</v>
      </c>
      <c r="J31" s="196">
        <f t="shared" si="8"/>
        <v>17</v>
      </c>
      <c r="K31" s="64">
        <f t="shared" si="8"/>
        <v>17</v>
      </c>
      <c r="L31" s="64">
        <f t="shared" si="8"/>
        <v>17</v>
      </c>
      <c r="M31" s="168">
        <f t="shared" si="8"/>
        <v>17</v>
      </c>
    </row>
    <row r="32" spans="1:13" s="73" customFormat="1" ht="14.1" customHeight="1">
      <c r="A32" s="160" t="s">
        <v>38</v>
      </c>
      <c r="B32" s="58">
        <v>1600</v>
      </c>
      <c r="C32" s="130"/>
      <c r="D32" s="197"/>
      <c r="E32" s="107"/>
      <c r="F32" s="197"/>
      <c r="G32" s="107"/>
      <c r="H32" s="107"/>
      <c r="I32" s="175"/>
      <c r="J32" s="197"/>
      <c r="K32" s="107"/>
      <c r="L32" s="107"/>
      <c r="M32" s="175"/>
    </row>
    <row r="33" spans="1:13" s="73" customFormat="1" ht="14.1" customHeight="1">
      <c r="A33" s="160" t="s">
        <v>39</v>
      </c>
      <c r="B33" s="64"/>
      <c r="C33" s="130"/>
      <c r="D33" s="198">
        <f>SUM($D$29:D29)*$B$32</f>
        <v>0</v>
      </c>
      <c r="E33" s="171">
        <f>SUM($D$29:E29)*$B$32</f>
        <v>0</v>
      </c>
      <c r="F33" s="198">
        <f>SUM($D$29:F29)*$B$32</f>
        <v>0</v>
      </c>
      <c r="G33" s="171">
        <f>SUM(G29)*$B$32</f>
        <v>27200</v>
      </c>
      <c r="H33" s="171">
        <f>SUM(G29)*$B$32</f>
        <v>27200</v>
      </c>
      <c r="I33" s="176">
        <f>SUM(G29)*$B$32</f>
        <v>27200</v>
      </c>
      <c r="J33" s="198">
        <f>SUM(G29)*$B$32</f>
        <v>27200</v>
      </c>
      <c r="K33" s="171">
        <f>SUM(G29)*$B$32</f>
        <v>27200</v>
      </c>
      <c r="L33" s="171">
        <f>SUM(G29)*$B$32</f>
        <v>27200</v>
      </c>
      <c r="M33" s="176">
        <f>SUM(G29)*$B$32</f>
        <v>27200</v>
      </c>
    </row>
    <row r="34" spans="1:13" s="73" customFormat="1" ht="14.1" customHeight="1">
      <c r="A34" s="160" t="s">
        <v>99</v>
      </c>
      <c r="B34" s="64"/>
      <c r="C34" s="192">
        <f t="shared" ref="C34:M34" si="9">C24</f>
        <v>2.1</v>
      </c>
      <c r="D34" s="199">
        <f t="shared" si="9"/>
        <v>2.1630000000000003</v>
      </c>
      <c r="E34" s="186">
        <f t="shared" si="9"/>
        <v>2.2278899999999999</v>
      </c>
      <c r="F34" s="199">
        <f t="shared" si="9"/>
        <v>2.2947267</v>
      </c>
      <c r="G34" s="186">
        <f t="shared" si="9"/>
        <v>2.363568501</v>
      </c>
      <c r="H34" s="186">
        <f t="shared" si="9"/>
        <v>2.4344755560299998</v>
      </c>
      <c r="I34" s="187">
        <f t="shared" si="9"/>
        <v>2.5075098227109001</v>
      </c>
      <c r="J34" s="199">
        <f t="shared" si="9"/>
        <v>2.5827351173922271</v>
      </c>
      <c r="K34" s="186">
        <f t="shared" si="9"/>
        <v>2.6602171709139935</v>
      </c>
      <c r="L34" s="186">
        <f t="shared" si="9"/>
        <v>2.7400236860414133</v>
      </c>
      <c r="M34" s="187">
        <f t="shared" si="9"/>
        <v>2.8222243966226559</v>
      </c>
    </row>
    <row r="35" spans="1:13" s="73" customFormat="1" ht="14.1" customHeight="1" thickBot="1">
      <c r="A35" s="133" t="s">
        <v>40</v>
      </c>
      <c r="B35" s="177"/>
      <c r="C35" s="193"/>
      <c r="D35" s="200">
        <v>0</v>
      </c>
      <c r="E35" s="179">
        <f>D35</f>
        <v>0</v>
      </c>
      <c r="F35" s="208">
        <f>E35</f>
        <v>0</v>
      </c>
      <c r="G35" s="180">
        <v>0.3</v>
      </c>
      <c r="H35" s="180">
        <v>0.75</v>
      </c>
      <c r="I35" s="201">
        <v>0.93</v>
      </c>
      <c r="J35" s="208">
        <v>1</v>
      </c>
      <c r="K35" s="177">
        <f>J35</f>
        <v>1</v>
      </c>
      <c r="L35" s="177">
        <f>K35</f>
        <v>1</v>
      </c>
      <c r="M35" s="181">
        <f>L35</f>
        <v>1</v>
      </c>
    </row>
    <row r="36" spans="1:13" s="73" customFormat="1" ht="4.5" customHeight="1">
      <c r="A36" s="160"/>
      <c r="B36" s="108"/>
      <c r="C36" s="131"/>
      <c r="D36" s="202"/>
      <c r="E36" s="173"/>
      <c r="F36" s="205"/>
      <c r="G36" s="122"/>
      <c r="H36" s="122"/>
      <c r="I36" s="206"/>
      <c r="J36" s="255"/>
      <c r="K36" s="108"/>
      <c r="L36" s="108"/>
      <c r="M36" s="206"/>
    </row>
    <row r="37" spans="1:13" s="73" customFormat="1" ht="14.1" customHeight="1">
      <c r="A37" s="62" t="s">
        <v>456</v>
      </c>
      <c r="B37" s="64"/>
      <c r="C37" s="130"/>
      <c r="D37" s="63"/>
      <c r="F37" s="63"/>
      <c r="I37" s="111"/>
      <c r="J37" s="63"/>
      <c r="M37" s="111"/>
    </row>
    <row r="38" spans="1:13" s="73" customFormat="1" ht="14.1" customHeight="1">
      <c r="A38" s="160" t="s">
        <v>10</v>
      </c>
      <c r="B38" s="122">
        <v>0.02</v>
      </c>
      <c r="C38" s="129"/>
      <c r="D38" s="132"/>
      <c r="E38" s="106"/>
      <c r="F38" s="132"/>
      <c r="G38" s="106"/>
      <c r="H38" s="106"/>
      <c r="I38" s="110"/>
      <c r="J38" s="132"/>
      <c r="K38" s="106"/>
      <c r="L38" s="106"/>
      <c r="M38" s="110"/>
    </row>
    <row r="39" spans="1:13" s="73" customFormat="1" ht="14.1" customHeight="1">
      <c r="A39" s="160" t="s">
        <v>97</v>
      </c>
      <c r="B39" s="122"/>
      <c r="C39" s="129"/>
      <c r="D39" s="195">
        <f>ROUND('Development Schedule'!E80/$B$42,0)</f>
        <v>0</v>
      </c>
      <c r="E39" s="172">
        <f>ROUND('Development Schedule'!F80/$B$42,0)</f>
        <v>0</v>
      </c>
      <c r="F39" s="195">
        <f>ROUND('Development Schedule'!G80/$B$42,0)</f>
        <v>0</v>
      </c>
      <c r="G39" s="172">
        <f>ROUND('Development Schedule'!H80/$B$42,0)</f>
        <v>0</v>
      </c>
      <c r="H39" s="172">
        <f>ROUND(D81/$B$42,0)</f>
        <v>66</v>
      </c>
      <c r="I39" s="174">
        <v>0</v>
      </c>
      <c r="J39" s="195">
        <f>I39</f>
        <v>0</v>
      </c>
      <c r="K39" s="172">
        <f>J39</f>
        <v>0</v>
      </c>
      <c r="L39" s="172">
        <f>K39</f>
        <v>0</v>
      </c>
      <c r="M39" s="174">
        <f>L39</f>
        <v>0</v>
      </c>
    </row>
    <row r="40" spans="1:13" s="73" customFormat="1" ht="14.1" customHeight="1">
      <c r="A40" s="160" t="s">
        <v>37</v>
      </c>
      <c r="B40" s="64"/>
      <c r="C40" s="130"/>
      <c r="D40" s="196">
        <f>ROUND($C$81*D45,0)</f>
        <v>0</v>
      </c>
      <c r="E40" s="64">
        <f>E41-SUM($D$40:D40)</f>
        <v>0</v>
      </c>
      <c r="F40" s="196">
        <f>F41-SUM($D$40:E40)</f>
        <v>0</v>
      </c>
      <c r="G40" s="64">
        <f>G41-SUM($D$40:F40)</f>
        <v>0</v>
      </c>
      <c r="H40" s="64">
        <f>H41-SUM($D$40:G40)</f>
        <v>20</v>
      </c>
      <c r="I40" s="168">
        <f>I41-SUM($D$40:H40)</f>
        <v>30</v>
      </c>
      <c r="J40" s="196">
        <f>J41-SUM($D$40:I40)</f>
        <v>11</v>
      </c>
      <c r="K40" s="64">
        <f>K41-SUM($D$40:J40)</f>
        <v>0</v>
      </c>
      <c r="L40" s="64">
        <f>L41-SUM($D$40:K40)</f>
        <v>0</v>
      </c>
      <c r="M40" s="168">
        <f>M41-SUM($D$40:L40)</f>
        <v>0</v>
      </c>
    </row>
    <row r="41" spans="1:13" s="73" customFormat="1" ht="14.1" customHeight="1">
      <c r="A41" s="160" t="s">
        <v>98</v>
      </c>
      <c r="B41" s="58"/>
      <c r="C41" s="130"/>
      <c r="D41" s="196">
        <f t="shared" ref="D41:M41" si="10">ROUND($C$81*D45,0)</f>
        <v>0</v>
      </c>
      <c r="E41" s="64">
        <f t="shared" si="10"/>
        <v>0</v>
      </c>
      <c r="F41" s="196">
        <f t="shared" si="10"/>
        <v>0</v>
      </c>
      <c r="G41" s="64">
        <f t="shared" si="10"/>
        <v>0</v>
      </c>
      <c r="H41" s="64">
        <f t="shared" si="10"/>
        <v>20</v>
      </c>
      <c r="I41" s="168">
        <f t="shared" si="10"/>
        <v>50</v>
      </c>
      <c r="J41" s="196">
        <f t="shared" si="10"/>
        <v>61</v>
      </c>
      <c r="K41" s="64">
        <f t="shared" si="10"/>
        <v>61</v>
      </c>
      <c r="L41" s="64">
        <f t="shared" si="10"/>
        <v>61</v>
      </c>
      <c r="M41" s="168">
        <f t="shared" si="10"/>
        <v>61</v>
      </c>
    </row>
    <row r="42" spans="1:13" s="73" customFormat="1" ht="14.1" customHeight="1">
      <c r="A42" s="160" t="s">
        <v>38</v>
      </c>
      <c r="B42" s="58">
        <v>1000</v>
      </c>
      <c r="C42" s="130"/>
      <c r="D42" s="197"/>
      <c r="E42" s="107"/>
      <c r="F42" s="197"/>
      <c r="G42" s="107"/>
      <c r="H42" s="107"/>
      <c r="I42" s="175"/>
      <c r="J42" s="197"/>
      <c r="K42" s="107"/>
      <c r="L42" s="107"/>
      <c r="M42" s="175"/>
    </row>
    <row r="43" spans="1:13" s="73" customFormat="1" ht="14.1" customHeight="1">
      <c r="A43" s="160" t="s">
        <v>39</v>
      </c>
      <c r="B43" s="64"/>
      <c r="C43" s="130"/>
      <c r="D43" s="198">
        <f>SUM($D$39:D39)*$B$42</f>
        <v>0</v>
      </c>
      <c r="E43" s="171">
        <f>SUM($D$39:E39)*$B$42</f>
        <v>0</v>
      </c>
      <c r="F43" s="198">
        <f>SUM($D$39:F39)*$B$42</f>
        <v>0</v>
      </c>
      <c r="G43" s="171">
        <f>SUM($D$39:G39)*$B$42</f>
        <v>0</v>
      </c>
      <c r="H43" s="171">
        <f>SUM(H39)*$B$42</f>
        <v>66000</v>
      </c>
      <c r="I43" s="176">
        <f>SUM(H39)*$B$42</f>
        <v>66000</v>
      </c>
      <c r="J43" s="198">
        <f>SUM(H39)*$B$42</f>
        <v>66000</v>
      </c>
      <c r="K43" s="171">
        <f>SUM(H39)*$B$42</f>
        <v>66000</v>
      </c>
      <c r="L43" s="171">
        <f>SUM(H39)*$B$42</f>
        <v>66000</v>
      </c>
      <c r="M43" s="176">
        <f>SUM(H39)*$B$42</f>
        <v>66000</v>
      </c>
    </row>
    <row r="44" spans="1:13" s="73" customFormat="1" ht="14.1" customHeight="1">
      <c r="A44" s="160" t="s">
        <v>99</v>
      </c>
      <c r="B44" s="64"/>
      <c r="C44" s="192">
        <f t="shared" ref="C44:M44" si="11">C34</f>
        <v>2.1</v>
      </c>
      <c r="D44" s="199">
        <f t="shared" si="11"/>
        <v>2.1630000000000003</v>
      </c>
      <c r="E44" s="186">
        <f t="shared" si="11"/>
        <v>2.2278899999999999</v>
      </c>
      <c r="F44" s="199">
        <f t="shared" si="11"/>
        <v>2.2947267</v>
      </c>
      <c r="G44" s="186">
        <f t="shared" si="11"/>
        <v>2.363568501</v>
      </c>
      <c r="H44" s="186">
        <f t="shared" si="11"/>
        <v>2.4344755560299998</v>
      </c>
      <c r="I44" s="187">
        <f t="shared" si="11"/>
        <v>2.5075098227109001</v>
      </c>
      <c r="J44" s="199">
        <f t="shared" si="11"/>
        <v>2.5827351173922271</v>
      </c>
      <c r="K44" s="186">
        <f t="shared" si="11"/>
        <v>2.6602171709139935</v>
      </c>
      <c r="L44" s="186">
        <f t="shared" si="11"/>
        <v>2.7400236860414133</v>
      </c>
      <c r="M44" s="187">
        <f t="shared" si="11"/>
        <v>2.8222243966226559</v>
      </c>
    </row>
    <row r="45" spans="1:13" s="73" customFormat="1" ht="14.1" customHeight="1" thickBot="1">
      <c r="A45" s="133" t="s">
        <v>40</v>
      </c>
      <c r="B45" s="177"/>
      <c r="C45" s="193"/>
      <c r="D45" s="200">
        <v>0</v>
      </c>
      <c r="E45" s="179">
        <f>D45</f>
        <v>0</v>
      </c>
      <c r="F45" s="208">
        <f>E45</f>
        <v>0</v>
      </c>
      <c r="G45" s="177">
        <f>F45</f>
        <v>0</v>
      </c>
      <c r="H45" s="180">
        <v>0.3</v>
      </c>
      <c r="I45" s="201">
        <v>0.75</v>
      </c>
      <c r="J45" s="204">
        <v>0.93</v>
      </c>
      <c r="K45" s="177">
        <v>0.93</v>
      </c>
      <c r="L45" s="177">
        <v>0.93</v>
      </c>
      <c r="M45" s="181">
        <v>0.93</v>
      </c>
    </row>
    <row r="46" spans="1:13" s="73" customFormat="1" ht="3.75" customHeight="1">
      <c r="A46" s="307"/>
      <c r="B46" s="408"/>
      <c r="C46" s="409"/>
      <c r="D46" s="410"/>
      <c r="E46" s="411"/>
      <c r="F46" s="412"/>
      <c r="G46" s="122"/>
      <c r="H46" s="413"/>
      <c r="I46" s="414"/>
      <c r="J46" s="415"/>
      <c r="K46" s="408"/>
      <c r="L46" s="408"/>
      <c r="M46" s="414"/>
    </row>
    <row r="47" spans="1:13" s="73" customFormat="1" ht="14.1" customHeight="1">
      <c r="A47" s="62" t="s">
        <v>461</v>
      </c>
      <c r="B47" s="64"/>
      <c r="C47" s="130"/>
      <c r="D47" s="63"/>
      <c r="F47" s="63"/>
      <c r="I47" s="111"/>
      <c r="J47" s="63"/>
      <c r="M47" s="111"/>
    </row>
    <row r="48" spans="1:13" s="73" customFormat="1" ht="14.1" customHeight="1">
      <c r="A48" s="160" t="s">
        <v>10</v>
      </c>
      <c r="B48" s="122">
        <v>0.02</v>
      </c>
      <c r="C48" s="129"/>
      <c r="D48" s="132"/>
      <c r="E48" s="106"/>
      <c r="F48" s="132"/>
      <c r="G48" s="106"/>
      <c r="H48" s="106"/>
      <c r="I48" s="110"/>
      <c r="J48" s="132"/>
      <c r="K48" s="106"/>
      <c r="L48" s="106"/>
      <c r="M48" s="110"/>
    </row>
    <row r="49" spans="1:14" s="73" customFormat="1" ht="14.1" customHeight="1">
      <c r="A49" s="160" t="s">
        <v>97</v>
      </c>
      <c r="B49" s="122"/>
      <c r="C49" s="129"/>
      <c r="D49" s="195">
        <v>0</v>
      </c>
      <c r="E49" s="172">
        <v>0</v>
      </c>
      <c r="F49" s="195">
        <v>0</v>
      </c>
      <c r="G49" s="172">
        <f>ROUND((D82)/$B$52,0)</f>
        <v>87</v>
      </c>
      <c r="H49" s="172">
        <v>0</v>
      </c>
      <c r="I49" s="174">
        <f>H49</f>
        <v>0</v>
      </c>
      <c r="J49" s="195">
        <f>I49</f>
        <v>0</v>
      </c>
      <c r="K49" s="172">
        <f>J49</f>
        <v>0</v>
      </c>
      <c r="L49" s="172">
        <f>K49</f>
        <v>0</v>
      </c>
      <c r="M49" s="174">
        <f>L49</f>
        <v>0</v>
      </c>
    </row>
    <row r="50" spans="1:14" s="73" customFormat="1" ht="14.1" customHeight="1">
      <c r="A50" s="160" t="s">
        <v>37</v>
      </c>
      <c r="B50" s="64"/>
      <c r="C50" s="130"/>
      <c r="D50" s="196">
        <f>ROUND($C$82*D55,0)</f>
        <v>0</v>
      </c>
      <c r="E50" s="64">
        <f>E51-SUM($D$50:D50)</f>
        <v>0</v>
      </c>
      <c r="F50" s="196">
        <f>F51-SUM($D$50:E50)</f>
        <v>0</v>
      </c>
      <c r="G50" s="64">
        <f>G51-SUM($D$50:F50)</f>
        <v>26</v>
      </c>
      <c r="H50" s="64">
        <f>H51-SUM($D$50:G50)</f>
        <v>39</v>
      </c>
      <c r="I50" s="168">
        <f>I51-SUM($D$50:H50)</f>
        <v>16</v>
      </c>
      <c r="J50" s="196">
        <f>J51-SUM($D$50:I50)</f>
        <v>0</v>
      </c>
      <c r="K50" s="64">
        <f>K51-SUM($D$50:J50)</f>
        <v>0</v>
      </c>
      <c r="L50" s="64">
        <f>L51-SUM($D$50:K50)</f>
        <v>0</v>
      </c>
      <c r="M50" s="168">
        <f>M51-SUM($D$50:L50)</f>
        <v>0</v>
      </c>
    </row>
    <row r="51" spans="1:14" s="73" customFormat="1" ht="14.1" customHeight="1">
      <c r="A51" s="160" t="s">
        <v>98</v>
      </c>
      <c r="B51" s="58"/>
      <c r="C51" s="130"/>
      <c r="D51" s="196">
        <f t="shared" ref="D51:M51" si="12">ROUND($C$82*D55,0)</f>
        <v>0</v>
      </c>
      <c r="E51" s="64">
        <f t="shared" si="12"/>
        <v>0</v>
      </c>
      <c r="F51" s="196">
        <f t="shared" si="12"/>
        <v>0</v>
      </c>
      <c r="G51" s="64">
        <f t="shared" si="12"/>
        <v>26</v>
      </c>
      <c r="H51" s="64">
        <f t="shared" si="12"/>
        <v>65</v>
      </c>
      <c r="I51" s="168">
        <f t="shared" si="12"/>
        <v>81</v>
      </c>
      <c r="J51" s="196">
        <f t="shared" si="12"/>
        <v>81</v>
      </c>
      <c r="K51" s="64">
        <f t="shared" si="12"/>
        <v>81</v>
      </c>
      <c r="L51" s="64">
        <f t="shared" si="12"/>
        <v>81</v>
      </c>
      <c r="M51" s="168">
        <f t="shared" si="12"/>
        <v>81</v>
      </c>
    </row>
    <row r="52" spans="1:14" s="73" customFormat="1" ht="14.1" customHeight="1">
      <c r="A52" s="160" t="s">
        <v>38</v>
      </c>
      <c r="B52" s="58">
        <v>1000</v>
      </c>
      <c r="C52" s="130"/>
      <c r="D52" s="197"/>
      <c r="E52" s="107"/>
      <c r="F52" s="197"/>
      <c r="G52" s="107"/>
      <c r="H52" s="107"/>
      <c r="I52" s="175"/>
      <c r="J52" s="197"/>
      <c r="K52" s="107"/>
      <c r="L52" s="107"/>
      <c r="M52" s="175"/>
    </row>
    <row r="53" spans="1:14" s="73" customFormat="1" ht="14.1" customHeight="1">
      <c r="A53" s="160" t="s">
        <v>39</v>
      </c>
      <c r="B53" s="64"/>
      <c r="C53" s="130"/>
      <c r="D53" s="198">
        <f>SUM($D$49:D49)*$B$52</f>
        <v>0</v>
      </c>
      <c r="E53" s="171">
        <f>SUM($D$49:E49)*$B$52</f>
        <v>0</v>
      </c>
      <c r="F53" s="198">
        <f>SUM($D$49:F49)*$B$52</f>
        <v>0</v>
      </c>
      <c r="G53" s="171">
        <f>SUM(G49)*$B$52</f>
        <v>87000</v>
      </c>
      <c r="H53" s="171">
        <f>SUM(G49)*$B$52</f>
        <v>87000</v>
      </c>
      <c r="I53" s="176">
        <f>SUM(G49)*$B$52</f>
        <v>87000</v>
      </c>
      <c r="J53" s="198">
        <f>SUM(G49)*$B$52</f>
        <v>87000</v>
      </c>
      <c r="K53" s="171">
        <f>SUM(G49)*$B$52</f>
        <v>87000</v>
      </c>
      <c r="L53" s="171">
        <f>SUM(G49)*$B$52</f>
        <v>87000</v>
      </c>
      <c r="M53" s="176">
        <f>SUM(G49)*$B$52</f>
        <v>87000</v>
      </c>
    </row>
    <row r="54" spans="1:14" s="73" customFormat="1" ht="14.1" customHeight="1">
      <c r="A54" s="160" t="s">
        <v>99</v>
      </c>
      <c r="B54" s="64"/>
      <c r="C54" s="192">
        <f t="shared" ref="C54:M54" si="13">C44</f>
        <v>2.1</v>
      </c>
      <c r="D54" s="199">
        <f t="shared" si="13"/>
        <v>2.1630000000000003</v>
      </c>
      <c r="E54" s="186">
        <f t="shared" si="13"/>
        <v>2.2278899999999999</v>
      </c>
      <c r="F54" s="199">
        <f t="shared" si="13"/>
        <v>2.2947267</v>
      </c>
      <c r="G54" s="186">
        <f t="shared" si="13"/>
        <v>2.363568501</v>
      </c>
      <c r="H54" s="186">
        <f t="shared" si="13"/>
        <v>2.4344755560299998</v>
      </c>
      <c r="I54" s="187">
        <f t="shared" si="13"/>
        <v>2.5075098227109001</v>
      </c>
      <c r="J54" s="199">
        <f t="shared" si="13"/>
        <v>2.5827351173922271</v>
      </c>
      <c r="K54" s="186">
        <f t="shared" si="13"/>
        <v>2.6602171709139935</v>
      </c>
      <c r="L54" s="186">
        <f t="shared" si="13"/>
        <v>2.7400236860414133</v>
      </c>
      <c r="M54" s="187">
        <f t="shared" si="13"/>
        <v>2.8222243966226559</v>
      </c>
    </row>
    <row r="55" spans="1:14" s="73" customFormat="1" ht="14.1" customHeight="1" thickBot="1">
      <c r="A55" s="133" t="s">
        <v>40</v>
      </c>
      <c r="B55" s="177"/>
      <c r="C55" s="193"/>
      <c r="D55" s="200">
        <v>0</v>
      </c>
      <c r="E55" s="179">
        <f>D55</f>
        <v>0</v>
      </c>
      <c r="F55" s="208">
        <f>E55</f>
        <v>0</v>
      </c>
      <c r="G55" s="122">
        <v>0.3</v>
      </c>
      <c r="H55" s="180">
        <v>0.75</v>
      </c>
      <c r="I55" s="201">
        <v>0.93</v>
      </c>
      <c r="J55" s="208">
        <f>I55</f>
        <v>0.93</v>
      </c>
      <c r="K55" s="177">
        <f>J55</f>
        <v>0.93</v>
      </c>
      <c r="L55" s="177">
        <f>K55</f>
        <v>0.93</v>
      </c>
      <c r="M55" s="181">
        <f>L55</f>
        <v>0.93</v>
      </c>
    </row>
    <row r="56" spans="1:14" s="73" customFormat="1" ht="3.75" customHeight="1" thickBot="1">
      <c r="A56" s="160"/>
      <c r="B56" s="108"/>
      <c r="C56" s="131"/>
      <c r="D56" s="202"/>
      <c r="E56" s="173"/>
      <c r="F56" s="205"/>
      <c r="G56" s="180"/>
      <c r="H56" s="122"/>
      <c r="I56" s="206"/>
      <c r="J56" s="255"/>
      <c r="K56" s="108"/>
      <c r="L56" s="108"/>
      <c r="M56" s="206"/>
    </row>
    <row r="57" spans="1:14" ht="13.8" thickBot="1">
      <c r="A57" s="185" t="s">
        <v>0</v>
      </c>
      <c r="B57" s="182"/>
      <c r="C57" s="191"/>
      <c r="D57" s="232"/>
      <c r="E57" s="188"/>
      <c r="F57" s="232"/>
      <c r="G57" s="188"/>
      <c r="H57" s="188"/>
      <c r="I57" s="189"/>
      <c r="J57" s="232"/>
      <c r="K57" s="188"/>
      <c r="L57" s="188"/>
      <c r="M57" s="189"/>
    </row>
    <row r="58" spans="1:14" s="39" customFormat="1" ht="14.1" customHeight="1">
      <c r="A58" s="160" t="s">
        <v>11</v>
      </c>
      <c r="B58" s="64"/>
      <c r="C58" s="251">
        <v>0</v>
      </c>
      <c r="D58" s="234">
        <f>SUM(D11,D21,D31,D41,D51)*$B$12*D14*12</f>
        <v>0</v>
      </c>
      <c r="E58" s="235">
        <f t="shared" ref="E58:M58" si="14">SUM(E11,E21,E31,E41,E51)*$B$12*E14*12</f>
        <v>1443672.72</v>
      </c>
      <c r="F58" s="234">
        <f t="shared" si="14"/>
        <v>3717457.2540000002</v>
      </c>
      <c r="G58" s="217">
        <f t="shared" si="14"/>
        <v>5615838.7583760004</v>
      </c>
      <c r="H58" s="235">
        <f t="shared" si="14"/>
        <v>7741632.2681753989</v>
      </c>
      <c r="I58" s="236">
        <f t="shared" si="14"/>
        <v>9448297.01197467</v>
      </c>
      <c r="J58" s="252">
        <f t="shared" si="14"/>
        <v>10103659.779238392</v>
      </c>
      <c r="K58" s="217">
        <f>SUM(K11,K21,K31,K41,K51)*$B$12*K14*12</f>
        <v>10406769.572615542</v>
      </c>
      <c r="L58" s="217">
        <f t="shared" si="14"/>
        <v>10718972.65979401</v>
      </c>
      <c r="M58" s="221">
        <f t="shared" si="14"/>
        <v>11040541.83958783</v>
      </c>
      <c r="N58" s="331"/>
    </row>
    <row r="59" spans="1:14" s="39" customFormat="1" ht="14.1" customHeight="1">
      <c r="A59" s="222" t="s">
        <v>100</v>
      </c>
      <c r="B59" s="219">
        <v>0.3</v>
      </c>
      <c r="C59" s="253">
        <f>C58*-$B$59</f>
        <v>0</v>
      </c>
      <c r="D59" s="254">
        <f>D58*-$B$59</f>
        <v>0</v>
      </c>
      <c r="E59" s="220">
        <f>E58*-$B$59</f>
        <v>-433101.81599999999</v>
      </c>
      <c r="F59" s="254">
        <f t="shared" ref="F59:M59" si="15">F58*-$B$59</f>
        <v>-1115237.1762000001</v>
      </c>
      <c r="G59" s="220">
        <f t="shared" si="15"/>
        <v>-1684751.6275128</v>
      </c>
      <c r="H59" s="220">
        <f t="shared" si="15"/>
        <v>-2322489.6804526197</v>
      </c>
      <c r="I59" s="223">
        <f t="shared" si="15"/>
        <v>-2834489.1035924009</v>
      </c>
      <c r="J59" s="254">
        <f t="shared" si="15"/>
        <v>-3031097.9337715176</v>
      </c>
      <c r="K59" s="220">
        <f t="shared" si="15"/>
        <v>-3122030.8717846624</v>
      </c>
      <c r="L59" s="220">
        <f t="shared" si="15"/>
        <v>-3215691.797938203</v>
      </c>
      <c r="M59" s="223">
        <f t="shared" si="15"/>
        <v>-3312162.5518763489</v>
      </c>
      <c r="N59" s="331"/>
    </row>
    <row r="60" spans="1:14" s="39" customFormat="1" ht="14.1" customHeight="1" thickBot="1">
      <c r="A60" s="374" t="s">
        <v>5</v>
      </c>
      <c r="B60" s="67"/>
      <c r="C60" s="249">
        <f>SUM(C58:C59)</f>
        <v>0</v>
      </c>
      <c r="D60" s="250">
        <f>SUM(D58:D59)</f>
        <v>0</v>
      </c>
      <c r="E60" s="224">
        <f t="shared" ref="E60:M60" si="16">SUM(E58:E59)</f>
        <v>1010570.904</v>
      </c>
      <c r="F60" s="250">
        <f t="shared" si="16"/>
        <v>2602220.0778000001</v>
      </c>
      <c r="G60" s="224">
        <f t="shared" si="16"/>
        <v>3931087.1308632004</v>
      </c>
      <c r="H60" s="224">
        <f t="shared" si="16"/>
        <v>5419142.5877227793</v>
      </c>
      <c r="I60" s="225">
        <f t="shared" si="16"/>
        <v>6613807.9083822686</v>
      </c>
      <c r="J60" s="250">
        <f t="shared" si="16"/>
        <v>7072561.8454668745</v>
      </c>
      <c r="K60" s="224">
        <f t="shared" si="16"/>
        <v>7284738.7008308787</v>
      </c>
      <c r="L60" s="224">
        <f t="shared" si="16"/>
        <v>7503280.8618558068</v>
      </c>
      <c r="M60" s="225">
        <f t="shared" si="16"/>
        <v>7728379.2877114806</v>
      </c>
    </row>
    <row r="61" spans="1:14" ht="13.8" thickBot="1">
      <c r="A61" s="185" t="s">
        <v>2</v>
      </c>
      <c r="B61" s="182"/>
      <c r="C61" s="191"/>
      <c r="D61" s="232"/>
      <c r="E61" s="188"/>
      <c r="F61" s="232"/>
      <c r="G61" s="188"/>
      <c r="H61" s="188"/>
      <c r="I61" s="189"/>
      <c r="J61" s="232"/>
      <c r="K61" s="188"/>
      <c r="L61" s="188"/>
      <c r="M61" s="189"/>
    </row>
    <row r="62" spans="1:14" s="39" customFormat="1" ht="14.1" customHeight="1">
      <c r="A62" s="160" t="s">
        <v>101</v>
      </c>
      <c r="B62" s="64"/>
      <c r="C62" s="207">
        <f>'Summary Board'!F98</f>
        <v>142.56</v>
      </c>
      <c r="D62" s="199">
        <f t="shared" ref="D62:M62" si="17">$C$62*(1+$B$8)^D4</f>
        <v>146.83680000000001</v>
      </c>
      <c r="E62" s="186">
        <f t="shared" si="17"/>
        <v>151.24190400000001</v>
      </c>
      <c r="F62" s="199">
        <f t="shared" si="17"/>
        <v>155.77916112</v>
      </c>
      <c r="G62" s="186">
        <f t="shared" si="17"/>
        <v>160.45253595359998</v>
      </c>
      <c r="H62" s="186">
        <f t="shared" si="17"/>
        <v>165.26611203220799</v>
      </c>
      <c r="I62" s="187">
        <f t="shared" si="17"/>
        <v>170.22409539317422</v>
      </c>
      <c r="J62" s="199">
        <f t="shared" si="17"/>
        <v>175.33081825496947</v>
      </c>
      <c r="K62" s="186">
        <f t="shared" si="17"/>
        <v>180.59074280261854</v>
      </c>
      <c r="L62" s="186">
        <f t="shared" si="17"/>
        <v>186.0084650866971</v>
      </c>
      <c r="M62" s="187">
        <f t="shared" si="17"/>
        <v>191.58871903929801</v>
      </c>
    </row>
    <row r="63" spans="1:14" s="39" customFormat="1" ht="14.1" customHeight="1">
      <c r="A63" s="160" t="s">
        <v>12</v>
      </c>
      <c r="B63" s="64"/>
      <c r="C63" s="245">
        <f>C64/SUM($C$64:$M$64)</f>
        <v>0</v>
      </c>
      <c r="D63" s="246">
        <f t="shared" ref="D63:M63" si="18">D64/SUM($C$64:$M$64)</f>
        <v>0.15661294411110585</v>
      </c>
      <c r="E63" s="173">
        <f>E64/SUM($C$64:$M$64)</f>
        <v>0.32262266486887808</v>
      </c>
      <c r="F63" s="246">
        <f t="shared" si="18"/>
        <v>0</v>
      </c>
      <c r="G63" s="173">
        <f t="shared" si="18"/>
        <v>0.32686821782722003</v>
      </c>
      <c r="H63" s="173">
        <f t="shared" si="18"/>
        <v>0.19389617319279601</v>
      </c>
      <c r="I63" s="229">
        <f t="shared" si="18"/>
        <v>0</v>
      </c>
      <c r="J63" s="246">
        <f t="shared" si="18"/>
        <v>0</v>
      </c>
      <c r="K63" s="173">
        <f t="shared" si="18"/>
        <v>0</v>
      </c>
      <c r="L63" s="173">
        <f t="shared" si="18"/>
        <v>0</v>
      </c>
      <c r="M63" s="229">
        <f t="shared" si="18"/>
        <v>0</v>
      </c>
    </row>
    <row r="64" spans="1:14" s="39" customFormat="1" ht="14.1" customHeight="1">
      <c r="A64" s="160" t="s">
        <v>2</v>
      </c>
      <c r="B64" s="64"/>
      <c r="C64" s="149">
        <f>C62*'Development Schedule'!D93</f>
        <v>0</v>
      </c>
      <c r="D64" s="328">
        <f>D62*'Development Schedule'!E93</f>
        <v>8810208</v>
      </c>
      <c r="E64" s="329">
        <f>E62*'Development Schedule'!F93</f>
        <v>18149028.48</v>
      </c>
      <c r="F64" s="328">
        <f>F62*'Development Schedule'!G93</f>
        <v>0</v>
      </c>
      <c r="G64" s="329">
        <f>G62*'Development Schedule'!H93</f>
        <v>18387860.620282557</v>
      </c>
      <c r="H64" s="329">
        <f>H62*'Development Schedule'!I93</f>
        <v>10907563.394125728</v>
      </c>
      <c r="I64" s="330">
        <f>I62*'Development Schedule'!J93</f>
        <v>0</v>
      </c>
      <c r="J64" s="328">
        <f>J62*'Development Schedule'!K93</f>
        <v>0</v>
      </c>
      <c r="K64" s="329">
        <f>K62*'Development Schedule'!L93</f>
        <v>0</v>
      </c>
      <c r="L64" s="329">
        <f>L62*'Development Schedule'!M93</f>
        <v>0</v>
      </c>
      <c r="M64" s="330">
        <f>M62*'Development Schedule'!N93</f>
        <v>0</v>
      </c>
    </row>
    <row r="65" spans="1:13" s="39" customFormat="1" ht="14.1" customHeight="1">
      <c r="A65" s="731" t="s">
        <v>13</v>
      </c>
      <c r="B65" s="227"/>
      <c r="C65" s="730"/>
      <c r="D65" s="248"/>
      <c r="E65" s="228"/>
      <c r="F65" s="248"/>
      <c r="G65" s="228"/>
      <c r="H65" s="228"/>
      <c r="I65" s="231"/>
      <c r="J65" s="248"/>
      <c r="K65" s="228"/>
      <c r="L65" s="228"/>
      <c r="M65" s="231"/>
    </row>
    <row r="66" spans="1:13" s="39" customFormat="1" ht="13.5" customHeight="1" thickBot="1">
      <c r="A66" s="374" t="s">
        <v>3</v>
      </c>
      <c r="B66" s="67"/>
      <c r="C66" s="249">
        <f>SUM(C64:C65)</f>
        <v>0</v>
      </c>
      <c r="D66" s="250">
        <f t="shared" ref="D66:M66" si="19">SUM(D64:D65)</f>
        <v>8810208</v>
      </c>
      <c r="E66" s="224">
        <f t="shared" si="19"/>
        <v>18149028.48</v>
      </c>
      <c r="F66" s="250">
        <f t="shared" si="19"/>
        <v>0</v>
      </c>
      <c r="G66" s="224">
        <f t="shared" si="19"/>
        <v>18387860.620282557</v>
      </c>
      <c r="H66" s="224">
        <f t="shared" si="19"/>
        <v>10907563.394125728</v>
      </c>
      <c r="I66" s="225">
        <f t="shared" si="19"/>
        <v>0</v>
      </c>
      <c r="J66" s="250">
        <f t="shared" si="19"/>
        <v>0</v>
      </c>
      <c r="K66" s="224">
        <f t="shared" si="19"/>
        <v>0</v>
      </c>
      <c r="L66" s="224">
        <f t="shared" si="19"/>
        <v>0</v>
      </c>
      <c r="M66" s="225">
        <f t="shared" si="19"/>
        <v>0</v>
      </c>
    </row>
    <row r="67" spans="1:13" ht="13.8" thickBot="1">
      <c r="A67" s="185" t="s">
        <v>4</v>
      </c>
      <c r="B67" s="182"/>
      <c r="C67" s="191"/>
      <c r="D67" s="232"/>
      <c r="E67" s="188"/>
      <c r="F67" s="232"/>
      <c r="G67" s="996"/>
      <c r="H67" s="188"/>
      <c r="I67" s="189"/>
      <c r="J67" s="232"/>
      <c r="K67" s="188"/>
      <c r="L67" s="188"/>
      <c r="M67" s="189"/>
    </row>
    <row r="68" spans="1:13" ht="14.1" customHeight="1">
      <c r="A68" s="160" t="s">
        <v>5</v>
      </c>
      <c r="B68" s="64"/>
      <c r="C68" s="233">
        <f>C60</f>
        <v>0</v>
      </c>
      <c r="D68" s="234">
        <f t="shared" ref="D68:M68" si="20">D60</f>
        <v>0</v>
      </c>
      <c r="E68" s="235">
        <f>E60</f>
        <v>1010570.904</v>
      </c>
      <c r="F68" s="234">
        <f t="shared" si="20"/>
        <v>2602220.0778000001</v>
      </c>
      <c r="G68" s="217">
        <f t="shared" si="20"/>
        <v>3931087.1308632004</v>
      </c>
      <c r="H68" s="235">
        <f t="shared" si="20"/>
        <v>5419142.5877227793</v>
      </c>
      <c r="I68" s="236">
        <f t="shared" si="20"/>
        <v>6613807.9083822686</v>
      </c>
      <c r="J68" s="217">
        <f t="shared" si="20"/>
        <v>7072561.8454668745</v>
      </c>
      <c r="K68" s="217">
        <f t="shared" si="20"/>
        <v>7284738.7008308787</v>
      </c>
      <c r="L68" s="217">
        <f t="shared" si="20"/>
        <v>7503280.8618558068</v>
      </c>
      <c r="M68" s="221">
        <f t="shared" si="20"/>
        <v>7728379.2877114806</v>
      </c>
    </row>
    <row r="69" spans="1:13" ht="14.1" customHeight="1">
      <c r="A69" s="160" t="s">
        <v>59</v>
      </c>
      <c r="B69" s="108">
        <f>D85</f>
        <v>5.8000000000000003E-2</v>
      </c>
      <c r="C69" s="139">
        <v>0</v>
      </c>
      <c r="D69" s="237">
        <f>C69</f>
        <v>0</v>
      </c>
      <c r="E69" s="226">
        <f t="shared" ref="E69:L69" si="21">D69</f>
        <v>0</v>
      </c>
      <c r="F69" s="237">
        <f t="shared" si="21"/>
        <v>0</v>
      </c>
      <c r="G69" s="226">
        <f t="shared" si="21"/>
        <v>0</v>
      </c>
      <c r="H69" s="226">
        <f t="shared" si="21"/>
        <v>0</v>
      </c>
      <c r="I69" s="238">
        <f t="shared" si="21"/>
        <v>0</v>
      </c>
      <c r="J69" s="226">
        <f t="shared" si="21"/>
        <v>0</v>
      </c>
      <c r="K69" s="226">
        <f t="shared" si="21"/>
        <v>0</v>
      </c>
      <c r="L69" s="226">
        <f t="shared" si="21"/>
        <v>0</v>
      </c>
      <c r="M69" s="238">
        <f>M68/B69</f>
        <v>133247918.75364621</v>
      </c>
    </row>
    <row r="70" spans="1:13" ht="14.1" customHeight="1">
      <c r="A70" s="160" t="s">
        <v>60</v>
      </c>
      <c r="B70" s="108">
        <f>D86</f>
        <v>0.03</v>
      </c>
      <c r="C70" s="139">
        <v>0</v>
      </c>
      <c r="D70" s="237">
        <f>C70</f>
        <v>0</v>
      </c>
      <c r="E70" s="226">
        <f t="shared" ref="E70:L70" si="22">D70</f>
        <v>0</v>
      </c>
      <c r="F70" s="237">
        <f t="shared" si="22"/>
        <v>0</v>
      </c>
      <c r="G70" s="226">
        <f t="shared" si="22"/>
        <v>0</v>
      </c>
      <c r="H70" s="226">
        <f t="shared" si="22"/>
        <v>0</v>
      </c>
      <c r="I70" s="238">
        <f t="shared" si="22"/>
        <v>0</v>
      </c>
      <c r="J70" s="226">
        <f t="shared" si="22"/>
        <v>0</v>
      </c>
      <c r="K70" s="226">
        <f t="shared" si="22"/>
        <v>0</v>
      </c>
      <c r="L70" s="226">
        <f t="shared" si="22"/>
        <v>0</v>
      </c>
      <c r="M70" s="238">
        <f>M69*-B70</f>
        <v>-3997437.5626093862</v>
      </c>
    </row>
    <row r="71" spans="1:13" ht="14.1" customHeight="1">
      <c r="A71" s="222" t="s">
        <v>102</v>
      </c>
      <c r="B71" s="227"/>
      <c r="C71" s="253">
        <f>-C66</f>
        <v>0</v>
      </c>
      <c r="D71" s="254">
        <f t="shared" ref="D71:M71" si="23">-D66</f>
        <v>-8810208</v>
      </c>
      <c r="E71" s="220">
        <f t="shared" si="23"/>
        <v>-18149028.48</v>
      </c>
      <c r="F71" s="254">
        <f t="shared" si="23"/>
        <v>0</v>
      </c>
      <c r="G71" s="220">
        <f t="shared" si="23"/>
        <v>-18387860.620282557</v>
      </c>
      <c r="H71" s="220">
        <f t="shared" si="23"/>
        <v>-10907563.394125728</v>
      </c>
      <c r="I71" s="223">
        <f t="shared" si="23"/>
        <v>0</v>
      </c>
      <c r="J71" s="220">
        <f t="shared" si="23"/>
        <v>0</v>
      </c>
      <c r="K71" s="220">
        <f t="shared" si="23"/>
        <v>0</v>
      </c>
      <c r="L71" s="220">
        <f t="shared" si="23"/>
        <v>0</v>
      </c>
      <c r="M71" s="223">
        <f t="shared" si="23"/>
        <v>0</v>
      </c>
    </row>
    <row r="72" spans="1:13" ht="13.8" thickBot="1">
      <c r="A72" s="115" t="s">
        <v>6</v>
      </c>
      <c r="B72" s="67"/>
      <c r="C72" s="293">
        <f>SUM(C68:C71)</f>
        <v>0</v>
      </c>
      <c r="D72" s="293">
        <f t="shared" ref="D72:M72" si="24">SUM(D68:D71)</f>
        <v>-8810208</v>
      </c>
      <c r="E72" s="294">
        <f t="shared" si="24"/>
        <v>-17138457.576000001</v>
      </c>
      <c r="F72" s="293">
        <f t="shared" si="24"/>
        <v>2602220.0778000001</v>
      </c>
      <c r="G72" s="294">
        <f t="shared" si="24"/>
        <v>-14456773.489419356</v>
      </c>
      <c r="H72" s="294">
        <f t="shared" si="24"/>
        <v>-5488420.8064029487</v>
      </c>
      <c r="I72" s="295">
        <f t="shared" si="24"/>
        <v>6613807.9083822686</v>
      </c>
      <c r="J72" s="294">
        <f t="shared" si="24"/>
        <v>7072561.8454668745</v>
      </c>
      <c r="K72" s="294">
        <f t="shared" si="24"/>
        <v>7284738.7008308787</v>
      </c>
      <c r="L72" s="294">
        <f t="shared" si="24"/>
        <v>7503280.8618558068</v>
      </c>
      <c r="M72" s="295">
        <f t="shared" si="24"/>
        <v>136978860.47874832</v>
      </c>
    </row>
    <row r="73" spans="1:13" ht="13.8" thickBot="1">
      <c r="A73" s="114" t="s">
        <v>26</v>
      </c>
      <c r="B73" s="105"/>
      <c r="C73" s="293">
        <f>C72+NPV(D87,D72:M72)</f>
        <v>44284709.227732532</v>
      </c>
      <c r="D73" s="257"/>
      <c r="E73" s="258"/>
      <c r="F73" s="257"/>
      <c r="G73" s="294"/>
      <c r="H73" s="258"/>
      <c r="I73" s="259"/>
      <c r="J73" s="258"/>
      <c r="K73" s="258"/>
      <c r="L73" s="258"/>
      <c r="M73" s="259"/>
    </row>
    <row r="74" spans="1:13" ht="13.8" thickBot="1">
      <c r="A74" s="80" t="s">
        <v>61</v>
      </c>
      <c r="B74" s="144"/>
      <c r="C74" s="260">
        <f>IRR(C72:M72,0)</f>
        <v>0.21581642891678832</v>
      </c>
      <c r="D74" s="241"/>
      <c r="E74" s="144"/>
      <c r="F74" s="241"/>
      <c r="G74" s="67"/>
      <c r="H74" s="144"/>
      <c r="I74" s="159"/>
      <c r="J74" s="144"/>
      <c r="K74" s="144"/>
      <c r="L74" s="144"/>
      <c r="M74" s="159"/>
    </row>
    <row r="75" spans="1:13" ht="13.8" thickBot="1">
      <c r="A75" s="39"/>
      <c r="B75" s="57"/>
      <c r="C75" s="57"/>
      <c r="D75" s="39"/>
      <c r="E75" s="39"/>
      <c r="F75" s="39"/>
      <c r="G75" s="73"/>
      <c r="H75" s="39"/>
      <c r="I75" s="39"/>
      <c r="J75" s="39"/>
      <c r="K75" s="39"/>
      <c r="L75" s="39"/>
      <c r="M75" s="39"/>
    </row>
    <row r="76" spans="1:13" ht="13.8" thickBot="1">
      <c r="A76" s="907" t="s">
        <v>96</v>
      </c>
      <c r="B76" s="973"/>
      <c r="C76" s="973"/>
      <c r="D76" s="998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13.8" thickBot="1">
      <c r="A77" s="78"/>
      <c r="B77" s="144"/>
      <c r="C77" s="83" t="s">
        <v>94</v>
      </c>
      <c r="D77" s="84" t="s">
        <v>95</v>
      </c>
      <c r="E77" s="39"/>
      <c r="F77" s="39"/>
      <c r="G77" s="39"/>
      <c r="H77" s="39"/>
      <c r="I77" s="39"/>
      <c r="J77" s="39"/>
      <c r="K77" s="39"/>
      <c r="L77" s="39"/>
      <c r="M77" s="39"/>
    </row>
    <row r="78" spans="1:13" hidden="1">
      <c r="A78" s="63" t="s">
        <v>282</v>
      </c>
      <c r="B78" s="64"/>
      <c r="C78" s="268">
        <f>D78/$B$12</f>
        <v>0</v>
      </c>
      <c r="D78" s="214"/>
      <c r="E78" s="39"/>
      <c r="F78" s="39"/>
      <c r="G78" s="39"/>
      <c r="H78" s="39"/>
      <c r="I78" s="39"/>
      <c r="J78" s="39"/>
      <c r="K78" s="39"/>
      <c r="L78" s="39"/>
      <c r="M78" s="39"/>
    </row>
    <row r="79" spans="1:13">
      <c r="A79" s="123" t="s">
        <v>455</v>
      </c>
      <c r="B79" s="190"/>
      <c r="C79" s="1048">
        <f>D79/$B$22</f>
        <v>180</v>
      </c>
      <c r="D79" s="427">
        <f>'Development Schedule'!E24+'Development Schedule'!F24</f>
        <v>180000</v>
      </c>
      <c r="E79" s="39"/>
      <c r="F79" s="39"/>
      <c r="G79" s="39"/>
      <c r="H79" s="39"/>
      <c r="I79" s="39"/>
      <c r="J79" s="39"/>
      <c r="K79" s="39"/>
      <c r="L79" s="39"/>
      <c r="M79" s="39"/>
    </row>
    <row r="80" spans="1:13">
      <c r="A80" s="63" t="s">
        <v>460</v>
      </c>
      <c r="B80" s="64"/>
      <c r="C80" s="268">
        <f>D80/$B$32</f>
        <v>17.25</v>
      </c>
      <c r="D80" s="214">
        <f>'Development Schedule'!H42</f>
        <v>27600</v>
      </c>
      <c r="E80" s="39"/>
      <c r="F80" s="39"/>
      <c r="G80" s="39"/>
      <c r="H80" s="39"/>
      <c r="I80" s="39"/>
      <c r="J80" s="39"/>
      <c r="K80" s="39"/>
      <c r="L80" s="39"/>
      <c r="M80" s="39"/>
    </row>
    <row r="81" spans="1:13">
      <c r="A81" s="63" t="s">
        <v>456</v>
      </c>
      <c r="B81" s="64"/>
      <c r="C81" s="268">
        <f>D81/$B$42</f>
        <v>66</v>
      </c>
      <c r="D81" s="214">
        <f>'Development Schedule'!I64</f>
        <v>66000</v>
      </c>
      <c r="E81" s="39"/>
      <c r="F81" s="39"/>
      <c r="G81" s="39"/>
      <c r="H81" s="39"/>
      <c r="I81" s="39"/>
      <c r="J81" s="39"/>
      <c r="K81" s="39"/>
      <c r="L81" s="39"/>
      <c r="M81" s="39"/>
    </row>
    <row r="82" spans="1:13" ht="13.8" thickBot="1">
      <c r="A82" s="66" t="s">
        <v>461</v>
      </c>
      <c r="B82" s="67"/>
      <c r="C82" s="747">
        <f>D82/$B$52</f>
        <v>87</v>
      </c>
      <c r="D82" s="215">
        <f>'Development Schedule'!H75</f>
        <v>87000</v>
      </c>
      <c r="E82" s="39"/>
      <c r="F82" s="39"/>
      <c r="G82" s="39"/>
      <c r="H82" s="39"/>
      <c r="I82" s="39"/>
      <c r="J82" s="39"/>
      <c r="K82" s="39"/>
      <c r="L82" s="39"/>
      <c r="M82" s="39"/>
    </row>
    <row r="83" spans="1:13" ht="13.8" thickBot="1">
      <c r="A83" s="39"/>
      <c r="B83" s="57"/>
      <c r="C83" s="57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1:13" ht="13.8" thickBot="1">
      <c r="A84" s="907" t="s">
        <v>103</v>
      </c>
      <c r="B84" s="908"/>
      <c r="C84" s="908"/>
      <c r="D84" s="999"/>
      <c r="E84" s="39"/>
      <c r="F84" s="39"/>
      <c r="G84" s="39"/>
      <c r="H84" s="39"/>
      <c r="I84" s="39"/>
      <c r="J84" s="39"/>
      <c r="K84" s="39"/>
      <c r="L84" s="39"/>
      <c r="M84" s="39"/>
    </row>
    <row r="85" spans="1:13">
      <c r="A85" s="63" t="s">
        <v>104</v>
      </c>
      <c r="B85" s="64"/>
      <c r="C85" s="64"/>
      <c r="D85" s="203">
        <f>'Summary Board'!K122</f>
        <v>5.8000000000000003E-2</v>
      </c>
      <c r="E85" s="39"/>
      <c r="F85" s="39"/>
      <c r="G85" s="39"/>
      <c r="H85" s="39"/>
      <c r="I85" s="39"/>
      <c r="J85" s="39"/>
      <c r="K85" s="39"/>
      <c r="L85" s="39"/>
      <c r="M85" s="39"/>
    </row>
    <row r="86" spans="1:13">
      <c r="A86" s="63" t="s">
        <v>105</v>
      </c>
      <c r="B86" s="64"/>
      <c r="C86" s="64"/>
      <c r="D86" s="203">
        <v>0.03</v>
      </c>
      <c r="E86" s="39"/>
      <c r="F86" s="39"/>
      <c r="G86" s="39"/>
      <c r="H86" s="39"/>
      <c r="I86" s="39"/>
      <c r="J86" s="39"/>
      <c r="K86" s="39"/>
      <c r="L86" s="39"/>
      <c r="M86" s="39"/>
    </row>
    <row r="87" spans="1:13" ht="13.8" thickBot="1">
      <c r="A87" s="66" t="s">
        <v>92</v>
      </c>
      <c r="B87" s="67"/>
      <c r="C87" s="67"/>
      <c r="D87" s="201">
        <v>0.08</v>
      </c>
      <c r="E87" s="39"/>
      <c r="F87" s="39"/>
      <c r="G87" s="39"/>
      <c r="H87" s="39"/>
      <c r="I87" s="39"/>
      <c r="J87" s="39"/>
      <c r="K87" s="39"/>
      <c r="L87" s="39"/>
      <c r="M87" s="39"/>
    </row>
    <row r="88" spans="1:13">
      <c r="A88" s="39"/>
      <c r="B88" s="57"/>
      <c r="C88" s="57"/>
      <c r="D88" s="39"/>
      <c r="E88" s="39"/>
      <c r="F88" s="39"/>
      <c r="G88" s="39"/>
      <c r="H88" s="39"/>
      <c r="I88" s="39"/>
      <c r="J88" s="39"/>
      <c r="K88" s="39"/>
      <c r="L88" s="39"/>
      <c r="M88" s="39"/>
    </row>
  </sheetData>
  <mergeCells count="3">
    <mergeCell ref="D3:E3"/>
    <mergeCell ref="F3:I3"/>
    <mergeCell ref="J3:M3"/>
  </mergeCells>
  <phoneticPr fontId="3" type="noConversion"/>
  <printOptions horizontalCentered="1"/>
  <pageMargins left="0.5" right="0.5" top="1" bottom="0.5" header="0.5" footer="0.5"/>
  <pageSetup scale="65" orientation="landscape" r:id="rId1"/>
  <headerFooter alignWithMargins="0">
    <oddHeader>&amp;L&amp;"Arial,Bold"2. Income Statement: Market-rate Rental Housing</oddHeader>
  </headerFooter>
  <rowBreaks count="1" manualBreakCount="1">
    <brk id="55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4"/>
  <sheetViews>
    <sheetView view="pageBreakPreview" zoomScale="85" zoomScaleNormal="100" zoomScaleSheetLayoutView="85" workbookViewId="0">
      <selection activeCell="H42" sqref="H42"/>
    </sheetView>
  </sheetViews>
  <sheetFormatPr defaultColWidth="9.109375" defaultRowHeight="13.2"/>
  <cols>
    <col min="1" max="1" width="23.109375" style="96" customWidth="1"/>
    <col min="2" max="2" width="12.6640625" style="97" customWidth="1"/>
    <col min="3" max="3" width="16.44140625" style="97" bestFit="1" customWidth="1"/>
    <col min="4" max="4" width="17.109375" style="96" bestFit="1" customWidth="1"/>
    <col min="5" max="6" width="16" style="96" bestFit="1" customWidth="1"/>
    <col min="7" max="8" width="16.44140625" style="96" bestFit="1" customWidth="1"/>
    <col min="9" max="9" width="16" style="96" bestFit="1" customWidth="1"/>
    <col min="10" max="10" width="15.33203125" style="96" bestFit="1" customWidth="1"/>
    <col min="11" max="11" width="16.6640625" style="96" bestFit="1" customWidth="1"/>
    <col min="12" max="13" width="16.44140625" style="96" bestFit="1" customWidth="1"/>
    <col min="14" max="16384" width="9.109375" style="96"/>
  </cols>
  <sheetData>
    <row r="1" spans="1:13" ht="14.1" customHeight="1" thickBot="1">
      <c r="A1" s="39"/>
      <c r="B1" s="57"/>
      <c r="C1" s="57"/>
      <c r="D1" s="39"/>
      <c r="E1" s="39"/>
      <c r="F1" s="39"/>
      <c r="G1" s="39"/>
      <c r="H1" s="39"/>
      <c r="I1" s="39"/>
      <c r="J1" s="39"/>
      <c r="K1" s="39"/>
      <c r="L1" s="134" t="s">
        <v>93</v>
      </c>
      <c r="M1" s="306">
        <v>191863</v>
      </c>
    </row>
    <row r="2" spans="1:13" ht="14.1" customHeight="1" thickBot="1">
      <c r="A2" s="39"/>
      <c r="B2" s="57"/>
      <c r="C2" s="57"/>
      <c r="D2" s="39"/>
      <c r="E2" s="39"/>
      <c r="F2" s="39"/>
      <c r="G2" s="118"/>
      <c r="H2" s="39"/>
      <c r="I2" s="39"/>
      <c r="J2" s="39"/>
      <c r="K2" s="39"/>
      <c r="L2" s="39"/>
      <c r="M2" s="39"/>
    </row>
    <row r="3" spans="1:13" ht="14.1" customHeight="1" thickBot="1">
      <c r="A3" s="123"/>
      <c r="B3" s="190"/>
      <c r="C3" s="45" t="s">
        <v>57</v>
      </c>
      <c r="D3" s="1227" t="s">
        <v>36</v>
      </c>
      <c r="E3" s="1228"/>
      <c r="F3" s="1229" t="s">
        <v>78</v>
      </c>
      <c r="G3" s="1230"/>
      <c r="H3" s="1230"/>
      <c r="I3" s="1231"/>
      <c r="J3" s="1232" t="s">
        <v>79</v>
      </c>
      <c r="K3" s="1233"/>
      <c r="L3" s="1233"/>
      <c r="M3" s="1234"/>
    </row>
    <row r="4" spans="1:13" ht="14.1" customHeight="1" thickBot="1">
      <c r="A4" s="63"/>
      <c r="B4" s="64"/>
      <c r="C4" s="276">
        <v>0</v>
      </c>
      <c r="D4" s="101">
        <f>C4+1</f>
        <v>1</v>
      </c>
      <c r="E4" s="100">
        <f t="shared" ref="E4:M5" si="0">D4+1</f>
        <v>2</v>
      </c>
      <c r="F4" s="101">
        <f t="shared" si="0"/>
        <v>3</v>
      </c>
      <c r="G4" s="955">
        <f t="shared" si="0"/>
        <v>4</v>
      </c>
      <c r="H4" s="135">
        <f t="shared" si="0"/>
        <v>5</v>
      </c>
      <c r="I4" s="102">
        <f t="shared" si="0"/>
        <v>6</v>
      </c>
      <c r="J4" s="100">
        <f t="shared" si="0"/>
        <v>7</v>
      </c>
      <c r="K4" s="100">
        <f t="shared" si="0"/>
        <v>8</v>
      </c>
      <c r="L4" s="100">
        <f t="shared" si="0"/>
        <v>9</v>
      </c>
      <c r="M4" s="102">
        <f t="shared" si="0"/>
        <v>10</v>
      </c>
    </row>
    <row r="5" spans="1:13" ht="14.1" customHeight="1" thickBot="1">
      <c r="A5" s="66"/>
      <c r="B5" s="135"/>
      <c r="C5" s="276" t="s">
        <v>337</v>
      </c>
      <c r="D5" s="267">
        <v>2021</v>
      </c>
      <c r="E5" s="100">
        <f>D5+1</f>
        <v>2022</v>
      </c>
      <c r="F5" s="101">
        <f t="shared" si="0"/>
        <v>2023</v>
      </c>
      <c r="G5" s="955">
        <f t="shared" si="0"/>
        <v>2024</v>
      </c>
      <c r="H5" s="100">
        <f t="shared" si="0"/>
        <v>2025</v>
      </c>
      <c r="I5" s="102">
        <f t="shared" si="0"/>
        <v>2026</v>
      </c>
      <c r="J5" s="100">
        <f t="shared" si="0"/>
        <v>2027</v>
      </c>
      <c r="K5" s="100">
        <f t="shared" si="0"/>
        <v>2028</v>
      </c>
      <c r="L5" s="100">
        <f>K5+1</f>
        <v>2029</v>
      </c>
      <c r="M5" s="102">
        <f>L5+1</f>
        <v>2030</v>
      </c>
    </row>
    <row r="6" spans="1:13" ht="13.8" thickBot="1">
      <c r="A6" s="185" t="s">
        <v>9</v>
      </c>
      <c r="B6" s="182"/>
      <c r="C6" s="191"/>
      <c r="D6" s="194"/>
      <c r="E6" s="183"/>
      <c r="F6" s="194"/>
      <c r="G6" s="183"/>
      <c r="H6" s="183"/>
      <c r="I6" s="184"/>
      <c r="J6" s="183"/>
      <c r="K6" s="183"/>
      <c r="L6" s="183"/>
      <c r="M6" s="184"/>
    </row>
    <row r="7" spans="1:13">
      <c r="A7" s="300" t="s">
        <v>458</v>
      </c>
      <c r="B7" s="190"/>
      <c r="C7" s="301"/>
      <c r="D7" s="123"/>
      <c r="E7" s="302"/>
      <c r="F7" s="123"/>
      <c r="G7" s="73"/>
      <c r="H7" s="302"/>
      <c r="I7" s="303"/>
      <c r="J7" s="302"/>
      <c r="K7" s="302"/>
      <c r="L7" s="302"/>
      <c r="M7" s="303"/>
    </row>
    <row r="8" spans="1:13" ht="14.1" customHeight="1">
      <c r="A8" s="160" t="s">
        <v>10</v>
      </c>
      <c r="B8" s="122">
        <v>0.02</v>
      </c>
      <c r="C8" s="129"/>
      <c r="D8" s="132"/>
      <c r="E8" s="106"/>
      <c r="F8" s="132"/>
      <c r="G8" s="106"/>
      <c r="H8" s="106"/>
      <c r="I8" s="110"/>
      <c r="J8" s="106"/>
      <c r="K8" s="106"/>
      <c r="L8" s="106"/>
      <c r="M8" s="110"/>
    </row>
    <row r="9" spans="1:13" ht="14.1" customHeight="1">
      <c r="A9" s="160" t="s">
        <v>97</v>
      </c>
      <c r="B9" s="122"/>
      <c r="C9" s="129"/>
      <c r="D9" s="195">
        <v>0</v>
      </c>
      <c r="E9" s="172">
        <v>0</v>
      </c>
      <c r="F9" s="195">
        <v>0</v>
      </c>
      <c r="G9" s="172">
        <v>0</v>
      </c>
      <c r="H9" s="172">
        <v>0</v>
      </c>
      <c r="I9" s="174">
        <f>ROUND(('Development Schedule'!J70)/$B$20,0)</f>
        <v>63</v>
      </c>
      <c r="J9" s="172">
        <f>ROUND(('Development Schedule'!K29)/$B$20,0)</f>
        <v>0</v>
      </c>
      <c r="K9" s="172">
        <f>ROUND(('Development Schedule'!L29)/$B$20,0)</f>
        <v>0</v>
      </c>
      <c r="L9" s="172">
        <f>ROUND(('Development Schedule'!M29)/$B$20,0)</f>
        <v>0</v>
      </c>
      <c r="M9" s="174">
        <f>ROUND(('Development Schedule'!N29)/$B$20,0)</f>
        <v>0</v>
      </c>
    </row>
    <row r="10" spans="1:13" ht="14.1" customHeight="1">
      <c r="A10" s="160" t="s">
        <v>107</v>
      </c>
      <c r="B10" s="122"/>
      <c r="C10" s="129"/>
      <c r="D10" s="283">
        <v>0</v>
      </c>
      <c r="E10" s="268">
        <v>0</v>
      </c>
      <c r="F10" s="283">
        <f>E10</f>
        <v>0</v>
      </c>
      <c r="G10" s="268">
        <f>F10</f>
        <v>0</v>
      </c>
      <c r="H10" s="268">
        <v>0</v>
      </c>
      <c r="I10" s="271">
        <f>C43*(1/3)</f>
        <v>20.833333333333332</v>
      </c>
      <c r="J10" s="268">
        <f>C43*2/3</f>
        <v>41.666666666666664</v>
      </c>
      <c r="K10" s="268">
        <v>0</v>
      </c>
      <c r="L10" s="268">
        <f>K10</f>
        <v>0</v>
      </c>
      <c r="M10" s="271">
        <f>L10</f>
        <v>0</v>
      </c>
    </row>
    <row r="11" spans="1:13" ht="13.5" customHeight="1">
      <c r="A11" s="160" t="s">
        <v>108</v>
      </c>
      <c r="B11" s="64"/>
      <c r="C11" s="130"/>
      <c r="D11" s="283">
        <f>SUM($D10:D$10)</f>
        <v>0</v>
      </c>
      <c r="E11" s="268">
        <f>SUM($D10:E$10)</f>
        <v>0</v>
      </c>
      <c r="F11" s="283">
        <f>SUM($D10:F$10)</f>
        <v>0</v>
      </c>
      <c r="G11" s="268">
        <f>SUM($D10:G$10)</f>
        <v>0</v>
      </c>
      <c r="H11" s="268">
        <f>SUM($D10:H$10)</f>
        <v>0</v>
      </c>
      <c r="I11" s="271">
        <f>SUM($D10:I$10)</f>
        <v>20.833333333333332</v>
      </c>
      <c r="J11" s="268">
        <f>SUM($D10:J$10)</f>
        <v>62.5</v>
      </c>
      <c r="K11" s="268">
        <f>SUM($D10:K$10)</f>
        <v>62.5</v>
      </c>
      <c r="L11" s="268">
        <f>SUM($D10:L$10)</f>
        <v>62.5</v>
      </c>
      <c r="M11" s="271">
        <f>SUM($D10:M$10)</f>
        <v>62.5</v>
      </c>
    </row>
    <row r="12" spans="1:13" ht="14.1" customHeight="1">
      <c r="A12" s="160" t="s">
        <v>38</v>
      </c>
      <c r="B12" s="58">
        <v>1000</v>
      </c>
      <c r="C12" s="130"/>
      <c r="D12" s="197"/>
      <c r="E12" s="107"/>
      <c r="F12" s="197"/>
      <c r="G12" s="107"/>
      <c r="H12" s="107"/>
      <c r="I12" s="175"/>
      <c r="J12" s="107"/>
      <c r="K12" s="107"/>
      <c r="L12" s="107"/>
      <c r="M12" s="175"/>
    </row>
    <row r="13" spans="1:13" ht="14.1" customHeight="1">
      <c r="A13" s="160" t="s">
        <v>41</v>
      </c>
      <c r="B13" s="64"/>
      <c r="C13" s="130"/>
      <c r="D13" s="284">
        <f>SUM($D9:D$9)*$B$20</f>
        <v>0</v>
      </c>
      <c r="E13" s="269">
        <f>SUM($D9:E$9)*$B$20</f>
        <v>0</v>
      </c>
      <c r="F13" s="284">
        <f>SUM($D9:F$9)*$B$20</f>
        <v>0</v>
      </c>
      <c r="G13" s="269">
        <f>SUM($D9:G$9)*$B$20</f>
        <v>0</v>
      </c>
      <c r="H13" s="269">
        <f>SUM($D9:H$9)*$B$20</f>
        <v>0</v>
      </c>
      <c r="I13" s="272">
        <f>SUM($D9:I$9)*$B$20</f>
        <v>63000</v>
      </c>
      <c r="J13" s="269">
        <f>SUM($D9:J$9)*$B$20</f>
        <v>63000</v>
      </c>
      <c r="K13" s="269">
        <f>SUM($D9:K$9)*$B$20</f>
        <v>63000</v>
      </c>
      <c r="L13" s="269">
        <f>SUM($D9:L$9)*$B$20</f>
        <v>63000</v>
      </c>
      <c r="M13" s="272">
        <f>SUM($D9:M$9)*$B$20</f>
        <v>63000</v>
      </c>
    </row>
    <row r="14" spans="1:13" ht="20.399999999999999" customHeight="1" thickBot="1">
      <c r="A14" s="133" t="s">
        <v>109</v>
      </c>
      <c r="B14" s="67"/>
      <c r="C14" s="275">
        <f>'Summary Board'!K105</f>
        <v>221</v>
      </c>
      <c r="D14" s="285">
        <f t="shared" ref="D14:M14" si="1">$C14*(1+$B$16)^D$4</f>
        <v>225.42000000000002</v>
      </c>
      <c r="E14" s="273">
        <f t="shared" si="1"/>
        <v>229.92840000000001</v>
      </c>
      <c r="F14" s="285">
        <f t="shared" si="1"/>
        <v>234.52696799999998</v>
      </c>
      <c r="G14" s="273">
        <f t="shared" si="1"/>
        <v>239.21750735999998</v>
      </c>
      <c r="H14" s="273">
        <f t="shared" si="1"/>
        <v>244.00185750720001</v>
      </c>
      <c r="I14" s="274">
        <f t="shared" si="1"/>
        <v>248.88189465734402</v>
      </c>
      <c r="J14" s="273">
        <f t="shared" si="1"/>
        <v>253.85953255049083</v>
      </c>
      <c r="K14" s="273">
        <f t="shared" si="1"/>
        <v>258.93672320150068</v>
      </c>
      <c r="L14" s="273">
        <f t="shared" si="1"/>
        <v>264.1154576655307</v>
      </c>
      <c r="M14" s="274">
        <f t="shared" si="1"/>
        <v>269.39776681884132</v>
      </c>
    </row>
    <row r="15" spans="1:13">
      <c r="A15" s="300" t="s">
        <v>459</v>
      </c>
      <c r="B15" s="190"/>
      <c r="C15" s="301"/>
      <c r="D15" s="123"/>
      <c r="E15" s="302"/>
      <c r="F15" s="123"/>
      <c r="G15" s="73"/>
      <c r="H15" s="302"/>
      <c r="I15" s="303"/>
      <c r="J15" s="302"/>
      <c r="K15" s="302"/>
      <c r="L15" s="302"/>
      <c r="M15" s="303"/>
    </row>
    <row r="16" spans="1:13" ht="14.1" customHeight="1">
      <c r="A16" s="160" t="s">
        <v>10</v>
      </c>
      <c r="B16" s="122">
        <v>0.02</v>
      </c>
      <c r="C16" s="129"/>
      <c r="D16" s="132"/>
      <c r="E16" s="106"/>
      <c r="F16" s="132"/>
      <c r="G16" s="106"/>
      <c r="H16" s="106"/>
      <c r="I16" s="110"/>
      <c r="J16" s="106"/>
      <c r="K16" s="106"/>
      <c r="L16" s="106"/>
      <c r="M16" s="110"/>
    </row>
    <row r="17" spans="1:13" ht="14.1" customHeight="1">
      <c r="A17" s="160" t="s">
        <v>97</v>
      </c>
      <c r="B17" s="122"/>
      <c r="C17" s="129"/>
      <c r="D17" s="195">
        <f>ROUND(('Development Schedule'!E64+'Development Schedule'!E75)/$B$20,0)</f>
        <v>0</v>
      </c>
      <c r="E17" s="172">
        <f>ROUND(('Development Schedule'!F64+'Development Schedule'!F75)/$B$20,0)</f>
        <v>0</v>
      </c>
      <c r="F17" s="195">
        <f>ROUND(('Development Schedule'!G64+'Development Schedule'!G75)/$B$20,0)</f>
        <v>0</v>
      </c>
      <c r="G17" s="172"/>
      <c r="H17" s="172">
        <f>ROUND((D44*(2/3))/$B$20,0)</f>
        <v>93</v>
      </c>
      <c r="I17" s="174">
        <f>ROUND((D44*(1/3))/$B$20,0)</f>
        <v>47</v>
      </c>
      <c r="J17" s="172">
        <f>ROUND(('Development Schedule'!K64+'Development Schedule'!K75)/$B$20,0)</f>
        <v>0</v>
      </c>
      <c r="K17" s="172">
        <f>ROUND(('Development Schedule'!L64+'Development Schedule'!L75)/$B$20,0)</f>
        <v>0</v>
      </c>
      <c r="L17" s="172">
        <f>ROUND(('Development Schedule'!M64+'Development Schedule'!M75)/$B$20,0)</f>
        <v>0</v>
      </c>
      <c r="M17" s="174">
        <f>ROUND(('Development Schedule'!N64+'Development Schedule'!N75)/$B$20,0)</f>
        <v>0</v>
      </c>
    </row>
    <row r="18" spans="1:13" ht="14.1" customHeight="1">
      <c r="A18" s="160" t="s">
        <v>107</v>
      </c>
      <c r="B18" s="122"/>
      <c r="C18" s="129"/>
      <c r="D18" s="282">
        <v>0</v>
      </c>
      <c r="E18" s="268">
        <f>D18</f>
        <v>0</v>
      </c>
      <c r="F18" s="283">
        <f>E18</f>
        <v>0</v>
      </c>
      <c r="G18" s="268">
        <f>F18</f>
        <v>0</v>
      </c>
      <c r="H18" s="268">
        <f>ROUND($C$44/3,0)</f>
        <v>47</v>
      </c>
      <c r="I18" s="271">
        <f>ROUND($C$44/3,0)</f>
        <v>47</v>
      </c>
      <c r="J18" s="268">
        <f>C44-SUM(H18:I18)</f>
        <v>45.599999999999994</v>
      </c>
      <c r="K18" s="268">
        <v>0</v>
      </c>
      <c r="L18" s="268">
        <f>K18</f>
        <v>0</v>
      </c>
      <c r="M18" s="271">
        <f>L18</f>
        <v>0</v>
      </c>
    </row>
    <row r="19" spans="1:13" ht="13.5" customHeight="1">
      <c r="A19" s="160" t="s">
        <v>108</v>
      </c>
      <c r="B19" s="64"/>
      <c r="C19" s="130"/>
      <c r="D19" s="283">
        <f>SUM($D$18:D18)</f>
        <v>0</v>
      </c>
      <c r="E19" s="268">
        <f>SUM($D$18:E18)</f>
        <v>0</v>
      </c>
      <c r="F19" s="283">
        <f>SUM($D$18:F18)</f>
        <v>0</v>
      </c>
      <c r="G19" s="268">
        <f>SUM($D$18:G18)</f>
        <v>0</v>
      </c>
      <c r="H19" s="268">
        <f>SUM($D$18:H18)</f>
        <v>47</v>
      </c>
      <c r="I19" s="271">
        <f>SUM($D$18:I18)</f>
        <v>94</v>
      </c>
      <c r="J19" s="268">
        <f>SUM($D$18:J18)</f>
        <v>139.6</v>
      </c>
      <c r="K19" s="268">
        <f>SUM($D$18:K18)</f>
        <v>139.6</v>
      </c>
      <c r="L19" s="268">
        <f>SUM($D$18:L18)</f>
        <v>139.6</v>
      </c>
      <c r="M19" s="271">
        <f>SUM($D$18:M18)</f>
        <v>139.6</v>
      </c>
    </row>
    <row r="20" spans="1:13" ht="14.1" customHeight="1">
      <c r="A20" s="160" t="s">
        <v>38</v>
      </c>
      <c r="B20" s="58">
        <v>1000</v>
      </c>
      <c r="C20" s="130"/>
      <c r="D20" s="197"/>
      <c r="E20" s="107"/>
      <c r="F20" s="197"/>
      <c r="G20" s="107"/>
      <c r="H20" s="107"/>
      <c r="I20" s="175"/>
      <c r="J20" s="107"/>
      <c r="K20" s="107"/>
      <c r="L20" s="107"/>
      <c r="M20" s="175"/>
    </row>
    <row r="21" spans="1:13" ht="14.1" customHeight="1">
      <c r="A21" s="160" t="s">
        <v>41</v>
      </c>
      <c r="B21" s="64"/>
      <c r="C21" s="130"/>
      <c r="D21" s="284">
        <f>SUM($D$17:D17)*$B$20</f>
        <v>0</v>
      </c>
      <c r="E21" s="269">
        <f>SUM($D$17:E17)*$B$20</f>
        <v>0</v>
      </c>
      <c r="F21" s="284">
        <f>SUM($D$17:F17)*$B$20</f>
        <v>0</v>
      </c>
      <c r="G21" s="269">
        <f>SUM($D$17:G17)*$B$20</f>
        <v>0</v>
      </c>
      <c r="H21" s="269">
        <f>SUM($D$17:H17)*$B$20</f>
        <v>93000</v>
      </c>
      <c r="I21" s="272">
        <f>SUM($D$17:I17)*$B$20</f>
        <v>140000</v>
      </c>
      <c r="J21" s="269">
        <f>SUM($D$17:J17)*$B$20</f>
        <v>140000</v>
      </c>
      <c r="K21" s="269">
        <f>SUM($D$17:K17)*$B$20</f>
        <v>140000</v>
      </c>
      <c r="L21" s="269">
        <f>SUM($D$17:L17)*$B$20</f>
        <v>140000</v>
      </c>
      <c r="M21" s="272">
        <f>SUM($D$17:M17)*$B$20</f>
        <v>140000</v>
      </c>
    </row>
    <row r="22" spans="1:13" ht="14.1" customHeight="1" thickBot="1">
      <c r="A22" s="133" t="s">
        <v>109</v>
      </c>
      <c r="B22" s="67"/>
      <c r="C22" s="275">
        <f>C14</f>
        <v>221</v>
      </c>
      <c r="D22" s="285">
        <f t="shared" ref="D22:M22" si="2">$C22*(1+$B$16)^D$4</f>
        <v>225.42000000000002</v>
      </c>
      <c r="E22" s="273">
        <f t="shared" si="2"/>
        <v>229.92840000000001</v>
      </c>
      <c r="F22" s="285">
        <f t="shared" si="2"/>
        <v>234.52696799999998</v>
      </c>
      <c r="G22" s="273">
        <f t="shared" si="2"/>
        <v>239.21750735999998</v>
      </c>
      <c r="H22" s="273">
        <f t="shared" si="2"/>
        <v>244.00185750720001</v>
      </c>
      <c r="I22" s="274">
        <f t="shared" si="2"/>
        <v>248.88189465734402</v>
      </c>
      <c r="J22" s="273">
        <f t="shared" si="2"/>
        <v>253.85953255049083</v>
      </c>
      <c r="K22" s="273">
        <f t="shared" si="2"/>
        <v>258.93672320150068</v>
      </c>
      <c r="L22" s="273">
        <f t="shared" si="2"/>
        <v>264.1154576655307</v>
      </c>
      <c r="M22" s="274">
        <f t="shared" si="2"/>
        <v>269.39776681884132</v>
      </c>
    </row>
    <row r="23" spans="1:13" ht="13.8" thickBot="1">
      <c r="A23" s="185" t="s">
        <v>0</v>
      </c>
      <c r="B23" s="182"/>
      <c r="C23" s="191"/>
      <c r="D23" s="232"/>
      <c r="E23" s="188"/>
      <c r="F23" s="232"/>
      <c r="G23" s="188"/>
      <c r="H23" s="188"/>
      <c r="I23" s="189"/>
      <c r="J23" s="188"/>
      <c r="K23" s="188"/>
      <c r="L23" s="188"/>
      <c r="M23" s="189"/>
    </row>
    <row r="24" spans="1:13" ht="14.1" customHeight="1">
      <c r="A24" s="160" t="s">
        <v>15</v>
      </c>
      <c r="B24" s="64"/>
      <c r="C24" s="137">
        <f t="shared" ref="C24:M24" si="3">SUM(C18,C10)*$B$20*C22</f>
        <v>0</v>
      </c>
      <c r="D24" s="252">
        <f t="shared" si="3"/>
        <v>0</v>
      </c>
      <c r="E24" s="217">
        <f t="shared" si="3"/>
        <v>0</v>
      </c>
      <c r="F24" s="252">
        <f t="shared" si="3"/>
        <v>0</v>
      </c>
      <c r="G24" s="217">
        <f t="shared" si="3"/>
        <v>0</v>
      </c>
      <c r="H24" s="217">
        <f t="shared" si="3"/>
        <v>11468087.3028384</v>
      </c>
      <c r="I24" s="221">
        <f t="shared" si="3"/>
        <v>16882488.520923167</v>
      </c>
      <c r="J24" s="217">
        <f t="shared" si="3"/>
        <v>22153475.207239497</v>
      </c>
      <c r="K24" s="217">
        <f t="shared" si="3"/>
        <v>0</v>
      </c>
      <c r="L24" s="217">
        <f t="shared" si="3"/>
        <v>0</v>
      </c>
      <c r="M24" s="217">
        <f t="shared" si="3"/>
        <v>0</v>
      </c>
    </row>
    <row r="25" spans="1:13" ht="14.1" customHeight="1">
      <c r="A25" s="160" t="s">
        <v>42</v>
      </c>
      <c r="B25" s="108">
        <f>D47</f>
        <v>0.05</v>
      </c>
      <c r="C25" s="138">
        <f>C24*-$B$25</f>
        <v>0</v>
      </c>
      <c r="D25" s="239">
        <f t="shared" ref="D25:M25" si="4">D24*-$B$25</f>
        <v>0</v>
      </c>
      <c r="E25" s="218">
        <f t="shared" si="4"/>
        <v>0</v>
      </c>
      <c r="F25" s="239">
        <f t="shared" si="4"/>
        <v>0</v>
      </c>
      <c r="G25" s="218">
        <f t="shared" si="4"/>
        <v>0</v>
      </c>
      <c r="H25" s="218">
        <f t="shared" si="4"/>
        <v>-573404.36514192005</v>
      </c>
      <c r="I25" s="240">
        <f t="shared" si="4"/>
        <v>-844124.42604615842</v>
      </c>
      <c r="J25" s="218">
        <f t="shared" si="4"/>
        <v>-1107673.7603619748</v>
      </c>
      <c r="K25" s="218">
        <f t="shared" si="4"/>
        <v>0</v>
      </c>
      <c r="L25" s="218">
        <f t="shared" si="4"/>
        <v>0</v>
      </c>
      <c r="M25" s="240">
        <f t="shared" si="4"/>
        <v>0</v>
      </c>
    </row>
    <row r="26" spans="1:13" ht="14.1" customHeight="1">
      <c r="A26" s="222" t="s">
        <v>43</v>
      </c>
      <c r="B26" s="109">
        <f>D48</f>
        <v>0.05</v>
      </c>
      <c r="C26" s="253">
        <f>C24*-$B$26</f>
        <v>0</v>
      </c>
      <c r="D26" s="254">
        <f>D24*-$B$26</f>
        <v>0</v>
      </c>
      <c r="E26" s="220">
        <f t="shared" ref="E26:M26" si="5">E24*-$B$26</f>
        <v>0</v>
      </c>
      <c r="F26" s="254">
        <f t="shared" si="5"/>
        <v>0</v>
      </c>
      <c r="G26" s="220">
        <f t="shared" si="5"/>
        <v>0</v>
      </c>
      <c r="H26" s="220">
        <f t="shared" si="5"/>
        <v>-573404.36514192005</v>
      </c>
      <c r="I26" s="223">
        <f t="shared" si="5"/>
        <v>-844124.42604615842</v>
      </c>
      <c r="J26" s="220">
        <f t="shared" si="5"/>
        <v>-1107673.7603619748</v>
      </c>
      <c r="K26" s="220">
        <f t="shared" si="5"/>
        <v>0</v>
      </c>
      <c r="L26" s="220">
        <f t="shared" si="5"/>
        <v>0</v>
      </c>
      <c r="M26" s="223">
        <f t="shared" si="5"/>
        <v>0</v>
      </c>
    </row>
    <row r="27" spans="1:13" ht="14.1" customHeight="1" thickBot="1">
      <c r="A27" s="115" t="s">
        <v>5</v>
      </c>
      <c r="B27" s="67"/>
      <c r="C27" s="249">
        <f>SUM(C24:C26)</f>
        <v>0</v>
      </c>
      <c r="D27" s="250">
        <f t="shared" ref="D27:M27" si="6">SUM(D24:D26)</f>
        <v>0</v>
      </c>
      <c r="E27" s="224">
        <f t="shared" si="6"/>
        <v>0</v>
      </c>
      <c r="F27" s="250">
        <f t="shared" si="6"/>
        <v>0</v>
      </c>
      <c r="G27" s="224">
        <f t="shared" si="6"/>
        <v>0</v>
      </c>
      <c r="H27" s="224">
        <f t="shared" si="6"/>
        <v>10321278.572554559</v>
      </c>
      <c r="I27" s="225">
        <f t="shared" si="6"/>
        <v>15194239.668830849</v>
      </c>
      <c r="J27" s="224">
        <f t="shared" si="6"/>
        <v>19938127.686515551</v>
      </c>
      <c r="K27" s="224">
        <f t="shared" si="6"/>
        <v>0</v>
      </c>
      <c r="L27" s="224">
        <f t="shared" si="6"/>
        <v>0</v>
      </c>
      <c r="M27" s="225">
        <f t="shared" si="6"/>
        <v>0</v>
      </c>
    </row>
    <row r="28" spans="1:13" ht="13.8" thickBot="1">
      <c r="A28" s="185" t="s">
        <v>2</v>
      </c>
      <c r="B28" s="287"/>
      <c r="C28" s="191"/>
      <c r="D28" s="232"/>
      <c r="E28" s="188"/>
      <c r="F28" s="232"/>
      <c r="G28" s="188"/>
      <c r="H28" s="188"/>
      <c r="I28" s="189"/>
      <c r="J28" s="188"/>
      <c r="K28" s="188"/>
      <c r="L28" s="188"/>
      <c r="M28" s="189"/>
    </row>
    <row r="29" spans="1:13" s="39" customFormat="1">
      <c r="A29" s="160" t="s">
        <v>101</v>
      </c>
      <c r="B29" s="168"/>
      <c r="C29" s="722">
        <f>'Summary Board'!F98</f>
        <v>142.56</v>
      </c>
      <c r="D29" s="199">
        <f t="shared" ref="D29:M29" si="7">$C$29*(1+$B$16)^D4</f>
        <v>145.41120000000001</v>
      </c>
      <c r="E29" s="186">
        <f t="shared" si="7"/>
        <v>148.319424</v>
      </c>
      <c r="F29" s="199">
        <f t="shared" si="7"/>
        <v>151.28581248</v>
      </c>
      <c r="G29" s="186">
        <f t="shared" si="7"/>
        <v>154.31152872960001</v>
      </c>
      <c r="H29" s="186">
        <f t="shared" si="7"/>
        <v>157.39775930419199</v>
      </c>
      <c r="I29" s="187">
        <f t="shared" si="7"/>
        <v>160.54571449027586</v>
      </c>
      <c r="J29" s="186">
        <f t="shared" si="7"/>
        <v>163.75662878008134</v>
      </c>
      <c r="K29" s="186">
        <f t="shared" si="7"/>
        <v>167.03176135568299</v>
      </c>
      <c r="L29" s="186">
        <f t="shared" si="7"/>
        <v>170.37239658279663</v>
      </c>
      <c r="M29" s="187">
        <f t="shared" si="7"/>
        <v>173.77984451445258</v>
      </c>
    </row>
    <row r="30" spans="1:13" ht="14.1" customHeight="1">
      <c r="A30" s="160" t="s">
        <v>12</v>
      </c>
      <c r="B30" s="168"/>
      <c r="C30" s="245">
        <f>C31/SUM($C$31:$M$31)</f>
        <v>0</v>
      </c>
      <c r="D30" s="246">
        <f t="shared" ref="D30:M30" si="8">D31/SUM($C$31:$M$31)</f>
        <v>0</v>
      </c>
      <c r="E30" s="173">
        <f t="shared" si="8"/>
        <v>0</v>
      </c>
      <c r="F30" s="246">
        <f t="shared" si="8"/>
        <v>0</v>
      </c>
      <c r="G30" s="173">
        <f t="shared" si="8"/>
        <v>0</v>
      </c>
      <c r="H30" s="173">
        <f t="shared" si="8"/>
        <v>0.45558235238446448</v>
      </c>
      <c r="I30" s="229">
        <f t="shared" si="8"/>
        <v>0.54441764761553557</v>
      </c>
      <c r="J30" s="173">
        <f t="shared" si="8"/>
        <v>0</v>
      </c>
      <c r="K30" s="173">
        <f t="shared" si="8"/>
        <v>0</v>
      </c>
      <c r="L30" s="173">
        <f t="shared" si="8"/>
        <v>0</v>
      </c>
      <c r="M30" s="229">
        <f t="shared" si="8"/>
        <v>0</v>
      </c>
    </row>
    <row r="31" spans="1:13" ht="14.1" customHeight="1">
      <c r="A31" s="160" t="s">
        <v>2</v>
      </c>
      <c r="B31" s="168"/>
      <c r="C31" s="149">
        <f>C29*'Development Schedule'!D95</f>
        <v>0</v>
      </c>
      <c r="D31" s="290">
        <f>D29*'Development Schedule'!E95</f>
        <v>0</v>
      </c>
      <c r="E31" s="291">
        <f>E29*'Development Schedule'!F95</f>
        <v>0</v>
      </c>
      <c r="F31" s="290">
        <f>F29*'Development Schedule'!G95</f>
        <v>0</v>
      </c>
      <c r="G31" s="291">
        <f>G29*'Development Schedule'!H95</f>
        <v>0</v>
      </c>
      <c r="H31" s="291">
        <f>H29*'Development Schedule'!I95</f>
        <v>14648484.799243467</v>
      </c>
      <c r="I31" s="292">
        <f>I29*'Development Schedule'!J95</f>
        <v>17504834.403256409</v>
      </c>
      <c r="J31" s="291">
        <f>J29*'Development Schedule'!K95</f>
        <v>0</v>
      </c>
      <c r="K31" s="291">
        <f>K29*'Development Schedule'!L95</f>
        <v>0</v>
      </c>
      <c r="L31" s="291">
        <f>L29*'Development Schedule'!M95</f>
        <v>0</v>
      </c>
      <c r="M31" s="292">
        <f>M29*'Development Schedule'!N95</f>
        <v>0</v>
      </c>
    </row>
    <row r="32" spans="1:13" ht="14.1" customHeight="1">
      <c r="A32" s="222" t="s">
        <v>13</v>
      </c>
      <c r="B32" s="288"/>
      <c r="C32" s="152"/>
      <c r="D32" s="248"/>
      <c r="E32" s="228"/>
      <c r="F32" s="248"/>
      <c r="G32" s="228"/>
      <c r="H32" s="228"/>
      <c r="I32" s="231"/>
      <c r="J32" s="228"/>
      <c r="K32" s="228"/>
      <c r="L32" s="228"/>
      <c r="M32" s="231"/>
    </row>
    <row r="33" spans="1:13" ht="14.1" customHeight="1" thickBot="1">
      <c r="A33" s="115" t="s">
        <v>3</v>
      </c>
      <c r="B33" s="289"/>
      <c r="C33" s="249">
        <f>SUM(C31:C32)</f>
        <v>0</v>
      </c>
      <c r="D33" s="293">
        <f t="shared" ref="D33:M33" si="9">SUM(D31:D32)</f>
        <v>0</v>
      </c>
      <c r="E33" s="294">
        <f t="shared" si="9"/>
        <v>0</v>
      </c>
      <c r="F33" s="293">
        <f t="shared" si="9"/>
        <v>0</v>
      </c>
      <c r="G33" s="294">
        <f t="shared" si="9"/>
        <v>0</v>
      </c>
      <c r="H33" s="294">
        <f t="shared" si="9"/>
        <v>14648484.799243467</v>
      </c>
      <c r="I33" s="295">
        <f t="shared" si="9"/>
        <v>17504834.403256409</v>
      </c>
      <c r="J33" s="294">
        <f t="shared" si="9"/>
        <v>0</v>
      </c>
      <c r="K33" s="294">
        <f t="shared" si="9"/>
        <v>0</v>
      </c>
      <c r="L33" s="294">
        <f t="shared" si="9"/>
        <v>0</v>
      </c>
      <c r="M33" s="295">
        <f t="shared" si="9"/>
        <v>0</v>
      </c>
    </row>
    <row r="34" spans="1:13" ht="13.8" thickBot="1">
      <c r="A34" s="185" t="s">
        <v>4</v>
      </c>
      <c r="B34" s="182"/>
      <c r="C34" s="296"/>
      <c r="D34" s="297"/>
      <c r="E34" s="298"/>
      <c r="F34" s="297"/>
      <c r="G34" s="298"/>
      <c r="H34" s="298"/>
      <c r="I34" s="299"/>
      <c r="J34" s="298"/>
      <c r="K34" s="298"/>
      <c r="L34" s="298"/>
      <c r="M34" s="299"/>
    </row>
    <row r="35" spans="1:13" ht="14.1" customHeight="1">
      <c r="A35" s="160" t="s">
        <v>5</v>
      </c>
      <c r="B35" s="64"/>
      <c r="C35" s="137">
        <f>C27</f>
        <v>0</v>
      </c>
      <c r="D35" s="247">
        <f t="shared" ref="D35:L35" si="10">D27</f>
        <v>0</v>
      </c>
      <c r="E35" s="216">
        <f t="shared" si="10"/>
        <v>0</v>
      </c>
      <c r="F35" s="247">
        <f t="shared" si="10"/>
        <v>0</v>
      </c>
      <c r="G35" s="216">
        <f t="shared" si="10"/>
        <v>0</v>
      </c>
      <c r="H35" s="216">
        <f t="shared" si="10"/>
        <v>10321278.572554559</v>
      </c>
      <c r="I35" s="230">
        <f t="shared" si="10"/>
        <v>15194239.668830849</v>
      </c>
      <c r="J35" s="216">
        <f t="shared" si="10"/>
        <v>19938127.686515551</v>
      </c>
      <c r="K35" s="216">
        <f t="shared" si="10"/>
        <v>0</v>
      </c>
      <c r="L35" s="216">
        <f t="shared" si="10"/>
        <v>0</v>
      </c>
      <c r="M35" s="230">
        <f>M27</f>
        <v>0</v>
      </c>
    </row>
    <row r="36" spans="1:13" ht="14.1" customHeight="1">
      <c r="A36" s="222" t="s">
        <v>102</v>
      </c>
      <c r="B36" s="286"/>
      <c r="C36" s="253">
        <f>-C33</f>
        <v>0</v>
      </c>
      <c r="D36" s="254">
        <f t="shared" ref="D36:M36" si="11">-D33</f>
        <v>0</v>
      </c>
      <c r="E36" s="220">
        <f t="shared" si="11"/>
        <v>0</v>
      </c>
      <c r="F36" s="254">
        <f t="shared" si="11"/>
        <v>0</v>
      </c>
      <c r="G36" s="220">
        <f t="shared" si="11"/>
        <v>0</v>
      </c>
      <c r="H36" s="220">
        <f t="shared" si="11"/>
        <v>-14648484.799243467</v>
      </c>
      <c r="I36" s="223">
        <f t="shared" si="11"/>
        <v>-17504834.403256409</v>
      </c>
      <c r="J36" s="220">
        <f t="shared" si="11"/>
        <v>0</v>
      </c>
      <c r="K36" s="220">
        <f t="shared" si="11"/>
        <v>0</v>
      </c>
      <c r="L36" s="220">
        <f t="shared" si="11"/>
        <v>0</v>
      </c>
      <c r="M36" s="223">
        <f t="shared" si="11"/>
        <v>0</v>
      </c>
    </row>
    <row r="37" spans="1:13" ht="14.1" customHeight="1" thickBot="1">
      <c r="A37" s="262" t="s">
        <v>6</v>
      </c>
      <c r="B37" s="117"/>
      <c r="C37" s="249">
        <f>SUM(C35:C36)</f>
        <v>0</v>
      </c>
      <c r="D37" s="250">
        <f t="shared" ref="D37:M37" si="12">SUM(D35:D36)</f>
        <v>0</v>
      </c>
      <c r="E37" s="224">
        <f t="shared" si="12"/>
        <v>0</v>
      </c>
      <c r="F37" s="250">
        <f t="shared" si="12"/>
        <v>0</v>
      </c>
      <c r="G37" s="224">
        <f t="shared" si="12"/>
        <v>0</v>
      </c>
      <c r="H37" s="224">
        <f t="shared" si="12"/>
        <v>-4327206.2266889084</v>
      </c>
      <c r="I37" s="225">
        <f t="shared" si="12"/>
        <v>-2310594.7344255596</v>
      </c>
      <c r="J37" s="224">
        <f t="shared" si="12"/>
        <v>19938127.686515551</v>
      </c>
      <c r="K37" s="224">
        <f t="shared" si="12"/>
        <v>0</v>
      </c>
      <c r="L37" s="224">
        <f t="shared" si="12"/>
        <v>0</v>
      </c>
      <c r="M37" s="225">
        <f t="shared" si="12"/>
        <v>0</v>
      </c>
    </row>
    <row r="38" spans="1:13" ht="13.8" thickBot="1">
      <c r="A38" s="114" t="s">
        <v>26</v>
      </c>
      <c r="B38" s="105"/>
      <c r="C38" s="256">
        <f>C37+NPV(D49,D37:M37)</f>
        <v>7232615.5349365314</v>
      </c>
      <c r="D38" s="197"/>
      <c r="E38" s="107"/>
      <c r="F38" s="197"/>
      <c r="G38" s="166"/>
      <c r="H38" s="107"/>
      <c r="I38" s="175"/>
      <c r="J38" s="107"/>
      <c r="K38" s="107"/>
      <c r="L38" s="107"/>
      <c r="M38" s="175"/>
    </row>
    <row r="39" spans="1:13" ht="13.8" thickBot="1">
      <c r="A39" s="80" t="s">
        <v>61</v>
      </c>
      <c r="B39" s="144"/>
      <c r="C39" s="260">
        <f>IRR(C37:M37,0)</f>
        <v>0.8960924098912717</v>
      </c>
      <c r="D39" s="241"/>
      <c r="E39" s="144"/>
      <c r="F39" s="241"/>
      <c r="G39" s="67"/>
      <c r="H39" s="144"/>
      <c r="I39" s="159"/>
      <c r="J39" s="144"/>
      <c r="K39" s="144"/>
      <c r="L39" s="144"/>
      <c r="M39" s="159"/>
    </row>
    <row r="40" spans="1:13" ht="13.8" thickBot="1">
      <c r="A40" s="39"/>
      <c r="B40" s="57"/>
      <c r="C40" s="57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3.8" thickBot="1">
      <c r="A41" s="907" t="s">
        <v>96</v>
      </c>
      <c r="B41" s="973"/>
      <c r="C41" s="973"/>
      <c r="D41" s="998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3.8" thickBot="1">
      <c r="A42" s="78"/>
      <c r="B42" s="144"/>
      <c r="C42" s="83" t="s">
        <v>94</v>
      </c>
      <c r="D42" s="84" t="s">
        <v>95</v>
      </c>
      <c r="E42" s="39"/>
      <c r="F42" s="39"/>
      <c r="G42" s="39"/>
      <c r="H42" s="39"/>
      <c r="I42" s="39"/>
      <c r="J42" s="39"/>
      <c r="K42" s="39"/>
      <c r="L42" s="39"/>
      <c r="M42" s="39"/>
    </row>
    <row r="43" spans="1:13">
      <c r="A43" s="123" t="s">
        <v>458</v>
      </c>
      <c r="B43" s="190"/>
      <c r="C43" s="1048">
        <f>D43/$B$20</f>
        <v>62.5</v>
      </c>
      <c r="D43" s="427">
        <f>'Development Schedule'!J70</f>
        <v>62500</v>
      </c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3.8" thickBot="1">
      <c r="A44" s="66" t="s">
        <v>457</v>
      </c>
      <c r="B44" s="67"/>
      <c r="C44" s="747">
        <f>D44/$B$20</f>
        <v>139.6</v>
      </c>
      <c r="D44" s="215">
        <f>'Development Schedule'!I80+'Development Schedule'!J80</f>
        <v>139600</v>
      </c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3.8" thickBot="1">
      <c r="A45" s="39"/>
      <c r="B45" s="57"/>
      <c r="C45" s="57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3.8" thickBot="1">
      <c r="A46" s="907" t="s">
        <v>103</v>
      </c>
      <c r="B46" s="908"/>
      <c r="C46" s="908"/>
      <c r="D46" s="999"/>
      <c r="E46" s="39"/>
      <c r="F46" s="39"/>
      <c r="G46" s="39"/>
      <c r="H46" s="39"/>
      <c r="I46" s="39"/>
      <c r="J46" s="39"/>
      <c r="K46" s="39"/>
      <c r="L46" s="39"/>
      <c r="M46" s="39"/>
    </row>
    <row r="47" spans="1:13">
      <c r="A47" s="63" t="s">
        <v>42</v>
      </c>
      <c r="B47" s="64"/>
      <c r="C47" s="64"/>
      <c r="D47" s="203">
        <v>0.05</v>
      </c>
      <c r="E47" s="39"/>
      <c r="F47" s="39"/>
      <c r="G47" s="39"/>
      <c r="H47" s="39"/>
      <c r="I47" s="39"/>
      <c r="J47" s="39"/>
      <c r="K47" s="39"/>
      <c r="L47" s="39"/>
      <c r="M47" s="39"/>
    </row>
    <row r="48" spans="1:13">
      <c r="A48" s="63" t="s">
        <v>43</v>
      </c>
      <c r="B48" s="64"/>
      <c r="C48" s="64"/>
      <c r="D48" s="203">
        <v>0.05</v>
      </c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13.8" thickBot="1">
      <c r="A49" s="66" t="s">
        <v>92</v>
      </c>
      <c r="B49" s="67"/>
      <c r="C49" s="67"/>
      <c r="D49" s="201">
        <v>0.08</v>
      </c>
      <c r="E49" s="39"/>
      <c r="F49" s="39"/>
      <c r="G49" s="39"/>
      <c r="H49" s="39"/>
      <c r="I49" s="39"/>
      <c r="J49" s="39"/>
      <c r="K49" s="39"/>
      <c r="L49" s="39"/>
      <c r="M49" s="39"/>
    </row>
    <row r="50" spans="1:13">
      <c r="A50" s="39"/>
      <c r="B50" s="57"/>
      <c r="C50" s="57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>
      <c r="A51" s="39"/>
      <c r="B51" s="57"/>
      <c r="C51" s="57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>
      <c r="A52" s="39"/>
      <c r="B52" s="57"/>
      <c r="C52" s="57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>
      <c r="A53" s="39"/>
      <c r="B53" s="57"/>
      <c r="C53" s="57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>
      <c r="A54" s="39"/>
      <c r="B54" s="57"/>
      <c r="C54" s="57"/>
      <c r="D54" s="39"/>
      <c r="E54" s="39"/>
      <c r="F54" s="39"/>
      <c r="G54" s="39"/>
      <c r="H54" s="39"/>
      <c r="I54" s="39"/>
      <c r="J54" s="39"/>
      <c r="K54" s="39"/>
      <c r="L54" s="39"/>
      <c r="M54" s="39"/>
    </row>
  </sheetData>
  <mergeCells count="3">
    <mergeCell ref="D3:E3"/>
    <mergeCell ref="F3:I3"/>
    <mergeCell ref="J3:M3"/>
  </mergeCells>
  <phoneticPr fontId="3" type="noConversion"/>
  <printOptions horizontalCentered="1"/>
  <pageMargins left="0.5" right="0.5" top="1" bottom="0.5" header="0.5" footer="0.5"/>
  <pageSetup scale="69" orientation="landscape" r:id="rId1"/>
  <headerFooter alignWithMargins="0">
    <oddHeader>&amp;L&amp;"Arial,Bold"3. Income Statement: Market-rate For Sale Housing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53"/>
  <sheetViews>
    <sheetView view="pageLayout" topLeftCell="A22" zoomScale="80" zoomScaleNormal="100" zoomScaleSheetLayoutView="100" zoomScalePageLayoutView="80" workbookViewId="0">
      <selection activeCell="A33" sqref="A33"/>
    </sheetView>
  </sheetViews>
  <sheetFormatPr defaultColWidth="9.109375" defaultRowHeight="13.8"/>
  <cols>
    <col min="1" max="1" width="23.33203125" style="1" customWidth="1"/>
    <col min="2" max="2" width="12.6640625" style="2" customWidth="1"/>
    <col min="3" max="3" width="13.6640625" style="2" customWidth="1"/>
    <col min="4" max="13" width="13.6640625" style="1" customWidth="1"/>
    <col min="14" max="14" width="14" style="1" bestFit="1" customWidth="1"/>
    <col min="15" max="16384" width="9.109375" style="1"/>
  </cols>
  <sheetData>
    <row r="1" spans="1:13" ht="14.1" customHeight="1" thickBot="1">
      <c r="A1" s="263"/>
      <c r="B1" s="264"/>
      <c r="C1" s="264"/>
      <c r="D1" s="263"/>
      <c r="E1" s="263"/>
      <c r="F1" s="263"/>
      <c r="G1" s="263"/>
      <c r="H1" s="263"/>
      <c r="I1" s="263"/>
      <c r="J1" s="263"/>
      <c r="K1" s="263"/>
      <c r="L1" s="134" t="s">
        <v>93</v>
      </c>
      <c r="M1" s="306">
        <v>191863</v>
      </c>
    </row>
    <row r="2" spans="1:13" ht="14.1" customHeight="1" thickBot="1">
      <c r="A2" s="263"/>
      <c r="B2" s="264"/>
      <c r="C2" s="264"/>
      <c r="D2" s="263"/>
      <c r="E2" s="263"/>
      <c r="F2" s="263"/>
      <c r="G2" s="1050"/>
      <c r="H2" s="263"/>
      <c r="I2" s="263"/>
      <c r="J2" s="263"/>
      <c r="K2" s="263"/>
      <c r="L2" s="263"/>
      <c r="M2" s="263"/>
    </row>
    <row r="3" spans="1:13" ht="14.1" customHeight="1" thickBot="1">
      <c r="A3" s="123"/>
      <c r="B3" s="190"/>
      <c r="C3" s="128" t="s">
        <v>57</v>
      </c>
      <c r="D3" s="1227" t="s">
        <v>36</v>
      </c>
      <c r="E3" s="1235"/>
      <c r="F3" s="1229" t="s">
        <v>78</v>
      </c>
      <c r="G3" s="1230"/>
      <c r="H3" s="1230"/>
      <c r="I3" s="1231"/>
      <c r="J3" s="1232" t="s">
        <v>79</v>
      </c>
      <c r="K3" s="1233"/>
      <c r="L3" s="1233"/>
      <c r="M3" s="1234"/>
    </row>
    <row r="4" spans="1:13" ht="14.1" customHeight="1" thickBot="1">
      <c r="A4" s="63"/>
      <c r="B4" s="64"/>
      <c r="C4" s="136">
        <v>0</v>
      </c>
      <c r="D4" s="101">
        <f>C4+1</f>
        <v>1</v>
      </c>
      <c r="E4" s="100">
        <f t="shared" ref="E4:M5" si="0">D4+1</f>
        <v>2</v>
      </c>
      <c r="F4" s="101">
        <f t="shared" si="0"/>
        <v>3</v>
      </c>
      <c r="G4" s="955">
        <f t="shared" si="0"/>
        <v>4</v>
      </c>
      <c r="H4" s="135">
        <f t="shared" si="0"/>
        <v>5</v>
      </c>
      <c r="I4" s="102">
        <f t="shared" si="0"/>
        <v>6</v>
      </c>
      <c r="J4" s="100">
        <f t="shared" si="0"/>
        <v>7</v>
      </c>
      <c r="K4" s="100">
        <f t="shared" si="0"/>
        <v>8</v>
      </c>
      <c r="L4" s="100">
        <f t="shared" si="0"/>
        <v>9</v>
      </c>
      <c r="M4" s="102">
        <f t="shared" si="0"/>
        <v>10</v>
      </c>
    </row>
    <row r="5" spans="1:13" ht="14.1" customHeight="1" thickBot="1">
      <c r="A5" s="66"/>
      <c r="B5" s="135"/>
      <c r="C5" s="136" t="s">
        <v>337</v>
      </c>
      <c r="D5" s="267">
        <v>2021</v>
      </c>
      <c r="E5" s="100">
        <f>D5+1</f>
        <v>2022</v>
      </c>
      <c r="F5" s="101">
        <f t="shared" si="0"/>
        <v>2023</v>
      </c>
      <c r="G5" s="955">
        <f t="shared" si="0"/>
        <v>2024</v>
      </c>
      <c r="H5" s="100">
        <f t="shared" si="0"/>
        <v>2025</v>
      </c>
      <c r="I5" s="102">
        <f t="shared" si="0"/>
        <v>2026</v>
      </c>
      <c r="J5" s="100">
        <f t="shared" si="0"/>
        <v>2027</v>
      </c>
      <c r="K5" s="100">
        <f t="shared" si="0"/>
        <v>2028</v>
      </c>
      <c r="L5" s="100">
        <f>K5+1</f>
        <v>2029</v>
      </c>
      <c r="M5" s="102">
        <f>L5+1</f>
        <v>2030</v>
      </c>
    </row>
    <row r="6" spans="1:13" ht="14.4" thickBot="1">
      <c r="A6" s="185" t="s">
        <v>9</v>
      </c>
      <c r="B6" s="182"/>
      <c r="C6" s="191"/>
      <c r="D6" s="194"/>
      <c r="E6" s="183"/>
      <c r="F6" s="194"/>
      <c r="G6" s="183"/>
      <c r="H6" s="183"/>
      <c r="I6" s="184"/>
      <c r="J6" s="183"/>
      <c r="K6" s="183"/>
      <c r="L6" s="183"/>
      <c r="M6" s="184"/>
    </row>
    <row r="7" spans="1:13">
      <c r="A7" s="62" t="s">
        <v>455</v>
      </c>
      <c r="B7" s="64"/>
      <c r="C7" s="130"/>
      <c r="D7" s="63"/>
      <c r="E7" s="73"/>
      <c r="F7" s="63"/>
      <c r="G7" s="73"/>
      <c r="H7" s="73"/>
      <c r="I7" s="111"/>
      <c r="J7" s="73"/>
      <c r="K7" s="73"/>
      <c r="L7" s="73"/>
      <c r="M7" s="111"/>
    </row>
    <row r="8" spans="1:13">
      <c r="A8" s="160" t="s">
        <v>10</v>
      </c>
      <c r="B8" s="122">
        <v>0.02</v>
      </c>
      <c r="C8" s="310"/>
      <c r="D8" s="313"/>
      <c r="E8" s="266"/>
      <c r="F8" s="313"/>
      <c r="G8" s="266"/>
      <c r="H8" s="266"/>
      <c r="I8" s="308"/>
      <c r="J8" s="266"/>
      <c r="K8" s="266"/>
      <c r="L8" s="266"/>
      <c r="M8" s="308"/>
    </row>
    <row r="9" spans="1:13" ht="14.1" customHeight="1">
      <c r="A9" s="160" t="s">
        <v>97</v>
      </c>
      <c r="B9" s="122"/>
      <c r="C9" s="311"/>
      <c r="D9" s="327">
        <f>ROUND('Development Schedule'!E94/$B$12,0)</f>
        <v>63</v>
      </c>
      <c r="E9" s="325">
        <f>ROUND(('Development Schedule'!F94)/$B$12,0)</f>
        <v>125</v>
      </c>
      <c r="F9" s="327">
        <v>0</v>
      </c>
      <c r="G9" s="325">
        <f t="shared" ref="G9:M9" si="1">F9</f>
        <v>0</v>
      </c>
      <c r="H9" s="325">
        <f t="shared" si="1"/>
        <v>0</v>
      </c>
      <c r="I9" s="326">
        <f t="shared" si="1"/>
        <v>0</v>
      </c>
      <c r="J9" s="325">
        <f t="shared" si="1"/>
        <v>0</v>
      </c>
      <c r="K9" s="325">
        <f t="shared" si="1"/>
        <v>0</v>
      </c>
      <c r="L9" s="325">
        <f t="shared" si="1"/>
        <v>0</v>
      </c>
      <c r="M9" s="326">
        <f t="shared" si="1"/>
        <v>0</v>
      </c>
    </row>
    <row r="10" spans="1:13" ht="14.1" customHeight="1">
      <c r="A10" s="160" t="s">
        <v>37</v>
      </c>
      <c r="B10" s="64"/>
      <c r="C10" s="311"/>
      <c r="D10" s="315">
        <f>ROUND(D15*$C$46,0)</f>
        <v>56</v>
      </c>
      <c r="E10" s="316">
        <f>E11-SUM($D$10:D10)</f>
        <v>85</v>
      </c>
      <c r="F10" s="315">
        <f>F11-SUM($D$10:E10)</f>
        <v>47</v>
      </c>
      <c r="G10" s="316">
        <f>G11-SUM($D$10:F10)</f>
        <v>0</v>
      </c>
      <c r="H10" s="316">
        <f>H11-SUM($D$10:G10)</f>
        <v>0</v>
      </c>
      <c r="I10" s="317">
        <f>I11-SUM($D$10:H10)</f>
        <v>0</v>
      </c>
      <c r="J10" s="316">
        <f>J11-SUM($D$10:I10)</f>
        <v>0</v>
      </c>
      <c r="K10" s="316">
        <f>K11-SUM($D$10:J10)</f>
        <v>0</v>
      </c>
      <c r="L10" s="316">
        <f>L11-SUM($D$10:K10)</f>
        <v>0</v>
      </c>
      <c r="M10" s="317">
        <f>M11-SUM($D$10:L10)</f>
        <v>0</v>
      </c>
    </row>
    <row r="11" spans="1:13" ht="14.1" customHeight="1">
      <c r="A11" s="160" t="s">
        <v>98</v>
      </c>
      <c r="B11" s="58"/>
      <c r="C11" s="311"/>
      <c r="D11" s="315">
        <f t="shared" ref="D11:M11" si="2">ROUND(D15*$C$46,0)</f>
        <v>56</v>
      </c>
      <c r="E11" s="316">
        <f t="shared" si="2"/>
        <v>141</v>
      </c>
      <c r="F11" s="315">
        <f t="shared" si="2"/>
        <v>188</v>
      </c>
      <c r="G11" s="316">
        <f t="shared" si="2"/>
        <v>188</v>
      </c>
      <c r="H11" s="316">
        <f t="shared" si="2"/>
        <v>188</v>
      </c>
      <c r="I11" s="317">
        <f t="shared" si="2"/>
        <v>188</v>
      </c>
      <c r="J11" s="316">
        <f t="shared" si="2"/>
        <v>188</v>
      </c>
      <c r="K11" s="316">
        <f t="shared" si="2"/>
        <v>188</v>
      </c>
      <c r="L11" s="316">
        <f t="shared" si="2"/>
        <v>188</v>
      </c>
      <c r="M11" s="317">
        <f t="shared" si="2"/>
        <v>188</v>
      </c>
    </row>
    <row r="12" spans="1:13" ht="14.1" customHeight="1">
      <c r="A12" s="160" t="s">
        <v>38</v>
      </c>
      <c r="B12" s="58">
        <v>800</v>
      </c>
      <c r="C12" s="311"/>
      <c r="D12" s="314"/>
      <c r="E12" s="265"/>
      <c r="F12" s="314"/>
      <c r="G12" s="265"/>
      <c r="H12" s="265"/>
      <c r="I12" s="309"/>
      <c r="J12" s="265"/>
      <c r="K12" s="265"/>
      <c r="L12" s="265"/>
      <c r="M12" s="309"/>
    </row>
    <row r="13" spans="1:13" ht="14.1" customHeight="1">
      <c r="A13" s="160" t="s">
        <v>39</v>
      </c>
      <c r="B13" s="64"/>
      <c r="C13" s="311"/>
      <c r="D13" s="318">
        <f>SUM($D$9:D9)*$B$12</f>
        <v>50400</v>
      </c>
      <c r="E13" s="319">
        <f>SUM($D$9:E9)*$B$12</f>
        <v>150400</v>
      </c>
      <c r="F13" s="318">
        <f>SUM($D$9:E9)*$B$12</f>
        <v>150400</v>
      </c>
      <c r="G13" s="319">
        <f t="shared" ref="G13:M13" si="3">F13</f>
        <v>150400</v>
      </c>
      <c r="H13" s="319">
        <f t="shared" si="3"/>
        <v>150400</v>
      </c>
      <c r="I13" s="320">
        <f t="shared" si="3"/>
        <v>150400</v>
      </c>
      <c r="J13" s="319">
        <f t="shared" si="3"/>
        <v>150400</v>
      </c>
      <c r="K13" s="319">
        <f t="shared" si="3"/>
        <v>150400</v>
      </c>
      <c r="L13" s="319">
        <f t="shared" si="3"/>
        <v>150400</v>
      </c>
      <c r="M13" s="320">
        <f t="shared" si="3"/>
        <v>150400</v>
      </c>
    </row>
    <row r="14" spans="1:13" ht="14.1" customHeight="1">
      <c r="A14" s="160" t="s">
        <v>99</v>
      </c>
      <c r="B14" s="64"/>
      <c r="C14" s="1049">
        <f>'Summary Board'!K103</f>
        <v>1.5</v>
      </c>
      <c r="D14" s="322">
        <f>$C$14*(1+$B$8)^D$4</f>
        <v>1.53</v>
      </c>
      <c r="E14" s="323">
        <f t="shared" ref="E14:M14" si="4">$C$14*(1+$B$8)^E$4</f>
        <v>1.5606</v>
      </c>
      <c r="F14" s="322">
        <f t="shared" si="4"/>
        <v>1.591812</v>
      </c>
      <c r="G14" s="323">
        <f t="shared" si="4"/>
        <v>1.6236482400000001</v>
      </c>
      <c r="H14" s="323">
        <f t="shared" si="4"/>
        <v>1.6561212048</v>
      </c>
      <c r="I14" s="324">
        <f t="shared" si="4"/>
        <v>1.689243628896</v>
      </c>
      <c r="J14" s="323">
        <f t="shared" si="4"/>
        <v>1.7230285014739197</v>
      </c>
      <c r="K14" s="323">
        <f t="shared" si="4"/>
        <v>1.7574890715033984</v>
      </c>
      <c r="L14" s="323">
        <f t="shared" si="4"/>
        <v>1.7926388529334663</v>
      </c>
      <c r="M14" s="324">
        <f t="shared" si="4"/>
        <v>1.8284916299921357</v>
      </c>
    </row>
    <row r="15" spans="1:13" ht="14.1" customHeight="1" thickBot="1">
      <c r="A15" s="133" t="s">
        <v>40</v>
      </c>
      <c r="B15" s="177"/>
      <c r="C15" s="312"/>
      <c r="D15" s="200">
        <v>0.3</v>
      </c>
      <c r="E15" s="178">
        <v>0.75</v>
      </c>
      <c r="F15" s="204">
        <v>1</v>
      </c>
      <c r="G15" s="177">
        <v>1</v>
      </c>
      <c r="H15" s="177">
        <f t="shared" ref="H15:M15" si="5">G15</f>
        <v>1</v>
      </c>
      <c r="I15" s="181">
        <f t="shared" si="5"/>
        <v>1</v>
      </c>
      <c r="J15" s="177">
        <f t="shared" si="5"/>
        <v>1</v>
      </c>
      <c r="K15" s="177">
        <f t="shared" si="5"/>
        <v>1</v>
      </c>
      <c r="L15" s="177">
        <f t="shared" si="5"/>
        <v>1</v>
      </c>
      <c r="M15" s="181">
        <f t="shared" si="5"/>
        <v>1</v>
      </c>
    </row>
    <row r="16" spans="1:13">
      <c r="A16" s="62" t="s">
        <v>456</v>
      </c>
      <c r="B16" s="64"/>
      <c r="C16" s="130"/>
      <c r="D16" s="73"/>
      <c r="E16" s="73"/>
      <c r="F16" s="63"/>
      <c r="G16" s="73"/>
      <c r="H16" s="73"/>
      <c r="I16" s="111"/>
      <c r="J16" s="73"/>
      <c r="K16" s="73"/>
      <c r="L16" s="73"/>
      <c r="M16" s="111"/>
    </row>
    <row r="17" spans="1:13">
      <c r="A17" s="160" t="s">
        <v>10</v>
      </c>
      <c r="B17" s="122">
        <v>0.02</v>
      </c>
      <c r="C17" s="310"/>
      <c r="D17" s="266"/>
      <c r="E17" s="266"/>
      <c r="F17" s="313"/>
      <c r="G17" s="266"/>
      <c r="H17" s="266"/>
      <c r="I17" s="308"/>
      <c r="J17" s="266"/>
      <c r="K17" s="266"/>
      <c r="L17" s="266"/>
      <c r="M17" s="308"/>
    </row>
    <row r="18" spans="1:13" ht="14.1" customHeight="1">
      <c r="A18" s="160" t="s">
        <v>97</v>
      </c>
      <c r="B18" s="122"/>
      <c r="C18" s="311"/>
      <c r="D18" s="325">
        <v>0</v>
      </c>
      <c r="E18" s="325">
        <v>0</v>
      </c>
      <c r="F18" s="327">
        <v>0</v>
      </c>
      <c r="G18" s="325">
        <v>0</v>
      </c>
      <c r="H18" s="325">
        <f>ROUND(('Development Schedule'!I94)/$B$21,0)</f>
        <v>94</v>
      </c>
      <c r="I18" s="326">
        <v>0</v>
      </c>
      <c r="J18" s="325">
        <v>0</v>
      </c>
      <c r="K18" s="325">
        <v>0</v>
      </c>
      <c r="L18" s="325">
        <v>0</v>
      </c>
      <c r="M18" s="326">
        <v>0</v>
      </c>
    </row>
    <row r="19" spans="1:13" ht="14.1" customHeight="1">
      <c r="A19" s="160" t="s">
        <v>37</v>
      </c>
      <c r="B19" s="64"/>
      <c r="C19" s="311"/>
      <c r="D19" s="316">
        <f>ROUND(D24*$C$47,0)</f>
        <v>0</v>
      </c>
      <c r="E19" s="316">
        <f>E20-SUM($D$19:D19)</f>
        <v>0</v>
      </c>
      <c r="F19" s="315">
        <f>F20-SUM($D$19:E19)</f>
        <v>0</v>
      </c>
      <c r="G19" s="316">
        <f>G20-SUM($D$19:F19)</f>
        <v>0</v>
      </c>
      <c r="H19" s="316">
        <f>H20-SUM($D$19:G19)</f>
        <v>28</v>
      </c>
      <c r="I19" s="317">
        <f>I20-SUM($D$19:H19)</f>
        <v>42</v>
      </c>
      <c r="J19" s="316">
        <f>J20-SUM($D$19:I19)</f>
        <v>23</v>
      </c>
      <c r="K19" s="316">
        <f>K20-SUM($D$19:J19)</f>
        <v>0</v>
      </c>
      <c r="L19" s="316">
        <f>L20-SUM($D$19:K19)</f>
        <v>0</v>
      </c>
      <c r="M19" s="317">
        <f>M20-SUM($D$19:L19)</f>
        <v>0</v>
      </c>
    </row>
    <row r="20" spans="1:13" ht="14.1" customHeight="1">
      <c r="A20" s="160" t="s">
        <v>98</v>
      </c>
      <c r="B20" s="58"/>
      <c r="C20" s="311"/>
      <c r="D20" s="316">
        <f t="shared" ref="D20:M20" si="6">ROUND(D24*$C$47,0)</f>
        <v>0</v>
      </c>
      <c r="E20" s="316">
        <f t="shared" si="6"/>
        <v>0</v>
      </c>
      <c r="F20" s="315">
        <f t="shared" si="6"/>
        <v>0</v>
      </c>
      <c r="G20" s="316">
        <f t="shared" si="6"/>
        <v>0</v>
      </c>
      <c r="H20" s="316">
        <f t="shared" si="6"/>
        <v>28</v>
      </c>
      <c r="I20" s="317">
        <f t="shared" si="6"/>
        <v>70</v>
      </c>
      <c r="J20" s="316">
        <f t="shared" si="6"/>
        <v>93</v>
      </c>
      <c r="K20" s="316">
        <f t="shared" si="6"/>
        <v>93</v>
      </c>
      <c r="L20" s="316">
        <f t="shared" si="6"/>
        <v>93</v>
      </c>
      <c r="M20" s="317">
        <f t="shared" si="6"/>
        <v>93</v>
      </c>
    </row>
    <row r="21" spans="1:13" ht="14.1" customHeight="1">
      <c r="A21" s="160" t="s">
        <v>38</v>
      </c>
      <c r="B21" s="58">
        <v>800</v>
      </c>
      <c r="C21" s="311"/>
      <c r="D21" s="265"/>
      <c r="E21" s="265"/>
      <c r="F21" s="314"/>
      <c r="G21" s="265"/>
      <c r="H21" s="265"/>
      <c r="I21" s="309"/>
      <c r="J21" s="265"/>
      <c r="K21" s="265"/>
      <c r="L21" s="265"/>
      <c r="M21" s="309"/>
    </row>
    <row r="22" spans="1:13" ht="14.1" customHeight="1">
      <c r="A22" s="160" t="s">
        <v>39</v>
      </c>
      <c r="B22" s="64"/>
      <c r="C22" s="311"/>
      <c r="D22" s="319">
        <f>SUM($D$18:D18)*$B$21</f>
        <v>0</v>
      </c>
      <c r="E22" s="319">
        <f>SUM($D$18:E18)*$B$21</f>
        <v>0</v>
      </c>
      <c r="F22" s="318">
        <f>SUM($D$18:F18)*$B$21</f>
        <v>0</v>
      </c>
      <c r="G22" s="319">
        <f>SUM($D$18:G18)*$B$21</f>
        <v>0</v>
      </c>
      <c r="H22" s="319">
        <f>SUM($D$18:H18)*$B$21</f>
        <v>75200</v>
      </c>
      <c r="I22" s="320">
        <f>SUM($D$18:I18)*$B$21</f>
        <v>75200</v>
      </c>
      <c r="J22" s="319">
        <f>SUM($D$18:J18)*$B$21</f>
        <v>75200</v>
      </c>
      <c r="K22" s="319">
        <f>SUM($D$18:K18)*$B$21</f>
        <v>75200</v>
      </c>
      <c r="L22" s="319">
        <f>SUM($D$18:L18)*$B$21</f>
        <v>75200</v>
      </c>
      <c r="M22" s="320">
        <f>SUM($D$18:M18)*$B$21</f>
        <v>75200</v>
      </c>
    </row>
    <row r="23" spans="1:13" ht="14.1" customHeight="1">
      <c r="A23" s="160" t="s">
        <v>99</v>
      </c>
      <c r="B23" s="64"/>
      <c r="C23" s="321">
        <f t="shared" ref="C23:M23" si="7">C14</f>
        <v>1.5</v>
      </c>
      <c r="D23" s="323">
        <f t="shared" si="7"/>
        <v>1.53</v>
      </c>
      <c r="E23" s="323">
        <f t="shared" si="7"/>
        <v>1.5606</v>
      </c>
      <c r="F23" s="322">
        <f t="shared" si="7"/>
        <v>1.591812</v>
      </c>
      <c r="G23" s="323">
        <f t="shared" si="7"/>
        <v>1.6236482400000001</v>
      </c>
      <c r="H23" s="323">
        <f t="shared" si="7"/>
        <v>1.6561212048</v>
      </c>
      <c r="I23" s="324">
        <f t="shared" si="7"/>
        <v>1.689243628896</v>
      </c>
      <c r="J23" s="323">
        <f t="shared" si="7"/>
        <v>1.7230285014739197</v>
      </c>
      <c r="K23" s="323">
        <f t="shared" si="7"/>
        <v>1.7574890715033984</v>
      </c>
      <c r="L23" s="323">
        <f t="shared" si="7"/>
        <v>1.7926388529334663</v>
      </c>
      <c r="M23" s="324">
        <f t="shared" si="7"/>
        <v>1.8284916299921357</v>
      </c>
    </row>
    <row r="24" spans="1:13" ht="14.1" customHeight="1" thickBot="1">
      <c r="A24" s="133" t="s">
        <v>40</v>
      </c>
      <c r="B24" s="177"/>
      <c r="C24" s="312"/>
      <c r="D24" s="178">
        <v>0</v>
      </c>
      <c r="E24" s="179">
        <f>D24</f>
        <v>0</v>
      </c>
      <c r="F24" s="208">
        <f>E24</f>
        <v>0</v>
      </c>
      <c r="G24" s="177">
        <v>0</v>
      </c>
      <c r="H24" s="180">
        <v>0.3</v>
      </c>
      <c r="I24" s="201">
        <v>0.75</v>
      </c>
      <c r="J24" s="180">
        <v>1</v>
      </c>
      <c r="K24" s="177">
        <f>J24</f>
        <v>1</v>
      </c>
      <c r="L24" s="177">
        <f>K24</f>
        <v>1</v>
      </c>
      <c r="M24" s="181">
        <f>L24</f>
        <v>1</v>
      </c>
    </row>
    <row r="25" spans="1:13" ht="14.4" customHeight="1" thickBot="1">
      <c r="A25" s="185" t="s">
        <v>0</v>
      </c>
      <c r="B25" s="182"/>
      <c r="C25" s="191"/>
      <c r="D25" s="232"/>
      <c r="E25" s="188"/>
      <c r="F25" s="232"/>
      <c r="G25" s="188"/>
      <c r="H25" s="188"/>
      <c r="I25" s="189"/>
      <c r="J25" s="188"/>
      <c r="K25" s="188"/>
      <c r="L25" s="188"/>
      <c r="M25" s="189"/>
    </row>
    <row r="26" spans="1:13">
      <c r="A26" s="160" t="s">
        <v>11</v>
      </c>
      <c r="B26" s="64"/>
      <c r="C26" s="251">
        <v>0</v>
      </c>
      <c r="D26" s="234">
        <f t="shared" ref="D26:M26" si="8">SUM(D11,D20)*$B$12*D14*12</f>
        <v>822528</v>
      </c>
      <c r="E26" s="235">
        <f t="shared" si="8"/>
        <v>2112428.16</v>
      </c>
      <c r="F26" s="234">
        <f t="shared" si="8"/>
        <v>2872902.2976000002</v>
      </c>
      <c r="G26" s="217">
        <f t="shared" si="8"/>
        <v>2930360.3435520004</v>
      </c>
      <c r="H26" s="235">
        <f t="shared" si="8"/>
        <v>3434132.9302732795</v>
      </c>
      <c r="I26" s="236">
        <f t="shared" si="8"/>
        <v>4183918.6200496126</v>
      </c>
      <c r="J26" s="217">
        <f t="shared" si="8"/>
        <v>4648041.6855760459</v>
      </c>
      <c r="K26" s="217">
        <f t="shared" si="8"/>
        <v>4741002.5192875676</v>
      </c>
      <c r="L26" s="217">
        <f t="shared" si="8"/>
        <v>4835822.5696733184</v>
      </c>
      <c r="M26" s="221">
        <f t="shared" si="8"/>
        <v>4932539.0210667849</v>
      </c>
    </row>
    <row r="27" spans="1:13">
      <c r="A27" s="222" t="s">
        <v>100</v>
      </c>
      <c r="B27" s="719">
        <v>0.3</v>
      </c>
      <c r="C27" s="253">
        <f>C26*-$B$27</f>
        <v>0</v>
      </c>
      <c r="D27" s="254">
        <f>D26*-$B$27</f>
        <v>-246758.39999999999</v>
      </c>
      <c r="E27" s="220">
        <f>E26*-$B$27</f>
        <v>-633728.44799999997</v>
      </c>
      <c r="F27" s="254">
        <f t="shared" ref="F27:M27" si="9">F26*-$B$27</f>
        <v>-861870.68928000005</v>
      </c>
      <c r="G27" s="220">
        <f t="shared" si="9"/>
        <v>-879108.10306560004</v>
      </c>
      <c r="H27" s="220">
        <f t="shared" si="9"/>
        <v>-1030239.8790819838</v>
      </c>
      <c r="I27" s="223">
        <f t="shared" si="9"/>
        <v>-1255175.5860148838</v>
      </c>
      <c r="J27" s="220">
        <f t="shared" si="9"/>
        <v>-1394412.5056728136</v>
      </c>
      <c r="K27" s="220">
        <f t="shared" si="9"/>
        <v>-1422300.7557862701</v>
      </c>
      <c r="L27" s="220">
        <f t="shared" si="9"/>
        <v>-1450746.7709019955</v>
      </c>
      <c r="M27" s="223">
        <f t="shared" si="9"/>
        <v>-1479761.7063200355</v>
      </c>
    </row>
    <row r="28" spans="1:13" ht="14.1" customHeight="1" thickBot="1">
      <c r="A28" s="262" t="s">
        <v>5</v>
      </c>
      <c r="B28" s="67"/>
      <c r="C28" s="249">
        <f>SUM(C26:C27)</f>
        <v>0</v>
      </c>
      <c r="D28" s="250">
        <f>SUM(D26:D27)</f>
        <v>575769.59999999998</v>
      </c>
      <c r="E28" s="224">
        <f t="shared" ref="E28:M28" si="10">SUM(E26:E27)</f>
        <v>1478699.7120000003</v>
      </c>
      <c r="F28" s="250">
        <f t="shared" si="10"/>
        <v>2011031.6083200001</v>
      </c>
      <c r="G28" s="224">
        <f t="shared" si="10"/>
        <v>2051252.2404864002</v>
      </c>
      <c r="H28" s="224">
        <f t="shared" si="10"/>
        <v>2403893.0511912955</v>
      </c>
      <c r="I28" s="225">
        <f t="shared" si="10"/>
        <v>2928743.034034729</v>
      </c>
      <c r="J28" s="224">
        <f t="shared" si="10"/>
        <v>3253629.1799032325</v>
      </c>
      <c r="K28" s="224">
        <f t="shared" si="10"/>
        <v>3318701.7635012977</v>
      </c>
      <c r="L28" s="224">
        <f t="shared" si="10"/>
        <v>3385075.7987713227</v>
      </c>
      <c r="M28" s="225">
        <f t="shared" si="10"/>
        <v>3452777.3147467496</v>
      </c>
    </row>
    <row r="29" spans="1:13" ht="14.1" customHeight="1" thickBot="1">
      <c r="A29" s="185" t="s">
        <v>2</v>
      </c>
      <c r="B29" s="182"/>
      <c r="C29" s="191"/>
      <c r="D29" s="232"/>
      <c r="E29" s="188"/>
      <c r="F29" s="232"/>
      <c r="G29" s="188"/>
      <c r="H29" s="188"/>
      <c r="I29" s="189"/>
      <c r="J29" s="188"/>
      <c r="K29" s="188"/>
      <c r="L29" s="188"/>
      <c r="M29" s="189"/>
    </row>
    <row r="30" spans="1:13" ht="14.1" customHeight="1">
      <c r="A30" s="160" t="s">
        <v>101</v>
      </c>
      <c r="B30" s="64"/>
      <c r="C30" s="722">
        <f>'Summary Board'!F98</f>
        <v>142.56</v>
      </c>
      <c r="D30" s="199">
        <f t="shared" ref="D30:M30" si="11">$C$30*(1+$B$8)^D4</f>
        <v>145.41120000000001</v>
      </c>
      <c r="E30" s="186">
        <f t="shared" si="11"/>
        <v>148.319424</v>
      </c>
      <c r="F30" s="199">
        <f t="shared" si="11"/>
        <v>151.28581248</v>
      </c>
      <c r="G30" s="186">
        <f t="shared" si="11"/>
        <v>154.31152872960001</v>
      </c>
      <c r="H30" s="186">
        <f t="shared" si="11"/>
        <v>157.39775930419199</v>
      </c>
      <c r="I30" s="187">
        <f t="shared" si="11"/>
        <v>160.54571449027586</v>
      </c>
      <c r="J30" s="186">
        <f t="shared" si="11"/>
        <v>163.75662878008134</v>
      </c>
      <c r="K30" s="186">
        <f t="shared" si="11"/>
        <v>167.03176135568299</v>
      </c>
      <c r="L30" s="186">
        <f t="shared" si="11"/>
        <v>170.37239658279663</v>
      </c>
      <c r="M30" s="187">
        <f t="shared" si="11"/>
        <v>173.77984451445258</v>
      </c>
    </row>
    <row r="31" spans="1:13" ht="14.1" customHeight="1">
      <c r="A31" s="160" t="s">
        <v>12</v>
      </c>
      <c r="B31" s="64"/>
      <c r="C31" s="245">
        <f>C32/SUM($C$32:$M$32)</f>
        <v>0</v>
      </c>
      <c r="D31" s="246">
        <f t="shared" ref="D31:M31" si="12">D32/SUM($C$32:$M$32)</f>
        <v>0.21442440521629053</v>
      </c>
      <c r="E31" s="173">
        <f t="shared" si="12"/>
        <v>0.43742578664123266</v>
      </c>
      <c r="F31" s="246">
        <f t="shared" si="12"/>
        <v>0</v>
      </c>
      <c r="G31" s="173">
        <f t="shared" si="12"/>
        <v>0</v>
      </c>
      <c r="H31" s="173">
        <f t="shared" si="12"/>
        <v>0.34814980814247692</v>
      </c>
      <c r="I31" s="229">
        <f t="shared" si="12"/>
        <v>0</v>
      </c>
      <c r="J31" s="173">
        <f t="shared" si="12"/>
        <v>0</v>
      </c>
      <c r="K31" s="173">
        <f t="shared" si="12"/>
        <v>0</v>
      </c>
      <c r="L31" s="173">
        <f t="shared" si="12"/>
        <v>0</v>
      </c>
      <c r="M31" s="229">
        <f t="shared" si="12"/>
        <v>0</v>
      </c>
    </row>
    <row r="32" spans="1:13" ht="14.1" customHeight="1">
      <c r="A32" s="160" t="s">
        <v>2</v>
      </c>
      <c r="B32" s="64"/>
      <c r="C32" s="149">
        <f>C30*'Development Schedule'!D94</f>
        <v>0</v>
      </c>
      <c r="D32" s="328">
        <f>D30*'Development Schedule'!E94</f>
        <v>7270560</v>
      </c>
      <c r="E32" s="329">
        <f>E30*'Development Schedule'!F94</f>
        <v>14831942.4</v>
      </c>
      <c r="F32" s="328">
        <f>F30*'Development Schedule'!G94</f>
        <v>0</v>
      </c>
      <c r="G32" s="329">
        <f>G30*'Development Schedule'!H94</f>
        <v>0</v>
      </c>
      <c r="H32" s="329">
        <f>H30*'Development Schedule'!I94</f>
        <v>11804831.947814399</v>
      </c>
      <c r="I32" s="330">
        <f>I30*'Development Schedule'!J94</f>
        <v>0</v>
      </c>
      <c r="J32" s="329">
        <f>J30*'Development Schedule'!K94</f>
        <v>0</v>
      </c>
      <c r="K32" s="329">
        <f>K30*'Development Schedule'!L94</f>
        <v>0</v>
      </c>
      <c r="L32" s="329">
        <f>L30*'Development Schedule'!M94</f>
        <v>0</v>
      </c>
      <c r="M32" s="330">
        <f>M30*'Development Schedule'!N94</f>
        <v>0</v>
      </c>
    </row>
    <row r="33" spans="1:14" ht="14.1" customHeight="1">
      <c r="A33" s="222" t="s">
        <v>13</v>
      </c>
      <c r="B33" s="227"/>
      <c r="C33" s="152"/>
      <c r="D33" s="248"/>
      <c r="E33" s="228"/>
      <c r="F33" s="248"/>
      <c r="G33" s="228"/>
      <c r="H33" s="228"/>
      <c r="I33" s="231"/>
      <c r="J33" s="228"/>
      <c r="K33" s="228"/>
      <c r="L33" s="228"/>
      <c r="M33" s="231"/>
    </row>
    <row r="34" spans="1:14" ht="13.5" customHeight="1" thickBot="1">
      <c r="A34" s="262" t="s">
        <v>3</v>
      </c>
      <c r="B34" s="67"/>
      <c r="C34" s="249">
        <f>SUM(C32:C33)</f>
        <v>0</v>
      </c>
      <c r="D34" s="250">
        <f t="shared" ref="D34:M34" si="13">SUM(D32:D33)</f>
        <v>7270560</v>
      </c>
      <c r="E34" s="224">
        <f t="shared" si="13"/>
        <v>14831942.4</v>
      </c>
      <c r="F34" s="250">
        <f t="shared" si="13"/>
        <v>0</v>
      </c>
      <c r="G34" s="224">
        <f t="shared" si="13"/>
        <v>0</v>
      </c>
      <c r="H34" s="224">
        <f t="shared" si="13"/>
        <v>11804831.947814399</v>
      </c>
      <c r="I34" s="225">
        <f t="shared" si="13"/>
        <v>0</v>
      </c>
      <c r="J34" s="224">
        <f t="shared" si="13"/>
        <v>0</v>
      </c>
      <c r="K34" s="224">
        <f t="shared" si="13"/>
        <v>0</v>
      </c>
      <c r="L34" s="224">
        <f t="shared" si="13"/>
        <v>0</v>
      </c>
      <c r="M34" s="225">
        <f t="shared" si="13"/>
        <v>0</v>
      </c>
    </row>
    <row r="35" spans="1:14" ht="14.4" customHeight="1" thickBot="1">
      <c r="A35" s="185" t="s">
        <v>4</v>
      </c>
      <c r="B35" s="182"/>
      <c r="C35" s="191"/>
      <c r="D35" s="232"/>
      <c r="E35" s="188"/>
      <c r="F35" s="232"/>
      <c r="G35" s="996"/>
      <c r="H35" s="188"/>
      <c r="I35" s="189"/>
      <c r="J35" s="188"/>
      <c r="K35" s="188"/>
      <c r="L35" s="188"/>
      <c r="M35" s="189"/>
    </row>
    <row r="36" spans="1:14">
      <c r="A36" s="160" t="s">
        <v>5</v>
      </c>
      <c r="B36" s="64"/>
      <c r="C36" s="233">
        <f>C28</f>
        <v>0</v>
      </c>
      <c r="D36" s="234">
        <f t="shared" ref="D36:M36" si="14">D28</f>
        <v>575769.59999999998</v>
      </c>
      <c r="E36" s="235">
        <f t="shared" si="14"/>
        <v>1478699.7120000003</v>
      </c>
      <c r="F36" s="234">
        <f t="shared" si="14"/>
        <v>2011031.6083200001</v>
      </c>
      <c r="G36" s="217">
        <f t="shared" si="14"/>
        <v>2051252.2404864002</v>
      </c>
      <c r="H36" s="235">
        <f t="shared" si="14"/>
        <v>2403893.0511912955</v>
      </c>
      <c r="I36" s="236">
        <f t="shared" si="14"/>
        <v>2928743.034034729</v>
      </c>
      <c r="J36" s="217">
        <f t="shared" si="14"/>
        <v>3253629.1799032325</v>
      </c>
      <c r="K36" s="217">
        <f t="shared" si="14"/>
        <v>3318701.7635012977</v>
      </c>
      <c r="L36" s="217">
        <f t="shared" si="14"/>
        <v>3385075.7987713227</v>
      </c>
      <c r="M36" s="221">
        <f t="shared" si="14"/>
        <v>3452777.3147467496</v>
      </c>
    </row>
    <row r="37" spans="1:14" ht="14.1" customHeight="1">
      <c r="A37" s="160" t="s">
        <v>59</v>
      </c>
      <c r="B37" s="108">
        <f>D50</f>
        <v>5.8000000000000003E-2</v>
      </c>
      <c r="C37" s="139">
        <v>0</v>
      </c>
      <c r="D37" s="237">
        <f>C37</f>
        <v>0</v>
      </c>
      <c r="E37" s="226">
        <f t="shared" ref="E37:L38" si="15">D37</f>
        <v>0</v>
      </c>
      <c r="F37" s="237">
        <f t="shared" si="15"/>
        <v>0</v>
      </c>
      <c r="G37" s="226">
        <f t="shared" si="15"/>
        <v>0</v>
      </c>
      <c r="H37" s="226">
        <f t="shared" si="15"/>
        <v>0</v>
      </c>
      <c r="I37" s="238">
        <f t="shared" si="15"/>
        <v>0</v>
      </c>
      <c r="J37" s="226">
        <f t="shared" si="15"/>
        <v>0</v>
      </c>
      <c r="K37" s="226">
        <f t="shared" si="15"/>
        <v>0</v>
      </c>
      <c r="L37" s="226">
        <f t="shared" si="15"/>
        <v>0</v>
      </c>
      <c r="M37" s="238">
        <f>M36/B37</f>
        <v>59530643.357702576</v>
      </c>
      <c r="N37" s="338"/>
    </row>
    <row r="38" spans="1:14" ht="14.1" customHeight="1">
      <c r="A38" s="160" t="s">
        <v>60</v>
      </c>
      <c r="B38" s="108">
        <f>D51</f>
        <v>0.03</v>
      </c>
      <c r="C38" s="139">
        <v>0</v>
      </c>
      <c r="D38" s="237">
        <f>C38</f>
        <v>0</v>
      </c>
      <c r="E38" s="226">
        <f t="shared" si="15"/>
        <v>0</v>
      </c>
      <c r="F38" s="237">
        <f t="shared" si="15"/>
        <v>0</v>
      </c>
      <c r="G38" s="226">
        <f t="shared" si="15"/>
        <v>0</v>
      </c>
      <c r="H38" s="226">
        <f t="shared" si="15"/>
        <v>0</v>
      </c>
      <c r="I38" s="238">
        <f t="shared" si="15"/>
        <v>0</v>
      </c>
      <c r="J38" s="226">
        <f t="shared" si="15"/>
        <v>0</v>
      </c>
      <c r="K38" s="226">
        <f t="shared" si="15"/>
        <v>0</v>
      </c>
      <c r="L38" s="226">
        <f t="shared" si="15"/>
        <v>0</v>
      </c>
      <c r="M38" s="238">
        <f>M37*-B38</f>
        <v>-1785919.3007310771</v>
      </c>
    </row>
    <row r="39" spans="1:14" ht="14.1" customHeight="1">
      <c r="A39" s="222" t="s">
        <v>102</v>
      </c>
      <c r="B39" s="227"/>
      <c r="C39" s="253">
        <f>-C34</f>
        <v>0</v>
      </c>
      <c r="D39" s="254">
        <f t="shared" ref="D39:M39" si="16">-D34</f>
        <v>-7270560</v>
      </c>
      <c r="E39" s="220">
        <f t="shared" si="16"/>
        <v>-14831942.4</v>
      </c>
      <c r="F39" s="254">
        <f t="shared" si="16"/>
        <v>0</v>
      </c>
      <c r="G39" s="220">
        <f t="shared" si="16"/>
        <v>0</v>
      </c>
      <c r="H39" s="220">
        <f t="shared" si="16"/>
        <v>-11804831.947814399</v>
      </c>
      <c r="I39" s="223">
        <f t="shared" si="16"/>
        <v>0</v>
      </c>
      <c r="J39" s="220">
        <f t="shared" si="16"/>
        <v>0</v>
      </c>
      <c r="K39" s="220">
        <f t="shared" si="16"/>
        <v>0</v>
      </c>
      <c r="L39" s="220">
        <f t="shared" si="16"/>
        <v>0</v>
      </c>
      <c r="M39" s="223">
        <f t="shared" si="16"/>
        <v>0</v>
      </c>
    </row>
    <row r="40" spans="1:14" ht="14.4" thickBot="1">
      <c r="A40" s="115" t="s">
        <v>6</v>
      </c>
      <c r="B40" s="67"/>
      <c r="C40" s="249">
        <f>SUM(C36:C39)</f>
        <v>0</v>
      </c>
      <c r="D40" s="293">
        <f t="shared" ref="D40:M40" si="17">SUM(D36:D39)</f>
        <v>-6694790.4000000004</v>
      </c>
      <c r="E40" s="294">
        <f t="shared" si="17"/>
        <v>-13353242.688000001</v>
      </c>
      <c r="F40" s="293">
        <f t="shared" si="17"/>
        <v>2011031.6083200001</v>
      </c>
      <c r="G40" s="294">
        <f t="shared" si="17"/>
        <v>2051252.2404864002</v>
      </c>
      <c r="H40" s="294">
        <f t="shared" si="17"/>
        <v>-9400938.8966231048</v>
      </c>
      <c r="I40" s="295">
        <f t="shared" si="17"/>
        <v>2928743.034034729</v>
      </c>
      <c r="J40" s="294">
        <f t="shared" si="17"/>
        <v>3253629.1799032325</v>
      </c>
      <c r="K40" s="294">
        <f t="shared" si="17"/>
        <v>3318701.7635012977</v>
      </c>
      <c r="L40" s="294">
        <f t="shared" si="17"/>
        <v>3385075.7987713227</v>
      </c>
      <c r="M40" s="295">
        <f t="shared" si="17"/>
        <v>61197501.37171825</v>
      </c>
    </row>
    <row r="41" spans="1:14" ht="14.4" thickBot="1">
      <c r="A41" s="114" t="s">
        <v>26</v>
      </c>
      <c r="B41" s="105"/>
      <c r="C41" s="242">
        <f>C40+NPV(D52,D40:M40)</f>
        <v>14635621.353456493</v>
      </c>
      <c r="D41" s="257"/>
      <c r="E41" s="258"/>
      <c r="F41" s="257"/>
      <c r="G41" s="294"/>
      <c r="H41" s="258"/>
      <c r="I41" s="259"/>
      <c r="J41" s="258"/>
      <c r="K41" s="258"/>
      <c r="L41" s="258"/>
      <c r="M41" s="259"/>
    </row>
    <row r="42" spans="1:14" ht="14.1" customHeight="1" thickBot="1">
      <c r="A42" s="80" t="s">
        <v>61</v>
      </c>
      <c r="B42" s="144"/>
      <c r="C42" s="260">
        <f>IRR(C40:M40,0)</f>
        <v>0.16342705865047269</v>
      </c>
      <c r="D42" s="241"/>
      <c r="E42" s="144"/>
      <c r="F42" s="241"/>
      <c r="G42" s="67"/>
      <c r="H42" s="144"/>
      <c r="I42" s="159"/>
      <c r="J42" s="144"/>
      <c r="K42" s="144"/>
      <c r="L42" s="144"/>
      <c r="M42" s="159"/>
    </row>
    <row r="43" spans="1:14" ht="14.1" customHeight="1" thickBot="1">
      <c r="A43" s="263"/>
      <c r="B43" s="264"/>
      <c r="C43" s="264"/>
      <c r="D43" s="263"/>
      <c r="E43" s="263"/>
      <c r="F43" s="263"/>
      <c r="G43" s="263"/>
      <c r="H43" s="263"/>
      <c r="I43" s="263"/>
      <c r="J43" s="263"/>
      <c r="K43" s="263"/>
      <c r="L43" s="263"/>
      <c r="M43" s="263"/>
    </row>
    <row r="44" spans="1:14" ht="14.1" customHeight="1" thickBot="1">
      <c r="A44" s="907" t="s">
        <v>96</v>
      </c>
      <c r="B44" s="973"/>
      <c r="C44" s="973"/>
      <c r="D44" s="998"/>
      <c r="E44" s="263"/>
      <c r="F44" s="263"/>
      <c r="G44" s="263"/>
      <c r="H44" s="263"/>
      <c r="I44" s="263"/>
      <c r="J44" s="263"/>
      <c r="K44" s="263"/>
      <c r="L44" s="263"/>
      <c r="M44" s="263"/>
    </row>
    <row r="45" spans="1:14" ht="14.1" customHeight="1" thickBot="1">
      <c r="A45" s="78"/>
      <c r="B45" s="144"/>
      <c r="C45" s="83" t="s">
        <v>94</v>
      </c>
      <c r="D45" s="84" t="s">
        <v>95</v>
      </c>
      <c r="E45" s="263"/>
      <c r="F45" s="263"/>
      <c r="G45" s="263"/>
      <c r="H45" s="263"/>
      <c r="I45" s="263"/>
      <c r="J45" s="263"/>
      <c r="K45" s="263"/>
      <c r="L45" s="263"/>
      <c r="M45" s="263"/>
    </row>
    <row r="46" spans="1:14">
      <c r="A46" s="123" t="s">
        <v>455</v>
      </c>
      <c r="B46" s="190"/>
      <c r="C46" s="1048">
        <f>D46/$B$12</f>
        <v>187.5</v>
      </c>
      <c r="D46" s="427">
        <f>'Development Schedule'!E94+'Development Schedule'!F94</f>
        <v>150000</v>
      </c>
      <c r="E46" s="263"/>
      <c r="F46" s="263"/>
      <c r="G46" s="263"/>
      <c r="H46" s="263"/>
      <c r="I46" s="263"/>
      <c r="J46" s="263"/>
      <c r="K46" s="263"/>
      <c r="L46" s="263"/>
      <c r="M46" s="263"/>
    </row>
    <row r="47" spans="1:14" ht="14.1" customHeight="1" thickBot="1">
      <c r="A47" s="66" t="s">
        <v>456</v>
      </c>
      <c r="B47" s="67"/>
      <c r="C47" s="747">
        <f>ROUNDDOWN(D47/$B$21,0)</f>
        <v>93</v>
      </c>
      <c r="D47" s="215">
        <f>'Development Schedule'!I94</f>
        <v>75000</v>
      </c>
      <c r="E47" s="263"/>
      <c r="F47" s="263"/>
      <c r="G47" s="263"/>
      <c r="H47" s="263"/>
      <c r="I47" s="263"/>
      <c r="J47" s="263"/>
      <c r="K47" s="263"/>
      <c r="L47" s="263"/>
      <c r="M47" s="263"/>
    </row>
    <row r="48" spans="1:14" ht="14.1" customHeight="1" thickBot="1">
      <c r="A48" s="39"/>
      <c r="B48" s="57"/>
      <c r="C48" s="57"/>
      <c r="D48" s="39"/>
      <c r="E48" s="263"/>
      <c r="F48" s="263"/>
      <c r="G48" s="263"/>
      <c r="H48" s="263"/>
      <c r="I48" s="263"/>
      <c r="J48" s="263"/>
      <c r="K48" s="263"/>
      <c r="L48" s="263"/>
      <c r="M48" s="263"/>
    </row>
    <row r="49" spans="1:13" ht="14.1" customHeight="1" thickBot="1">
      <c r="A49" s="907" t="s">
        <v>103</v>
      </c>
      <c r="B49" s="908"/>
      <c r="C49" s="908"/>
      <c r="D49" s="999"/>
      <c r="E49" s="263"/>
      <c r="F49" s="263"/>
      <c r="G49" s="263"/>
      <c r="H49" s="263"/>
      <c r="I49" s="263"/>
      <c r="J49" s="263"/>
      <c r="K49" s="263"/>
      <c r="L49" s="263"/>
      <c r="M49" s="263"/>
    </row>
    <row r="50" spans="1:13" ht="14.1" customHeight="1">
      <c r="A50" s="63" t="s">
        <v>104</v>
      </c>
      <c r="B50" s="64"/>
      <c r="C50" s="64"/>
      <c r="D50" s="721">
        <f>'Summary Board'!K122</f>
        <v>5.8000000000000003E-2</v>
      </c>
      <c r="E50" s="263"/>
      <c r="F50" s="263"/>
      <c r="G50" s="263"/>
      <c r="H50" s="263"/>
      <c r="I50" s="263"/>
      <c r="J50" s="263"/>
      <c r="K50" s="263"/>
      <c r="L50" s="263"/>
      <c r="M50" s="263"/>
    </row>
    <row r="51" spans="1:13">
      <c r="A51" s="63" t="s">
        <v>105</v>
      </c>
      <c r="B51" s="64"/>
      <c r="C51" s="64"/>
      <c r="D51" s="203">
        <v>0.03</v>
      </c>
      <c r="E51" s="263"/>
      <c r="F51" s="263"/>
      <c r="G51" s="263"/>
      <c r="H51" s="263"/>
      <c r="I51" s="263"/>
      <c r="J51" s="263"/>
      <c r="K51" s="263"/>
      <c r="L51" s="263"/>
      <c r="M51" s="263"/>
    </row>
    <row r="52" spans="1:13" ht="14.4" thickBot="1">
      <c r="A52" s="66" t="s">
        <v>92</v>
      </c>
      <c r="B52" s="67"/>
      <c r="C52" s="67"/>
      <c r="D52" s="201">
        <v>0.08</v>
      </c>
      <c r="E52" s="263"/>
      <c r="F52" s="263"/>
      <c r="G52" s="263"/>
      <c r="H52" s="263"/>
      <c r="I52" s="263"/>
      <c r="J52" s="263"/>
      <c r="K52" s="263"/>
      <c r="L52" s="263"/>
      <c r="M52" s="263"/>
    </row>
    <row r="53" spans="1:13">
      <c r="A53" s="263"/>
      <c r="B53" s="264"/>
      <c r="C53" s="264"/>
      <c r="D53" s="263"/>
      <c r="E53" s="263"/>
      <c r="F53" s="263"/>
      <c r="G53" s="263"/>
      <c r="H53" s="263"/>
      <c r="I53" s="263"/>
      <c r="J53" s="263"/>
      <c r="K53" s="263"/>
      <c r="L53" s="263"/>
      <c r="M53" s="263"/>
    </row>
  </sheetData>
  <mergeCells count="3">
    <mergeCell ref="D3:E3"/>
    <mergeCell ref="F3:I3"/>
    <mergeCell ref="J3:M3"/>
  </mergeCells>
  <phoneticPr fontId="3" type="noConversion"/>
  <printOptions horizontalCentered="1"/>
  <pageMargins left="0.5" right="0.5" top="1" bottom="0.5" header="0.5" footer="0.5"/>
  <pageSetup scale="69" fitToHeight="2" orientation="landscape" r:id="rId1"/>
  <headerFooter alignWithMargins="0">
    <oddHeader>&amp;L&amp;"Arial,Bold"4. Income Statement: Affordable Rental Housing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5"/>
  <sheetViews>
    <sheetView view="pageBreakPreview" zoomScale="80" zoomScaleNormal="100" zoomScaleSheetLayoutView="80" workbookViewId="0">
      <selection activeCell="F37" sqref="F37"/>
    </sheetView>
  </sheetViews>
  <sheetFormatPr defaultColWidth="9.109375" defaultRowHeight="13.2"/>
  <cols>
    <col min="1" max="1" width="23.109375" style="96" customWidth="1"/>
    <col min="2" max="2" width="12.6640625" style="97" customWidth="1"/>
    <col min="3" max="3" width="16.44140625" style="97" customWidth="1"/>
    <col min="4" max="4" width="17.109375" style="96" customWidth="1"/>
    <col min="5" max="6" width="16" style="96" customWidth="1"/>
    <col min="7" max="8" width="16.44140625" style="96" customWidth="1"/>
    <col min="9" max="9" width="16" style="96" customWidth="1"/>
    <col min="10" max="10" width="15.33203125" style="96" customWidth="1"/>
    <col min="11" max="11" width="16.6640625" style="96" customWidth="1"/>
    <col min="12" max="13" width="16.44140625" style="96" customWidth="1"/>
    <col min="14" max="16384" width="9.109375" style="96"/>
  </cols>
  <sheetData>
    <row r="1" spans="1:13" ht="14.1" customHeight="1" thickBot="1">
      <c r="A1" s="39"/>
      <c r="B1" s="57"/>
      <c r="C1" s="57"/>
      <c r="D1" s="39"/>
      <c r="E1" s="39"/>
      <c r="F1" s="39"/>
      <c r="G1" s="39"/>
      <c r="H1" s="39"/>
      <c r="I1" s="39"/>
      <c r="J1" s="39"/>
      <c r="K1" s="39"/>
      <c r="L1" s="134" t="s">
        <v>93</v>
      </c>
      <c r="M1" s="306">
        <v>191863</v>
      </c>
    </row>
    <row r="2" spans="1:13" ht="14.1" customHeight="1" thickBot="1">
      <c r="A2" s="39"/>
      <c r="B2" s="57"/>
      <c r="C2" s="57"/>
      <c r="D2" s="39"/>
      <c r="E2" s="39"/>
      <c r="F2" s="39"/>
      <c r="G2" s="118"/>
      <c r="H2" s="39"/>
      <c r="I2" s="39"/>
      <c r="J2" s="39"/>
      <c r="K2" s="39"/>
      <c r="L2" s="39"/>
      <c r="M2" s="39"/>
    </row>
    <row r="3" spans="1:13" ht="14.1" customHeight="1" thickBot="1">
      <c r="A3" s="123"/>
      <c r="B3" s="190"/>
      <c r="C3" s="45" t="s">
        <v>57</v>
      </c>
      <c r="D3" s="1227" t="s">
        <v>36</v>
      </c>
      <c r="E3" s="1228"/>
      <c r="F3" s="1229" t="s">
        <v>78</v>
      </c>
      <c r="G3" s="1230"/>
      <c r="H3" s="1230"/>
      <c r="I3" s="1231"/>
      <c r="J3" s="1232" t="s">
        <v>79</v>
      </c>
      <c r="K3" s="1233"/>
      <c r="L3" s="1233"/>
      <c r="M3" s="1234"/>
    </row>
    <row r="4" spans="1:13" ht="14.1" customHeight="1" thickBot="1">
      <c r="A4" s="63"/>
      <c r="B4" s="64"/>
      <c r="C4" s="276">
        <v>0</v>
      </c>
      <c r="D4" s="101">
        <f>C4+1</f>
        <v>1</v>
      </c>
      <c r="E4" s="100">
        <f t="shared" ref="E4:M5" si="0">D4+1</f>
        <v>2</v>
      </c>
      <c r="F4" s="101">
        <f t="shared" si="0"/>
        <v>3</v>
      </c>
      <c r="G4" s="910">
        <f t="shared" si="0"/>
        <v>4</v>
      </c>
      <c r="H4" s="135">
        <f t="shared" si="0"/>
        <v>5</v>
      </c>
      <c r="I4" s="102">
        <f t="shared" si="0"/>
        <v>6</v>
      </c>
      <c r="J4" s="100">
        <f t="shared" si="0"/>
        <v>7</v>
      </c>
      <c r="K4" s="100">
        <f t="shared" si="0"/>
        <v>8</v>
      </c>
      <c r="L4" s="100">
        <f t="shared" si="0"/>
        <v>9</v>
      </c>
      <c r="M4" s="102">
        <f t="shared" si="0"/>
        <v>10</v>
      </c>
    </row>
    <row r="5" spans="1:13" ht="14.1" customHeight="1" thickBot="1">
      <c r="A5" s="66"/>
      <c r="B5" s="135"/>
      <c r="C5" s="276" t="s">
        <v>337</v>
      </c>
      <c r="D5" s="267">
        <v>2021</v>
      </c>
      <c r="E5" s="100">
        <f>D5+1</f>
        <v>2022</v>
      </c>
      <c r="F5" s="101">
        <f t="shared" si="0"/>
        <v>2023</v>
      </c>
      <c r="G5" s="910">
        <f t="shared" si="0"/>
        <v>2024</v>
      </c>
      <c r="H5" s="100">
        <f t="shared" si="0"/>
        <v>2025</v>
      </c>
      <c r="I5" s="102">
        <f t="shared" si="0"/>
        <v>2026</v>
      </c>
      <c r="J5" s="100">
        <f t="shared" si="0"/>
        <v>2027</v>
      </c>
      <c r="K5" s="100">
        <f t="shared" si="0"/>
        <v>2028</v>
      </c>
      <c r="L5" s="100">
        <f>K5+1</f>
        <v>2029</v>
      </c>
      <c r="M5" s="102">
        <f>L5+1</f>
        <v>2030</v>
      </c>
    </row>
    <row r="6" spans="1:13" ht="13.8" thickBot="1">
      <c r="A6" s="185" t="s">
        <v>9</v>
      </c>
      <c r="B6" s="182"/>
      <c r="C6" s="191"/>
      <c r="D6" s="194"/>
      <c r="E6" s="183"/>
      <c r="F6" s="194"/>
      <c r="G6" s="183"/>
      <c r="H6" s="183"/>
      <c r="I6" s="184"/>
      <c r="J6" s="183"/>
      <c r="K6" s="183"/>
      <c r="L6" s="183"/>
      <c r="M6" s="184"/>
    </row>
    <row r="7" spans="1:13">
      <c r="A7" s="300" t="s">
        <v>36</v>
      </c>
      <c r="B7" s="190"/>
      <c r="C7" s="301"/>
      <c r="D7" s="123"/>
      <c r="E7" s="302"/>
      <c r="F7" s="123"/>
      <c r="G7" s="73"/>
      <c r="H7" s="302"/>
      <c r="I7" s="303"/>
      <c r="J7" s="302"/>
      <c r="K7" s="302"/>
      <c r="L7" s="302"/>
      <c r="M7" s="303"/>
    </row>
    <row r="8" spans="1:13" ht="14.1" customHeight="1">
      <c r="A8" s="160" t="s">
        <v>10</v>
      </c>
      <c r="B8" s="122">
        <v>0.02</v>
      </c>
      <c r="C8" s="129"/>
      <c r="D8" s="132"/>
      <c r="E8" s="106"/>
      <c r="F8" s="132"/>
      <c r="G8" s="106"/>
      <c r="H8" s="106"/>
      <c r="I8" s="110"/>
      <c r="J8" s="106"/>
      <c r="K8" s="106"/>
      <c r="L8" s="106"/>
      <c r="M8" s="110"/>
    </row>
    <row r="9" spans="1:13" ht="14.1" customHeight="1">
      <c r="A9" s="160" t="s">
        <v>97</v>
      </c>
      <c r="B9" s="122"/>
      <c r="C9" s="129"/>
      <c r="D9" s="195">
        <v>0</v>
      </c>
      <c r="E9" s="172">
        <v>0</v>
      </c>
      <c r="F9" s="195">
        <v>0</v>
      </c>
      <c r="G9" s="172">
        <v>0</v>
      </c>
      <c r="H9" s="172">
        <v>0</v>
      </c>
      <c r="I9" s="174">
        <f>C35</f>
        <v>68.75</v>
      </c>
      <c r="J9" s="172">
        <v>0</v>
      </c>
      <c r="K9" s="172">
        <v>0</v>
      </c>
      <c r="L9" s="172">
        <v>0</v>
      </c>
      <c r="M9" s="174">
        <v>0</v>
      </c>
    </row>
    <row r="10" spans="1:13" ht="14.1" customHeight="1">
      <c r="A10" s="160" t="s">
        <v>107</v>
      </c>
      <c r="B10" s="122"/>
      <c r="C10" s="129"/>
      <c r="D10" s="283">
        <v>0</v>
      </c>
      <c r="E10" s="268">
        <v>0</v>
      </c>
      <c r="F10" s="283">
        <v>0</v>
      </c>
      <c r="G10" s="268">
        <v>0</v>
      </c>
      <c r="H10" s="268">
        <v>0</v>
      </c>
      <c r="I10" s="271">
        <f>I9*(1/3)</f>
        <v>22.916666666666664</v>
      </c>
      <c r="J10" s="268">
        <f>I9*(1/3)</f>
        <v>22.916666666666664</v>
      </c>
      <c r="K10" s="268">
        <f>I9*(1/3)</f>
        <v>22.916666666666664</v>
      </c>
      <c r="L10" s="268">
        <v>0</v>
      </c>
      <c r="M10" s="271">
        <f>L10</f>
        <v>0</v>
      </c>
    </row>
    <row r="11" spans="1:13" ht="13.5" customHeight="1">
      <c r="A11" s="160" t="s">
        <v>108</v>
      </c>
      <c r="B11" s="64"/>
      <c r="C11" s="130"/>
      <c r="D11" s="283">
        <f>SUM($D10:D$10)</f>
        <v>0</v>
      </c>
      <c r="E11" s="268">
        <f>SUM($D10:E$10)</f>
        <v>0</v>
      </c>
      <c r="F11" s="283">
        <f>SUM($D10:F$10)</f>
        <v>0</v>
      </c>
      <c r="G11" s="268">
        <f>SUM($D10:G$10)</f>
        <v>0</v>
      </c>
      <c r="H11" s="268">
        <f>SUM($D10:H$10)</f>
        <v>0</v>
      </c>
      <c r="I11" s="271">
        <f>SUM($D10:I$10)</f>
        <v>22.916666666666664</v>
      </c>
      <c r="J11" s="268">
        <f>SUM($D10:J$10)</f>
        <v>45.833333333333329</v>
      </c>
      <c r="K11" s="268">
        <f>SUM($D10:K$10)</f>
        <v>68.75</v>
      </c>
      <c r="L11" s="268">
        <f>SUM($D10:L$10)</f>
        <v>68.75</v>
      </c>
      <c r="M11" s="271">
        <f>SUM($D10:M$10)</f>
        <v>68.75</v>
      </c>
    </row>
    <row r="12" spans="1:13" ht="14.1" customHeight="1">
      <c r="A12" s="160" t="s">
        <v>38</v>
      </c>
      <c r="B12" s="58">
        <v>800</v>
      </c>
      <c r="C12" s="130"/>
      <c r="D12" s="197"/>
      <c r="E12" s="107"/>
      <c r="F12" s="197"/>
      <c r="G12" s="107"/>
      <c r="H12" s="107"/>
      <c r="I12" s="175"/>
      <c r="J12" s="107"/>
      <c r="K12" s="107"/>
      <c r="L12" s="107"/>
      <c r="M12" s="175"/>
    </row>
    <row r="13" spans="1:13" ht="14.1" customHeight="1">
      <c r="A13" s="160" t="s">
        <v>41</v>
      </c>
      <c r="B13" s="64"/>
      <c r="C13" s="130"/>
      <c r="D13" s="284">
        <v>0</v>
      </c>
      <c r="E13" s="269">
        <v>0</v>
      </c>
      <c r="F13" s="284">
        <v>0</v>
      </c>
      <c r="G13" s="269">
        <v>0</v>
      </c>
      <c r="H13" s="269">
        <v>0</v>
      </c>
      <c r="I13" s="272">
        <f>I9*B12</f>
        <v>55000</v>
      </c>
      <c r="J13" s="269">
        <f>I13</f>
        <v>55000</v>
      </c>
      <c r="K13" s="269">
        <f>J13</f>
        <v>55000</v>
      </c>
      <c r="L13" s="269">
        <f>K13</f>
        <v>55000</v>
      </c>
      <c r="M13" s="272">
        <f>L13</f>
        <v>55000</v>
      </c>
    </row>
    <row r="14" spans="1:13" ht="20.399999999999999" customHeight="1" thickBot="1">
      <c r="A14" s="133" t="s">
        <v>109</v>
      </c>
      <c r="B14" s="67"/>
      <c r="C14" s="275">
        <f>'Summary Board'!K108</f>
        <v>116.67</v>
      </c>
      <c r="D14" s="285">
        <f>$C14*(1+B$8)^D$4</f>
        <v>119.0034</v>
      </c>
      <c r="E14" s="273">
        <f>$C14*(1+B$8)^E$4</f>
        <v>121.38346800000001</v>
      </c>
      <c r="F14" s="285">
        <f>$C14*(1+B$8)^F$4</f>
        <v>123.81113735999999</v>
      </c>
      <c r="G14" s="273">
        <f>$C14*(1+B$8)^G$4</f>
        <v>126.2873601072</v>
      </c>
      <c r="H14" s="273">
        <f>$C14*(1+B$8)^H$4</f>
        <v>128.81310730934399</v>
      </c>
      <c r="I14" s="274">
        <f>$C14*(1+B$8)^I$4</f>
        <v>131.3893694555309</v>
      </c>
      <c r="J14" s="273">
        <f>$C14*(1+B$8)^J$4</f>
        <v>134.01715684464148</v>
      </c>
      <c r="K14" s="273">
        <f>$C14*(1+B$8)^K$4</f>
        <v>136.69749998153432</v>
      </c>
      <c r="L14" s="273">
        <f>$C14*(1+B$8)^L$4</f>
        <v>139.431449981165</v>
      </c>
      <c r="M14" s="274">
        <f>$C14*(1+B$8)^M$4</f>
        <v>142.22007898078832</v>
      </c>
    </row>
    <row r="15" spans="1:13" ht="14.4" customHeight="1" thickBot="1">
      <c r="A15" s="185" t="s">
        <v>0</v>
      </c>
      <c r="B15" s="182"/>
      <c r="C15" s="191"/>
      <c r="D15" s="734"/>
      <c r="E15" s="735"/>
      <c r="F15" s="232"/>
      <c r="G15" s="188"/>
      <c r="H15" s="188"/>
      <c r="I15" s="189"/>
      <c r="J15" s="188"/>
      <c r="K15" s="188"/>
      <c r="L15" s="188"/>
      <c r="M15" s="189"/>
    </row>
    <row r="16" spans="1:13">
      <c r="A16" s="160" t="s">
        <v>15</v>
      </c>
      <c r="B16" s="64"/>
      <c r="C16" s="137">
        <f>C10*B12*C14</f>
        <v>0</v>
      </c>
      <c r="D16" s="234">
        <f>SUM(D10)*B12*D14</f>
        <v>0</v>
      </c>
      <c r="E16" s="236">
        <f>SUM(E10)*B12*E14</f>
        <v>0</v>
      </c>
      <c r="F16" s="217">
        <f>SUM(F10)*B12*F14</f>
        <v>0</v>
      </c>
      <c r="G16" s="217">
        <f>SUM(G10)*B12*G14</f>
        <v>0</v>
      </c>
      <c r="H16" s="217">
        <f>SUM(H10)*B12*H14</f>
        <v>0</v>
      </c>
      <c r="I16" s="217">
        <f>SUM(I10)*B12*I14</f>
        <v>2408805.1066847332</v>
      </c>
      <c r="J16" s="252">
        <f>SUM(J10)*B12*J14</f>
        <v>2456981.2088184268</v>
      </c>
      <c r="K16" s="217">
        <f>SUM(K10)*B12*K14</f>
        <v>2506120.8329947959</v>
      </c>
      <c r="L16" s="217">
        <f>SUM(L10)*B12*L14</f>
        <v>0</v>
      </c>
      <c r="M16" s="217">
        <f>SUM(M10)*B12*M14</f>
        <v>0</v>
      </c>
    </row>
    <row r="17" spans="1:13" ht="14.1" customHeight="1">
      <c r="A17" s="160" t="s">
        <v>42</v>
      </c>
      <c r="B17" s="108">
        <f>D38</f>
        <v>0.05</v>
      </c>
      <c r="C17" s="138">
        <f>C16*-$B$17</f>
        <v>0</v>
      </c>
      <c r="D17" s="239">
        <f t="shared" ref="D17:M17" si="1">D16*-$B$17</f>
        <v>0</v>
      </c>
      <c r="E17" s="240">
        <f t="shared" si="1"/>
        <v>0</v>
      </c>
      <c r="F17" s="218">
        <f t="shared" si="1"/>
        <v>0</v>
      </c>
      <c r="G17" s="218">
        <f t="shared" si="1"/>
        <v>0</v>
      </c>
      <c r="H17" s="218">
        <f t="shared" si="1"/>
        <v>0</v>
      </c>
      <c r="I17" s="240">
        <f t="shared" si="1"/>
        <v>-120440.25533423666</v>
      </c>
      <c r="J17" s="218">
        <f t="shared" si="1"/>
        <v>-122849.06044092134</v>
      </c>
      <c r="K17" s="218">
        <f t="shared" si="1"/>
        <v>-125306.0416497398</v>
      </c>
      <c r="L17" s="218">
        <f t="shared" si="1"/>
        <v>0</v>
      </c>
      <c r="M17" s="240">
        <f t="shared" si="1"/>
        <v>0</v>
      </c>
    </row>
    <row r="18" spans="1:13" ht="14.1" customHeight="1">
      <c r="A18" s="222" t="s">
        <v>43</v>
      </c>
      <c r="B18" s="109">
        <f>D39</f>
        <v>0.05</v>
      </c>
      <c r="C18" s="253">
        <f>C16*-$B$18</f>
        <v>0</v>
      </c>
      <c r="D18" s="254">
        <f>D16*-$B$18</f>
        <v>0</v>
      </c>
      <c r="E18" s="223">
        <f t="shared" ref="E18:M18" si="2">E16*-$B$18</f>
        <v>0</v>
      </c>
      <c r="F18" s="220">
        <f t="shared" si="2"/>
        <v>0</v>
      </c>
      <c r="G18" s="220">
        <f t="shared" si="2"/>
        <v>0</v>
      </c>
      <c r="H18" s="220">
        <f t="shared" si="2"/>
        <v>0</v>
      </c>
      <c r="I18" s="223">
        <f t="shared" si="2"/>
        <v>-120440.25533423666</v>
      </c>
      <c r="J18" s="220">
        <f t="shared" si="2"/>
        <v>-122849.06044092134</v>
      </c>
      <c r="K18" s="220">
        <f t="shared" si="2"/>
        <v>-125306.0416497398</v>
      </c>
      <c r="L18" s="220">
        <f t="shared" si="2"/>
        <v>0</v>
      </c>
      <c r="M18" s="223">
        <f t="shared" si="2"/>
        <v>0</v>
      </c>
    </row>
    <row r="19" spans="1:13" ht="14.1" customHeight="1" thickBot="1">
      <c r="A19" s="115" t="s">
        <v>5</v>
      </c>
      <c r="B19" s="67"/>
      <c r="C19" s="249">
        <f>SUM(C16:C18)</f>
        <v>0</v>
      </c>
      <c r="D19" s="250">
        <f t="shared" ref="D19:M19" si="3">SUM(D16:D18)</f>
        <v>0</v>
      </c>
      <c r="E19" s="225">
        <f t="shared" si="3"/>
        <v>0</v>
      </c>
      <c r="F19" s="224">
        <f t="shared" si="3"/>
        <v>0</v>
      </c>
      <c r="G19" s="224">
        <f t="shared" si="3"/>
        <v>0</v>
      </c>
      <c r="H19" s="224">
        <f t="shared" si="3"/>
        <v>0</v>
      </c>
      <c r="I19" s="225">
        <f t="shared" si="3"/>
        <v>2167924.5960162599</v>
      </c>
      <c r="J19" s="224">
        <f t="shared" si="3"/>
        <v>2211283.0879365844</v>
      </c>
      <c r="K19" s="224">
        <f t="shared" si="3"/>
        <v>2255508.7496953164</v>
      </c>
      <c r="L19" s="224">
        <f t="shared" si="3"/>
        <v>0</v>
      </c>
      <c r="M19" s="225">
        <f t="shared" si="3"/>
        <v>0</v>
      </c>
    </row>
    <row r="20" spans="1:13" ht="13.5" customHeight="1" thickBot="1">
      <c r="A20" s="185" t="s">
        <v>2</v>
      </c>
      <c r="B20" s="287"/>
      <c r="C20" s="191"/>
      <c r="D20" s="232"/>
      <c r="E20" s="188"/>
      <c r="F20" s="232"/>
      <c r="G20" s="188"/>
      <c r="H20" s="188"/>
      <c r="I20" s="189"/>
      <c r="J20" s="188"/>
      <c r="K20" s="188"/>
      <c r="L20" s="188"/>
      <c r="M20" s="189"/>
    </row>
    <row r="21" spans="1:13" ht="14.1" customHeight="1">
      <c r="A21" s="160" t="s">
        <v>101</v>
      </c>
      <c r="B21" s="168"/>
      <c r="C21" s="722">
        <f>'Summary Board'!F98</f>
        <v>142.56</v>
      </c>
      <c r="D21" s="199">
        <f>$C$21*(1+B$8)^D4</f>
        <v>145.41120000000001</v>
      </c>
      <c r="E21" s="186">
        <f>$C$21*(1+B$8)^E4</f>
        <v>148.319424</v>
      </c>
      <c r="F21" s="199">
        <f>$C$21*(1+B$8)^F4</f>
        <v>151.28581248</v>
      </c>
      <c r="G21" s="186">
        <f>$C$21*(1+B$8)^G4</f>
        <v>154.31152872960001</v>
      </c>
      <c r="H21" s="186">
        <f>$C$21*(1+B$8)^H4</f>
        <v>157.39775930419199</v>
      </c>
      <c r="I21" s="187">
        <f>$C$21*(1+B$8)^I4</f>
        <v>160.54571449027586</v>
      </c>
      <c r="J21" s="186">
        <f>$C$21*(1+B$8)^J4</f>
        <v>163.75662878008134</v>
      </c>
      <c r="K21" s="186">
        <f>$C$21*(1+B$8)^K4</f>
        <v>167.03176135568299</v>
      </c>
      <c r="L21" s="186">
        <f>$C$21*(1+B$8)^L4</f>
        <v>170.37239658279663</v>
      </c>
      <c r="M21" s="187">
        <f>$C$21*(1+B$8)^M4</f>
        <v>173.77984451445258</v>
      </c>
    </row>
    <row r="22" spans="1:13" ht="14.1" customHeight="1">
      <c r="A22" s="160" t="s">
        <v>12</v>
      </c>
      <c r="B22" s="168"/>
      <c r="C22" s="245">
        <f>C23/SUM($C$23:$M$23)</f>
        <v>0</v>
      </c>
      <c r="D22" s="246">
        <f t="shared" ref="D22:M22" si="4">D23/SUM($C$23:$M$23)</f>
        <v>0</v>
      </c>
      <c r="E22" s="173">
        <f t="shared" si="4"/>
        <v>0</v>
      </c>
      <c r="F22" s="246">
        <f t="shared" si="4"/>
        <v>0</v>
      </c>
      <c r="G22" s="173">
        <f t="shared" si="4"/>
        <v>0</v>
      </c>
      <c r="H22" s="173">
        <f t="shared" si="4"/>
        <v>0</v>
      </c>
      <c r="I22" s="229">
        <f t="shared" si="4"/>
        <v>1</v>
      </c>
      <c r="J22" s="173">
        <f t="shared" si="4"/>
        <v>0</v>
      </c>
      <c r="K22" s="173">
        <f t="shared" si="4"/>
        <v>0</v>
      </c>
      <c r="L22" s="173">
        <f t="shared" si="4"/>
        <v>0</v>
      </c>
      <c r="M22" s="229">
        <f t="shared" si="4"/>
        <v>0</v>
      </c>
    </row>
    <row r="23" spans="1:13" ht="14.1" customHeight="1">
      <c r="A23" s="160" t="s">
        <v>2</v>
      </c>
      <c r="B23" s="168"/>
      <c r="C23" s="149">
        <f>C21*'Development Schedule'!D96</f>
        <v>0</v>
      </c>
      <c r="D23" s="290">
        <f>D21*'Development Schedule'!E96</f>
        <v>0</v>
      </c>
      <c r="E23" s="291">
        <f>E21*'Development Schedule'!F96</f>
        <v>0</v>
      </c>
      <c r="F23" s="290">
        <f>F21*'Development Schedule'!G96</f>
        <v>0</v>
      </c>
      <c r="G23" s="291">
        <f>G21*'Development Schedule'!H96</f>
        <v>0</v>
      </c>
      <c r="H23" s="291">
        <f>H21*'Development Schedule'!I96</f>
        <v>0</v>
      </c>
      <c r="I23" s="292">
        <f>I21*'Development Schedule'!J96</f>
        <v>8830014.2969651725</v>
      </c>
      <c r="J23" s="291">
        <f>J21*'Development Schedule'!K96</f>
        <v>0</v>
      </c>
      <c r="K23" s="291">
        <f>K21*'Development Schedule'!L96</f>
        <v>0</v>
      </c>
      <c r="L23" s="291">
        <f>L21*'Development Schedule'!M96</f>
        <v>0</v>
      </c>
      <c r="M23" s="292">
        <f>M21*'Development Schedule'!N96</f>
        <v>0</v>
      </c>
    </row>
    <row r="24" spans="1:13" ht="14.25" customHeight="1">
      <c r="A24" s="222" t="s">
        <v>13</v>
      </c>
      <c r="B24" s="288"/>
      <c r="C24" s="152"/>
      <c r="D24" s="248"/>
      <c r="E24" s="228"/>
      <c r="F24" s="248"/>
      <c r="G24" s="228"/>
      <c r="H24" s="228"/>
      <c r="I24" s="231"/>
      <c r="J24" s="228"/>
      <c r="K24" s="228"/>
      <c r="L24" s="228"/>
      <c r="M24" s="231"/>
    </row>
    <row r="25" spans="1:13" ht="13.8" thickBot="1">
      <c r="A25" s="115" t="s">
        <v>3</v>
      </c>
      <c r="B25" s="289"/>
      <c r="C25" s="249">
        <f>SUM(C23:C24)</f>
        <v>0</v>
      </c>
      <c r="D25" s="293">
        <f t="shared" ref="D25:M25" si="5">SUM(D23:D24)</f>
        <v>0</v>
      </c>
      <c r="E25" s="294">
        <f t="shared" si="5"/>
        <v>0</v>
      </c>
      <c r="F25" s="293">
        <f t="shared" si="5"/>
        <v>0</v>
      </c>
      <c r="G25" s="294">
        <f t="shared" si="5"/>
        <v>0</v>
      </c>
      <c r="H25" s="294">
        <f t="shared" si="5"/>
        <v>0</v>
      </c>
      <c r="I25" s="295">
        <f t="shared" si="5"/>
        <v>8830014.2969651725</v>
      </c>
      <c r="J25" s="294">
        <f t="shared" si="5"/>
        <v>0</v>
      </c>
      <c r="K25" s="294">
        <f t="shared" si="5"/>
        <v>0</v>
      </c>
      <c r="L25" s="294">
        <f t="shared" si="5"/>
        <v>0</v>
      </c>
      <c r="M25" s="295">
        <f t="shared" si="5"/>
        <v>0</v>
      </c>
    </row>
    <row r="26" spans="1:13" ht="14.1" customHeight="1" thickBot="1">
      <c r="A26" s="185" t="s">
        <v>4</v>
      </c>
      <c r="B26" s="182"/>
      <c r="C26" s="296"/>
      <c r="D26" s="297"/>
      <c r="E26" s="298"/>
      <c r="F26" s="297"/>
      <c r="G26" s="298"/>
      <c r="H26" s="298"/>
      <c r="I26" s="299"/>
      <c r="J26" s="298"/>
      <c r="K26" s="298"/>
      <c r="L26" s="298"/>
      <c r="M26" s="299"/>
    </row>
    <row r="27" spans="1:13" ht="14.1" customHeight="1">
      <c r="A27" s="160" t="s">
        <v>5</v>
      </c>
      <c r="B27" s="64"/>
      <c r="C27" s="137">
        <f>C19</f>
        <v>0</v>
      </c>
      <c r="D27" s="247">
        <f t="shared" ref="D27:L27" si="6">D19</f>
        <v>0</v>
      </c>
      <c r="E27" s="216">
        <f t="shared" si="6"/>
        <v>0</v>
      </c>
      <c r="F27" s="247">
        <f t="shared" si="6"/>
        <v>0</v>
      </c>
      <c r="G27" s="216">
        <f t="shared" si="6"/>
        <v>0</v>
      </c>
      <c r="H27" s="216">
        <f t="shared" si="6"/>
        <v>0</v>
      </c>
      <c r="I27" s="230">
        <f t="shared" si="6"/>
        <v>2167924.5960162599</v>
      </c>
      <c r="J27" s="216">
        <f t="shared" si="6"/>
        <v>2211283.0879365844</v>
      </c>
      <c r="K27" s="216">
        <f t="shared" si="6"/>
        <v>2255508.7496953164</v>
      </c>
      <c r="L27" s="216">
        <f t="shared" si="6"/>
        <v>0</v>
      </c>
      <c r="M27" s="230">
        <f>M19</f>
        <v>0</v>
      </c>
    </row>
    <row r="28" spans="1:13" ht="14.1" customHeight="1">
      <c r="A28" s="222" t="s">
        <v>102</v>
      </c>
      <c r="B28" s="286"/>
      <c r="C28" s="253">
        <f>-C25</f>
        <v>0</v>
      </c>
      <c r="D28" s="254">
        <f t="shared" ref="D28:M28" si="7">-D25</f>
        <v>0</v>
      </c>
      <c r="E28" s="220">
        <f t="shared" si="7"/>
        <v>0</v>
      </c>
      <c r="F28" s="254">
        <f t="shared" si="7"/>
        <v>0</v>
      </c>
      <c r="G28" s="220">
        <f t="shared" si="7"/>
        <v>0</v>
      </c>
      <c r="H28" s="220">
        <f t="shared" si="7"/>
        <v>0</v>
      </c>
      <c r="I28" s="223">
        <f t="shared" si="7"/>
        <v>-8830014.2969651725</v>
      </c>
      <c r="J28" s="220">
        <f t="shared" si="7"/>
        <v>0</v>
      </c>
      <c r="K28" s="220">
        <f t="shared" si="7"/>
        <v>0</v>
      </c>
      <c r="L28" s="220">
        <f t="shared" si="7"/>
        <v>0</v>
      </c>
      <c r="M28" s="223">
        <f t="shared" si="7"/>
        <v>0</v>
      </c>
    </row>
    <row r="29" spans="1:13" ht="13.5" customHeight="1" thickBot="1">
      <c r="A29" s="761" t="s">
        <v>6</v>
      </c>
      <c r="B29" s="117"/>
      <c r="C29" s="249">
        <f>SUM(C27:C28)</f>
        <v>0</v>
      </c>
      <c r="D29" s="250">
        <f t="shared" ref="D29:M29" si="8">SUM(D27:D28)</f>
        <v>0</v>
      </c>
      <c r="E29" s="224">
        <f t="shared" si="8"/>
        <v>0</v>
      </c>
      <c r="F29" s="250">
        <f t="shared" si="8"/>
        <v>0</v>
      </c>
      <c r="G29" s="224">
        <f t="shared" si="8"/>
        <v>0</v>
      </c>
      <c r="H29" s="224">
        <f t="shared" si="8"/>
        <v>0</v>
      </c>
      <c r="I29" s="225">
        <f t="shared" si="8"/>
        <v>-6662089.7009489127</v>
      </c>
      <c r="J29" s="224">
        <f t="shared" si="8"/>
        <v>2211283.0879365844</v>
      </c>
      <c r="K29" s="224">
        <f t="shared" si="8"/>
        <v>2255508.7496953164</v>
      </c>
      <c r="L29" s="224">
        <f t="shared" si="8"/>
        <v>0</v>
      </c>
      <c r="M29" s="225">
        <f t="shared" si="8"/>
        <v>0</v>
      </c>
    </row>
    <row r="30" spans="1:13" ht="14.1" customHeight="1" thickBot="1">
      <c r="A30" s="114" t="s">
        <v>26</v>
      </c>
      <c r="B30" s="105"/>
      <c r="C30" s="256">
        <f>C29+NPV(D40,D29:M29)</f>
        <v>-1689402.9419098266</v>
      </c>
      <c r="D30" s="197"/>
      <c r="E30" s="107"/>
      <c r="F30" s="197"/>
      <c r="G30" s="1008"/>
      <c r="H30" s="107"/>
      <c r="I30" s="175"/>
      <c r="J30" s="107"/>
      <c r="K30" s="107"/>
      <c r="L30" s="107"/>
      <c r="M30" s="175"/>
    </row>
    <row r="31" spans="1:13" ht="14.1" customHeight="1" thickBot="1">
      <c r="A31" s="80" t="s">
        <v>61</v>
      </c>
      <c r="B31" s="144"/>
      <c r="C31" s="260">
        <f>IRR(C29:M29,0)</f>
        <v>-0.22897658758383632</v>
      </c>
      <c r="D31" s="241"/>
      <c r="E31" s="144"/>
      <c r="F31" s="241"/>
      <c r="G31" s="144"/>
      <c r="H31" s="144"/>
      <c r="I31" s="159"/>
      <c r="J31" s="144"/>
      <c r="K31" s="144"/>
      <c r="L31" s="144"/>
      <c r="M31" s="159"/>
    </row>
    <row r="32" spans="1:13" ht="14.1" customHeight="1" thickBot="1">
      <c r="A32" s="39"/>
      <c r="B32" s="57"/>
      <c r="C32" s="57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3.8" thickBot="1">
      <c r="A33" s="907" t="s">
        <v>96</v>
      </c>
      <c r="B33" s="973"/>
      <c r="C33" s="973"/>
      <c r="D33" s="998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14.1" customHeight="1" thickBot="1">
      <c r="A34" s="78"/>
      <c r="B34" s="144"/>
      <c r="C34" s="83" t="s">
        <v>94</v>
      </c>
      <c r="D34" s="84" t="s">
        <v>95</v>
      </c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4.1" customHeight="1" thickBot="1">
      <c r="A35" s="78" t="s">
        <v>78</v>
      </c>
      <c r="B35" s="144"/>
      <c r="C35" s="1043">
        <f>D35/B12</f>
        <v>68.75</v>
      </c>
      <c r="D35" s="1044">
        <f>'Development Schedule'!C96</f>
        <v>55000</v>
      </c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3.8" thickBot="1">
      <c r="A36" s="39"/>
      <c r="B36" s="57"/>
      <c r="C36" s="57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s="39" customFormat="1" ht="13.8" thickBot="1">
      <c r="A37" s="907" t="s">
        <v>103</v>
      </c>
      <c r="B37" s="908"/>
      <c r="C37" s="908"/>
      <c r="D37" s="999"/>
    </row>
    <row r="38" spans="1:13" ht="14.1" customHeight="1">
      <c r="A38" s="63" t="s">
        <v>42</v>
      </c>
      <c r="B38" s="64"/>
      <c r="C38" s="64"/>
      <c r="D38" s="203">
        <v>0.05</v>
      </c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4.1" customHeight="1">
      <c r="A39" s="63" t="s">
        <v>43</v>
      </c>
      <c r="B39" s="64"/>
      <c r="C39" s="64"/>
      <c r="D39" s="203">
        <v>0.05</v>
      </c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4.1" customHeight="1" thickBot="1">
      <c r="A40" s="66" t="s">
        <v>92</v>
      </c>
      <c r="B40" s="67"/>
      <c r="C40" s="67"/>
      <c r="D40" s="201">
        <v>0.08</v>
      </c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4.1" customHeight="1">
      <c r="A41" s="39"/>
      <c r="B41" s="57"/>
      <c r="C41" s="57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>
      <c r="A42" s="39"/>
      <c r="B42" s="57"/>
      <c r="C42" s="57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4.1" customHeight="1">
      <c r="A43" s="39"/>
      <c r="B43" s="57"/>
      <c r="C43" s="57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4.1" customHeight="1">
      <c r="A44" s="39"/>
      <c r="B44" s="57"/>
      <c r="C44" s="57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4.1" customHeight="1">
      <c r="A45" s="39"/>
      <c r="B45" s="57"/>
      <c r="C45" s="57"/>
      <c r="D45" s="39"/>
      <c r="E45" s="39"/>
      <c r="F45" s="39"/>
      <c r="G45" s="39"/>
      <c r="H45" s="39"/>
      <c r="I45" s="39"/>
      <c r="J45" s="39"/>
      <c r="K45" s="39"/>
      <c r="L45" s="39"/>
      <c r="M45" s="39"/>
    </row>
  </sheetData>
  <mergeCells count="3">
    <mergeCell ref="D3:E3"/>
    <mergeCell ref="F3:I3"/>
    <mergeCell ref="J3:M3"/>
  </mergeCells>
  <printOptions horizontalCentered="1"/>
  <pageMargins left="0.5" right="0.5" top="1" bottom="0.5" header="0.5" footer="0.5"/>
  <pageSetup scale="69" orientation="landscape" r:id="rId1"/>
  <headerFooter alignWithMargins="0">
    <oddHeader>&amp;L&amp;"Arial,Bold"3. Income Statement: Market-rate For Sale Housing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21</vt:i4>
      </vt:variant>
    </vt:vector>
  </HeadingPairs>
  <TitlesOfParts>
    <vt:vector size="41" baseType="lpstr">
      <vt:lpstr>ULI Hines Summary Board</vt:lpstr>
      <vt:lpstr>Summary Board</vt:lpstr>
      <vt:lpstr>Budget</vt:lpstr>
      <vt:lpstr>Financing</vt:lpstr>
      <vt:lpstr>1.Infrastructure Costs</vt:lpstr>
      <vt:lpstr>2.Market-Rate Rental Housing</vt:lpstr>
      <vt:lpstr>3.Market-Rate For-Sale Housing</vt:lpstr>
      <vt:lpstr>4.Affordable Rental Housing</vt:lpstr>
      <vt:lpstr>5.Affordable For-Sale Housing </vt:lpstr>
      <vt:lpstr>6.Office</vt:lpstr>
      <vt:lpstr>7.Industrial (Brewery)</vt:lpstr>
      <vt:lpstr>8.Market-Rate Retail</vt:lpstr>
      <vt:lpstr>9.Hotel</vt:lpstr>
      <vt:lpstr>10.Structured Parking</vt:lpstr>
      <vt:lpstr>11. Solar Energy</vt:lpstr>
      <vt:lpstr>Development Schedule</vt:lpstr>
      <vt:lpstr>Land Acquisition</vt:lpstr>
      <vt:lpstr>Land Values</vt:lpstr>
      <vt:lpstr>Reference Map</vt:lpstr>
      <vt:lpstr>Development Costs</vt:lpstr>
      <vt:lpstr>'1.Infrastructure Costs'!Print_Area</vt:lpstr>
      <vt:lpstr>'10.Structured Parking'!Print_Area</vt:lpstr>
      <vt:lpstr>'2.Market-Rate Rental Housing'!Print_Area</vt:lpstr>
      <vt:lpstr>'3.Market-Rate For-Sale Housing'!Print_Area</vt:lpstr>
      <vt:lpstr>'4.Affordable Rental Housing'!Print_Area</vt:lpstr>
      <vt:lpstr>'5.Affordable For-Sale Housing '!Print_Area</vt:lpstr>
      <vt:lpstr>'6.Office'!Print_Area</vt:lpstr>
      <vt:lpstr>'7.Industrial (Brewery)'!Print_Area</vt:lpstr>
      <vt:lpstr>'8.Market-Rate Retail'!Print_Area</vt:lpstr>
      <vt:lpstr>'Development Costs'!Print_Area</vt:lpstr>
      <vt:lpstr>'Development Schedule'!Print_Area</vt:lpstr>
      <vt:lpstr>Financing!Print_Area</vt:lpstr>
      <vt:lpstr>'Land Acquisition'!Print_Area</vt:lpstr>
      <vt:lpstr>'Land Values'!Print_Area</vt:lpstr>
      <vt:lpstr>'ULI Hines Summary Board'!Print_Area</vt:lpstr>
      <vt:lpstr>'10.Structured Parking'!Print_Titles</vt:lpstr>
      <vt:lpstr>'2.Market-Rate Rental Housing'!Print_Titles</vt:lpstr>
      <vt:lpstr>'4.Affordable Rental Housing'!Print_Titles</vt:lpstr>
      <vt:lpstr>'8.Market-Rate Retail'!Print_Titles</vt:lpstr>
      <vt:lpstr>'Development Schedule'!Print_Titles</vt:lpstr>
      <vt:lpstr>'Land Values'!Print_Titles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Finkenbinder-Best</dc:creator>
  <cp:lastModifiedBy>Regan Tokos</cp:lastModifiedBy>
  <cp:lastPrinted>2019-01-24T23:26:48Z</cp:lastPrinted>
  <dcterms:created xsi:type="dcterms:W3CDTF">2007-12-12T14:49:40Z</dcterms:created>
  <dcterms:modified xsi:type="dcterms:W3CDTF">2019-01-28T22:33:26Z</dcterms:modified>
</cp:coreProperties>
</file>